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lec\AppData\Local\Microsoft\Windows\INetCache\Content.Outlook\43T4DKRN\"/>
    </mc:Choice>
  </mc:AlternateContent>
  <xr:revisionPtr revIDLastSave="0" documentId="13_ncr:1_{B3F23C5F-B982-4C25-A851-86CAAB1B8BCC}" xr6:coauthVersionLast="47" xr6:coauthVersionMax="47" xr10:uidLastSave="{00000000-0000-0000-0000-000000000000}"/>
  <bookViews>
    <workbookView xWindow="-120" yWindow="-120" windowWidth="38640" windowHeight="21120" tabRatio="649" activeTab="1" xr2:uid="{00000000-000D-0000-FFFF-FFFF00000000}"/>
  </bookViews>
  <sheets>
    <sheet name="Daten" sheetId="7" r:id="rId1"/>
    <sheet name="Kundenliste" sheetId="3" r:id="rId2"/>
    <sheet name="SUHK | 2017-2025" sheetId="1" r:id="rId3"/>
    <sheet name="Prod. 2017-2025 | gesamt" sheetId="2" r:id="rId4"/>
    <sheet name="Prod. 2017-2025 | bereinigt" sheetId="4" r:id="rId5"/>
    <sheet name="Bestandsaktion" sheetId="8" r:id="rId6"/>
  </sheets>
  <definedNames>
    <definedName name="_xlnm._FilterDatabase" localSheetId="5" hidden="1">Bestandsaktion!$A$16:$M$16</definedName>
    <definedName name="_xlnm._FilterDatabase" localSheetId="1" hidden="1">Kundenliste!$A$14:$N$39</definedName>
    <definedName name="_xlnm._FilterDatabase" localSheetId="4" hidden="1">'Prod. 2017-2025 | bereinigt'!$A$16:$M$16</definedName>
    <definedName name="_xlnm._FilterDatabase" localSheetId="3" hidden="1">'Prod. 2017-2025 | gesamt'!$A$16:$M$16</definedName>
    <definedName name="_xlnm._FilterDatabase" localSheetId="2" hidden="1">'SUHK | 2017-2025'!$A$16:$M$16</definedName>
    <definedName name="_xlnm.Print_Titles" localSheetId="5">Bestandsaktion!$16:$16</definedName>
    <definedName name="_xlnm.Print_Titles" localSheetId="1">Kundenliste!$1:$14</definedName>
    <definedName name="_xlnm.Print_Titles" localSheetId="4">'Prod. 2017-2025 | bereinigt'!$16:$16</definedName>
    <definedName name="_xlnm.Print_Titles" localSheetId="3">'Prod. 2017-2025 | gesamt'!$16:$16</definedName>
    <definedName name="_xlnm.Print_Titles" localSheetId="2">'SUHK | 2017-2025'!$16:$16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8" l="1"/>
  <c r="E2" i="8"/>
  <c r="A3" i="8"/>
  <c r="M10" i="2"/>
  <c r="M11" i="2"/>
  <c r="M11" i="4"/>
  <c r="M10" i="4"/>
  <c r="L11" i="4"/>
  <c r="L10" i="4"/>
  <c r="K11" i="4"/>
  <c r="K10" i="4"/>
  <c r="J11" i="4"/>
  <c r="J10" i="4"/>
  <c r="I11" i="4"/>
  <c r="N4" i="4"/>
  <c r="M4" i="4"/>
  <c r="L4" i="4"/>
  <c r="K4" i="4"/>
  <c r="J4" i="4"/>
  <c r="I4" i="4"/>
  <c r="N3" i="4"/>
  <c r="M3" i="4"/>
  <c r="L3" i="4"/>
  <c r="K3" i="4"/>
  <c r="J3" i="4"/>
  <c r="I3" i="4"/>
  <c r="I10" i="4"/>
  <c r="I10" i="2"/>
  <c r="L11" i="2"/>
  <c r="L10" i="2"/>
  <c r="K11" i="2"/>
  <c r="K10" i="2"/>
  <c r="J11" i="2"/>
  <c r="J10" i="2"/>
  <c r="I11" i="2"/>
  <c r="M4" i="2"/>
  <c r="M3" i="2"/>
  <c r="L4" i="2"/>
  <c r="L3" i="2"/>
  <c r="K4" i="2"/>
  <c r="K3" i="2"/>
  <c r="J4" i="2"/>
  <c r="J3" i="2"/>
  <c r="I4" i="2"/>
  <c r="I3" i="2"/>
  <c r="L11" i="1"/>
  <c r="L10" i="1"/>
  <c r="K11" i="1"/>
  <c r="K10" i="1"/>
  <c r="J11" i="1"/>
  <c r="J10" i="1"/>
  <c r="I11" i="1"/>
  <c r="I10" i="1"/>
  <c r="H11" i="1"/>
  <c r="H10" i="1"/>
  <c r="L4" i="1"/>
  <c r="L3" i="1"/>
  <c r="K4" i="1"/>
  <c r="K3" i="1"/>
  <c r="J4" i="1"/>
  <c r="J3" i="1"/>
  <c r="I4" i="1"/>
  <c r="I3" i="1"/>
  <c r="H4" i="1"/>
  <c r="H3" i="1"/>
  <c r="J7" i="3"/>
  <c r="J6" i="3"/>
  <c r="J5" i="3"/>
  <c r="J4" i="3"/>
  <c r="J3" i="3"/>
  <c r="H7" i="3"/>
  <c r="H6" i="3"/>
  <c r="H5" i="3"/>
  <c r="H4" i="3"/>
  <c r="H3" i="3"/>
  <c r="A5" i="4"/>
  <c r="A5" i="2"/>
  <c r="A5" i="1"/>
  <c r="E2" i="4"/>
  <c r="E2" i="2"/>
  <c r="E2" i="1"/>
  <c r="N1" i="3"/>
  <c r="A3" i="4"/>
  <c r="A3" i="2"/>
  <c r="A3" i="1"/>
  <c r="O3" i="4" l="1"/>
  <c r="O4" i="4"/>
  <c r="N11" i="4"/>
  <c r="N12" i="4" s="1"/>
  <c r="M12" i="4"/>
  <c r="L12" i="4"/>
  <c r="K12" i="4"/>
  <c r="J12" i="4"/>
  <c r="I12" i="4"/>
  <c r="N5" i="4"/>
  <c r="M5" i="4"/>
  <c r="L5" i="4"/>
  <c r="K5" i="4"/>
  <c r="J5" i="4"/>
  <c r="I5" i="4"/>
  <c r="N10" i="4"/>
  <c r="N14" i="4" s="1"/>
  <c r="J13" i="4"/>
  <c r="N11" i="2"/>
  <c r="N12" i="2" s="1"/>
  <c r="M12" i="2"/>
  <c r="L12" i="2"/>
  <c r="K12" i="2"/>
  <c r="J12" i="2"/>
  <c r="I12" i="2"/>
  <c r="N4" i="2"/>
  <c r="N5" i="2" s="1"/>
  <c r="M5" i="2"/>
  <c r="L5" i="2"/>
  <c r="K5" i="2"/>
  <c r="J5" i="2"/>
  <c r="I5" i="2"/>
  <c r="N10" i="2"/>
  <c r="O10" i="2" s="1"/>
  <c r="N3" i="2"/>
  <c r="N6" i="2" s="1"/>
  <c r="L6" i="2"/>
  <c r="K6" i="2"/>
  <c r="J6" i="2"/>
  <c r="I6" i="2"/>
  <c r="M11" i="1"/>
  <c r="M12" i="1" s="1"/>
  <c r="L12" i="1"/>
  <c r="K12" i="1"/>
  <c r="J12" i="1"/>
  <c r="I12" i="1"/>
  <c r="H12" i="1"/>
  <c r="M4" i="1"/>
  <c r="M5" i="1" s="1"/>
  <c r="L5" i="1"/>
  <c r="K5" i="1"/>
  <c r="J5" i="1"/>
  <c r="I5" i="1"/>
  <c r="H5" i="1"/>
  <c r="M10" i="1"/>
  <c r="N10" i="1" s="1"/>
  <c r="M3" i="1"/>
  <c r="M6" i="1" s="1"/>
  <c r="L6" i="1"/>
  <c r="K6" i="1"/>
  <c r="J6" i="1"/>
  <c r="I6" i="1"/>
  <c r="H6" i="1"/>
  <c r="J10" i="3"/>
  <c r="J9" i="3"/>
  <c r="J8" i="3"/>
  <c r="H10" i="3"/>
  <c r="H9" i="3"/>
  <c r="H8" i="3"/>
  <c r="N4" i="1" l="1"/>
  <c r="N11" i="1"/>
  <c r="N3" i="1"/>
  <c r="O3" i="2"/>
  <c r="O12" i="4"/>
  <c r="O11" i="4"/>
  <c r="O10" i="4"/>
  <c r="J6" i="4"/>
  <c r="J7" i="4"/>
  <c r="L13" i="1"/>
  <c r="L14" i="1"/>
  <c r="K6" i="4"/>
  <c r="K7" i="4"/>
  <c r="K14" i="1"/>
  <c r="K13" i="1"/>
  <c r="M14" i="2"/>
  <c r="M13" i="2"/>
  <c r="L6" i="4"/>
  <c r="L7" i="4"/>
  <c r="M7" i="4"/>
  <c r="M6" i="4"/>
  <c r="H14" i="1"/>
  <c r="H13" i="1"/>
  <c r="I13" i="2"/>
  <c r="I14" i="2"/>
  <c r="I14" i="1"/>
  <c r="I13" i="1"/>
  <c r="J14" i="2"/>
  <c r="J13" i="2"/>
  <c r="J14" i="1"/>
  <c r="J13" i="1"/>
  <c r="K14" i="2"/>
  <c r="K13" i="2"/>
  <c r="L14" i="2"/>
  <c r="L13" i="2"/>
  <c r="N7" i="4"/>
  <c r="N6" i="4"/>
  <c r="M13" i="1"/>
  <c r="M14" i="1"/>
  <c r="N14" i="2"/>
  <c r="N13" i="2"/>
  <c r="I6" i="4"/>
  <c r="I7" i="4"/>
  <c r="K13" i="4"/>
  <c r="M6" i="2"/>
  <c r="H7" i="1"/>
  <c r="K7" i="1"/>
  <c r="J7" i="1"/>
  <c r="J7" i="2"/>
  <c r="M7" i="1"/>
  <c r="L7" i="1"/>
  <c r="J11" i="3"/>
  <c r="J12" i="3" s="1"/>
  <c r="M14" i="4"/>
  <c r="I14" i="4"/>
  <c r="L14" i="4"/>
  <c r="I13" i="4"/>
  <c r="N13" i="4"/>
  <c r="J14" i="4"/>
  <c r="M13" i="4"/>
  <c r="K14" i="4"/>
  <c r="L13" i="4"/>
  <c r="K7" i="2"/>
  <c r="L7" i="2"/>
  <c r="M7" i="2"/>
  <c r="N7" i="2"/>
  <c r="H11" i="3"/>
  <c r="H12" i="3" s="1"/>
  <c r="I7" i="1"/>
  <c r="I7" i="2"/>
  <c r="O11" i="2"/>
  <c r="O14" i="4" l="1"/>
  <c r="N14" i="1"/>
  <c r="N13" i="1"/>
  <c r="O14" i="2"/>
  <c r="O13" i="2"/>
  <c r="O13" i="4"/>
  <c r="O12" i="2"/>
  <c r="N12" i="1"/>
  <c r="O4" i="2"/>
  <c r="O5" i="2" l="1"/>
  <c r="O5" i="4"/>
  <c r="N5" i="1"/>
  <c r="N6" i="1" l="1"/>
  <c r="N7" i="1"/>
  <c r="O6" i="2"/>
  <c r="O7" i="2"/>
  <c r="O7" i="4"/>
  <c r="O6" i="4"/>
</calcChain>
</file>

<file path=xl/sharedStrings.xml><?xml version="1.0" encoding="utf-8"?>
<sst xmlns="http://schemas.openxmlformats.org/spreadsheetml/2006/main" count="217" uniqueCount="88">
  <si>
    <t>Name</t>
  </si>
  <si>
    <t>Vorname</t>
  </si>
  <si>
    <t>Policen-Nr.</t>
  </si>
  <si>
    <t>Kategorie</t>
  </si>
  <si>
    <t>B</t>
  </si>
  <si>
    <t>C</t>
  </si>
  <si>
    <t>A</t>
  </si>
  <si>
    <t>VIP</t>
  </si>
  <si>
    <t>DSGVO!</t>
  </si>
  <si>
    <t>Art</t>
  </si>
  <si>
    <t>Gesellschaft</t>
  </si>
  <si>
    <t>Produkt</t>
  </si>
  <si>
    <t>Brutto-UE</t>
  </si>
  <si>
    <t>BW
Summe</t>
  </si>
  <si>
    <t>Antrags-
datum</t>
  </si>
  <si>
    <t>Vertrags-
beginn</t>
  </si>
  <si>
    <t>Vertrags-
ablauf</t>
  </si>
  <si>
    <t>Stand:</t>
  </si>
  <si>
    <t>D + ohne</t>
  </si>
  <si>
    <t>UE-Bestand</t>
  </si>
  <si>
    <t>Anzahl Verträge</t>
  </si>
  <si>
    <t>Gesamt</t>
  </si>
  <si>
    <t>Status</t>
  </si>
  <si>
    <t>Ohne</t>
  </si>
  <si>
    <t>Anrede</t>
  </si>
  <si>
    <t>Titel</t>
  </si>
  <si>
    <t>Straße</t>
  </si>
  <si>
    <t>Postleitzahl</t>
  </si>
  <si>
    <t>Ort</t>
  </si>
  <si>
    <t>Telefon</t>
  </si>
  <si>
    <t>Mobil</t>
  </si>
  <si>
    <t>E-Mail</t>
  </si>
  <si>
    <t>Service am</t>
  </si>
  <si>
    <t>BW-Summe</t>
  </si>
  <si>
    <t>Jahresnettoprämie</t>
  </si>
  <si>
    <t>Bestandsstatistik mit Verträgen nur SHUK</t>
  </si>
  <si>
    <t>Kundenliste I mit Kategorie I Aktiv, Interessent</t>
  </si>
  <si>
    <t>UE-Bestand EUR (UE-Stufe)</t>
  </si>
  <si>
    <t>Durchschnitt UE je Kunde</t>
  </si>
  <si>
    <t>Durchschnitt UE pro Vertrag</t>
  </si>
  <si>
    <t>Stufe</t>
  </si>
  <si>
    <t>Senior Berater I</t>
  </si>
  <si>
    <t>Senior Berater II</t>
  </si>
  <si>
    <t>Senior Berater III</t>
  </si>
  <si>
    <t>Senior Berater IV</t>
  </si>
  <si>
    <t>Regionalgeschäftsstellenleiter</t>
  </si>
  <si>
    <t>Geschäftsstellenleiter</t>
  </si>
  <si>
    <t>Hauptgeschäftsstellenleiter</t>
  </si>
  <si>
    <t>Regionaldirektionsleiter</t>
  </si>
  <si>
    <t>Direktionsleiter</t>
  </si>
  <si>
    <t>Senior Direktionsleiter</t>
  </si>
  <si>
    <t>UE-Stufe</t>
  </si>
  <si>
    <t>Jahresbruttoprämie</t>
  </si>
  <si>
    <t>Vorname/Ansprechpartner</t>
  </si>
  <si>
    <t>Kinder</t>
  </si>
  <si>
    <t>Privatkunden</t>
  </si>
  <si>
    <t>Firmen</t>
  </si>
  <si>
    <t>FIRMENKUNDEN</t>
  </si>
  <si>
    <t>PRIVATKUNDEN</t>
  </si>
  <si>
    <t>Gesamt bereinigt</t>
  </si>
  <si>
    <t>Gesamt o. Kinder</t>
  </si>
  <si>
    <t>Serviceintervall</t>
  </si>
  <si>
    <t>Beginn letztes Servicejahr:</t>
  </si>
  <si>
    <t>Kundenliste | gesamt</t>
  </si>
  <si>
    <t>Letzte Bearbeitung:</t>
  </si>
  <si>
    <t>Stand Liste:</t>
  </si>
  <si>
    <t>Smart-Admin Abfrage:</t>
  </si>
  <si>
    <t>Berater I</t>
  </si>
  <si>
    <t>Berater II</t>
  </si>
  <si>
    <t>Berater III</t>
  </si>
  <si>
    <t>Neuproduktionsstatistik mit Verträgen gesamt (Zeitraum)</t>
  </si>
  <si>
    <t>VIP + VIP-D</t>
  </si>
  <si>
    <t>A + A-D</t>
  </si>
  <si>
    <t>B + B-D</t>
  </si>
  <si>
    <t>C + C-D</t>
  </si>
  <si>
    <t>D + D-D</t>
  </si>
  <si>
    <t>Beruf</t>
  </si>
  <si>
    <t>Tarif</t>
  </si>
  <si>
    <t>Produktionsstatistik 2017-2025 (bereinigt)</t>
  </si>
  <si>
    <t>Produktionsstatistik 2017-2025 (gesamt)</t>
  </si>
  <si>
    <t>Bestandsstatistik SUHK (2017-2025)</t>
  </si>
  <si>
    <t>BESTANDSAKTION</t>
  </si>
  <si>
    <t>THEMA</t>
  </si>
  <si>
    <t>Bestandsstatistik mit Verträgen gesamt (inklusive der Fremdverträge)</t>
  </si>
  <si>
    <t>E-Mail raus
am</t>
  </si>
  <si>
    <t>TelKo
am</t>
  </si>
  <si>
    <t>Notiz</t>
  </si>
  <si>
    <t>&gt;&gt; anschließend über Filter gewünschtes Thema auswählen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</si>
</sst>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44" formatCode="_-* #,##0.00\ &quot;€&quot;_-;\-* #,##0.00\ &quot;€&quot;_-;_-* &quot;-&quot;??\ &quot;€&quot;_-;_-@_-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22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name val="Arial"/>
      <family val="2"/>
    </font>
    <font>
      <u/>
      <sz val="10"/>
      <color rgb="FFFF0000"/>
      <name val="Arial"/>
      <family val="2"/>
    </font>
    <font>
      <b/>
      <sz val="2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</cellStyleXfs>
  <cellXfs count="120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7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0" xfId="1"/>
    <xf numFmtId="0" fontId="2" fillId="0" borderId="0" xfId="1" applyAlignment="1">
      <alignment horizontal="center" vertical="center"/>
    </xf>
    <xf numFmtId="0" fontId="3" fillId="0" borderId="0" xfId="1" applyFont="1"/>
    <xf numFmtId="14" fontId="3" fillId="0" borderId="0" xfId="1" applyNumberFormat="1" applyFont="1"/>
    <xf numFmtId="0" fontId="3" fillId="0" borderId="1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Alignment="1">
      <alignment horizontal="left" vertical="center"/>
    </xf>
    <xf numFmtId="0" fontId="1" fillId="0" borderId="0" xfId="3"/>
    <xf numFmtId="49" fontId="1" fillId="0" borderId="0" xfId="3" applyNumberFormat="1"/>
    <xf numFmtId="1" fontId="1" fillId="0" borderId="0" xfId="3" applyNumberFormat="1"/>
    <xf numFmtId="14" fontId="1" fillId="0" borderId="0" xfId="3" applyNumberFormat="1"/>
    <xf numFmtId="7" fontId="1" fillId="0" borderId="0" xfId="3" applyNumberFormat="1"/>
    <xf numFmtId="0" fontId="8" fillId="0" borderId="0" xfId="1" applyFont="1"/>
    <xf numFmtId="0" fontId="0" fillId="0" borderId="5" xfId="0" applyBorder="1"/>
    <xf numFmtId="3" fontId="0" fillId="0" borderId="0" xfId="0" applyNumberFormat="1" applyAlignment="1">
      <alignment horizontal="right" vertical="center"/>
    </xf>
    <xf numFmtId="0" fontId="0" fillId="0" borderId="6" xfId="0" applyBorder="1"/>
    <xf numFmtId="0" fontId="0" fillId="0" borderId="7" xfId="0" applyBorder="1"/>
    <xf numFmtId="3" fontId="0" fillId="0" borderId="7" xfId="0" applyNumberFormat="1" applyBorder="1" applyAlignment="1">
      <alignment horizontal="right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4" fontId="4" fillId="4" borderId="0" xfId="0" applyNumberFormat="1" applyFont="1" applyFill="1" applyAlignment="1">
      <alignment horizontal="center" vertical="center"/>
    </xf>
    <xf numFmtId="7" fontId="4" fillId="4" borderId="0" xfId="2" applyNumberFormat="1" applyFont="1" applyFill="1" applyBorder="1" applyAlignment="1">
      <alignment horizontal="right" vertical="center"/>
    </xf>
    <xf numFmtId="2" fontId="4" fillId="4" borderId="0" xfId="2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2" fontId="4" fillId="4" borderId="7" xfId="2" applyNumberFormat="1" applyFont="1" applyFill="1" applyBorder="1" applyAlignment="1">
      <alignment horizontal="center" vertical="center"/>
    </xf>
    <xf numFmtId="1" fontId="3" fillId="0" borderId="0" xfId="1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4" fillId="4" borderId="12" xfId="0" applyNumberFormat="1" applyFont="1" applyFill="1" applyBorder="1" applyAlignment="1">
      <alignment horizontal="center" vertical="center"/>
    </xf>
    <xf numFmtId="7" fontId="4" fillId="4" borderId="12" xfId="2" applyNumberFormat="1" applyFont="1" applyFill="1" applyBorder="1" applyAlignment="1">
      <alignment horizontal="right" vertical="center"/>
    </xf>
    <xf numFmtId="2" fontId="4" fillId="4" borderId="12" xfId="2" applyNumberFormat="1" applyFont="1" applyFill="1" applyBorder="1" applyAlignment="1">
      <alignment horizontal="center" vertical="center"/>
    </xf>
    <xf numFmtId="2" fontId="4" fillId="4" borderId="13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4" fillId="4" borderId="15" xfId="0" applyNumberFormat="1" applyFont="1" applyFill="1" applyBorder="1" applyAlignment="1">
      <alignment horizontal="center" vertical="center"/>
    </xf>
    <xf numFmtId="44" fontId="4" fillId="4" borderId="15" xfId="2" applyFont="1" applyFill="1" applyBorder="1" applyAlignment="1">
      <alignment horizontal="right" vertical="center"/>
    </xf>
    <xf numFmtId="2" fontId="4" fillId="4" borderId="15" xfId="2" applyNumberFormat="1" applyFont="1" applyFill="1" applyBorder="1" applyAlignment="1">
      <alignment horizontal="center" vertical="center"/>
    </xf>
    <xf numFmtId="2" fontId="4" fillId="4" borderId="16" xfId="2" applyNumberFormat="1" applyFont="1" applyFill="1" applyBorder="1" applyAlignment="1">
      <alignment horizontal="center" vertical="center"/>
    </xf>
    <xf numFmtId="0" fontId="11" fillId="11" borderId="17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4" fontId="4" fillId="4" borderId="20" xfId="0" applyNumberFormat="1" applyFont="1" applyFill="1" applyBorder="1" applyAlignment="1">
      <alignment horizontal="center" vertical="center"/>
    </xf>
    <xf numFmtId="44" fontId="4" fillId="4" borderId="20" xfId="2" applyFont="1" applyFill="1" applyBorder="1" applyAlignment="1">
      <alignment horizontal="right" vertical="center"/>
    </xf>
    <xf numFmtId="2" fontId="4" fillId="4" borderId="20" xfId="2" applyNumberFormat="1" applyFont="1" applyFill="1" applyBorder="1" applyAlignment="1">
      <alignment horizontal="center" vertical="center"/>
    </xf>
    <xf numFmtId="2" fontId="4" fillId="4" borderId="21" xfId="2" applyNumberFormat="1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1" fontId="4" fillId="4" borderId="15" xfId="0" applyNumberFormat="1" applyFont="1" applyFill="1" applyBorder="1" applyAlignment="1">
      <alignment horizontal="center" vertical="center"/>
    </xf>
    <xf numFmtId="7" fontId="4" fillId="4" borderId="15" xfId="2" applyNumberFormat="1" applyFont="1" applyFill="1" applyBorder="1" applyAlignment="1">
      <alignment horizontal="right" vertical="center"/>
    </xf>
    <xf numFmtId="1" fontId="2" fillId="0" borderId="23" xfId="1" applyNumberForma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2" fillId="0" borderId="22" xfId="1" applyBorder="1" applyAlignment="1">
      <alignment horizontal="center" vertical="center"/>
    </xf>
    <xf numFmtId="1" fontId="2" fillId="0" borderId="27" xfId="1" applyNumberFormat="1" applyBorder="1" applyAlignment="1">
      <alignment horizontal="center" vertical="center"/>
    </xf>
    <xf numFmtId="0" fontId="1" fillId="0" borderId="30" xfId="1" applyFont="1" applyBorder="1" applyAlignment="1">
      <alignment horizontal="center" vertical="center"/>
    </xf>
    <xf numFmtId="1" fontId="2" fillId="0" borderId="33" xfId="1" applyNumberFormat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  <xf numFmtId="0" fontId="2" fillId="0" borderId="28" xfId="1" applyBorder="1" applyAlignment="1">
      <alignment horizontal="center" vertical="center"/>
    </xf>
    <xf numFmtId="0" fontId="1" fillId="0" borderId="34" xfId="1" applyFont="1" applyBorder="1" applyAlignment="1">
      <alignment horizontal="center" vertical="center"/>
    </xf>
    <xf numFmtId="1" fontId="12" fillId="0" borderId="32" xfId="1" applyNumberFormat="1" applyFont="1" applyBorder="1" applyAlignment="1">
      <alignment horizontal="center" vertical="center"/>
    </xf>
    <xf numFmtId="1" fontId="12" fillId="0" borderId="25" xfId="1" applyNumberFormat="1" applyFont="1" applyBorder="1" applyAlignment="1">
      <alignment horizontal="center" vertical="center"/>
    </xf>
    <xf numFmtId="0" fontId="11" fillId="11" borderId="31" xfId="1" applyFont="1" applyFill="1" applyBorder="1" applyAlignment="1">
      <alignment vertical="center"/>
    </xf>
    <xf numFmtId="0" fontId="11" fillId="11" borderId="35" xfId="1" applyFont="1" applyFill="1" applyBorder="1" applyAlignment="1">
      <alignment vertical="center"/>
    </xf>
    <xf numFmtId="0" fontId="11" fillId="11" borderId="24" xfId="1" applyFont="1" applyFill="1" applyBorder="1" applyAlignment="1">
      <alignment vertical="center"/>
    </xf>
    <xf numFmtId="0" fontId="11" fillId="11" borderId="29" xfId="1" applyFont="1" applyFill="1" applyBorder="1" applyAlignment="1">
      <alignment vertical="center"/>
    </xf>
    <xf numFmtId="0" fontId="3" fillId="0" borderId="0" xfId="1" applyFont="1" applyAlignment="1">
      <alignment horizontal="right"/>
    </xf>
    <xf numFmtId="1" fontId="3" fillId="0" borderId="0" xfId="1" applyNumberFormat="1" applyFont="1" applyAlignment="1">
      <alignment horizontal="right"/>
    </xf>
    <xf numFmtId="0" fontId="13" fillId="0" borderId="0" xfId="1" applyFont="1"/>
    <xf numFmtId="0" fontId="1" fillId="0" borderId="0" xfId="0" applyFont="1"/>
    <xf numFmtId="14" fontId="3" fillId="2" borderId="0" xfId="0" applyNumberFormat="1" applyFont="1" applyFill="1" applyAlignment="1">
      <alignment horizontal="left" vertical="center"/>
    </xf>
    <xf numFmtId="1" fontId="0" fillId="0" borderId="0" xfId="0" applyNumberFormat="1"/>
    <xf numFmtId="1" fontId="2" fillId="0" borderId="0" xfId="1" applyNumberFormat="1" applyAlignment="1">
      <alignment horizontal="left" vertical="center"/>
    </xf>
    <xf numFmtId="14" fontId="2" fillId="0" borderId="0" xfId="1" applyNumberFormat="1" applyAlignment="1">
      <alignment horizontal="left" vertical="center"/>
    </xf>
    <xf numFmtId="0" fontId="1" fillId="6" borderId="26" xfId="1" applyFont="1" applyFill="1" applyBorder="1" applyAlignment="1">
      <alignment horizontal="center" vertical="center"/>
    </xf>
    <xf numFmtId="0" fontId="1" fillId="7" borderId="22" xfId="1" applyFont="1" applyFill="1" applyBorder="1" applyAlignment="1">
      <alignment horizontal="center" vertical="center"/>
    </xf>
    <xf numFmtId="0" fontId="1" fillId="8" borderId="22" xfId="1" applyFont="1" applyFill="1" applyBorder="1" applyAlignment="1">
      <alignment horizontal="center" vertical="center"/>
    </xf>
    <xf numFmtId="0" fontId="1" fillId="10" borderId="22" xfId="1" applyFont="1" applyFill="1" applyBorder="1" applyAlignment="1">
      <alignment horizontal="center" vertical="center"/>
    </xf>
    <xf numFmtId="0" fontId="1" fillId="9" borderId="22" xfId="1" applyFont="1" applyFill="1" applyBorder="1" applyAlignment="1">
      <alignment horizontal="center" vertical="center"/>
    </xf>
    <xf numFmtId="1" fontId="4" fillId="4" borderId="20" xfId="0" applyNumberFormat="1" applyFont="1" applyFill="1" applyBorder="1" applyAlignment="1">
      <alignment horizontal="center" vertical="center"/>
    </xf>
    <xf numFmtId="1" fontId="4" fillId="4" borderId="12" xfId="0" applyNumberFormat="1" applyFont="1" applyFill="1" applyBorder="1" applyAlignment="1">
      <alignment horizontal="center" vertical="center"/>
    </xf>
    <xf numFmtId="44" fontId="4" fillId="4" borderId="12" xfId="2" applyFont="1" applyFill="1" applyBorder="1" applyAlignment="1">
      <alignment horizontal="right" vertical="center"/>
    </xf>
    <xf numFmtId="0" fontId="13" fillId="0" borderId="0" xfId="5" applyFont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1" fillId="0" borderId="0" xfId="3" applyAlignment="1">
      <alignment vertical="center"/>
    </xf>
    <xf numFmtId="1" fontId="0" fillId="0" borderId="0" xfId="3" applyNumberFormat="1" applyFont="1"/>
    <xf numFmtId="49" fontId="1" fillId="0" borderId="0" xfId="3" applyNumberFormat="1" applyAlignment="1">
      <alignment vertical="center"/>
    </xf>
    <xf numFmtId="14" fontId="0" fillId="0" borderId="0" xfId="3" applyNumberFormat="1" applyFont="1"/>
    <xf numFmtId="7" fontId="0" fillId="0" borderId="0" xfId="3" applyNumberFormat="1" applyFont="1"/>
    <xf numFmtId="7" fontId="0" fillId="0" borderId="0" xfId="3" applyNumberFormat="1" applyFont="1" applyAlignment="1">
      <alignment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11" fillId="11" borderId="10" xfId="1" applyFont="1" applyFill="1" applyBorder="1" applyAlignment="1">
      <alignment horizontal="center" vertical="center"/>
    </xf>
    <xf numFmtId="0" fontId="11" fillId="11" borderId="11" xfId="1" applyFont="1" applyFill="1" applyBorder="1" applyAlignment="1">
      <alignment horizontal="center" vertical="center"/>
    </xf>
    <xf numFmtId="0" fontId="11" fillId="11" borderId="18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1" fillId="11" borderId="10" xfId="0" applyFont="1" applyFill="1" applyBorder="1" applyAlignment="1">
      <alignment horizontal="center" vertical="center"/>
    </xf>
    <xf numFmtId="0" fontId="11" fillId="11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6">
    <cellStyle name="Standard" xfId="0" builtinId="0"/>
    <cellStyle name="Standard 2" xfId="1" xr:uid="{00000000-0005-0000-0000-000001000000}"/>
    <cellStyle name="Standard 2 2" xfId="5" xr:uid="{0CAC11EA-6D09-4F79-8F50-861F72EF29C3}"/>
    <cellStyle name="Standard 3" xfId="3" xr:uid="{00000000-0005-0000-0000-000002000000}"/>
    <cellStyle name="Standard 4" xfId="4" xr:uid="{00000000-0005-0000-0000-000003000000}"/>
    <cellStyle name="Währung" xfId="2" builtinId="4"/>
  </cellStyles>
  <dxfs count="224">
    <dxf>
      <fill>
        <patternFill>
          <bgColor theme="9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-0.24994659260841701"/>
        </patternFill>
      </fill>
    </dxf>
    <dxf>
      <fill>
        <patternFill>
          <bgColor rgb="FFFFFF9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-0.24994659260841701"/>
        </patternFill>
      </fill>
    </dxf>
    <dxf>
      <fill>
        <patternFill>
          <bgColor rgb="FFFFFF9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-0.24994659260841701"/>
        </patternFill>
      </fill>
    </dxf>
    <dxf>
      <fill>
        <patternFill>
          <bgColor rgb="FFFFFF9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-0.24994659260841701"/>
        </patternFill>
      </fill>
    </dxf>
    <dxf>
      <fill>
        <patternFill>
          <bgColor rgb="FFFFFF99"/>
        </patternFill>
      </fill>
    </dxf>
    <dxf>
      <fill>
        <patternFill>
          <bgColor theme="9" tint="0.39994506668294322"/>
        </patternFill>
      </fill>
    </dxf>
    <dxf>
      <fill>
        <patternFill>
          <fgColor theme="5" tint="0.59996337778862885"/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-0.24994659260841701"/>
        </patternFill>
      </fill>
    </dxf>
    <dxf>
      <fill>
        <patternFill>
          <bgColor rgb="FFFFFF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</dxf>
    <dxf>
      <numFmt numFmtId="30" formatCode="@"/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0" readingOrder="0"/>
      <protection locked="1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</dxf>
    <dxf>
      <numFmt numFmtId="30" formatCode="@"/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vertical="center" textRotation="0" indent="0" justifyLastLine="0" shrinkToFit="0" readingOrder="0"/>
    </dxf>
    <dxf>
      <border diagonalUp="0" diagonalDown="0" outline="0">
        <left/>
        <right/>
        <top/>
        <bottom/>
      </border>
    </dxf>
    <dxf>
      <alignment vertical="center" textRotation="0" indent="0" justifyLastLine="0" shrinkToFit="0" readingOrder="0"/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1" formatCode="#,##0.00\ &quot;€&quot;;\-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border diagonalUp="0" diagonalDown="0" outline="0">
        <left/>
        <right/>
        <top/>
        <bottom/>
      </border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30" formatCode="@"/>
      <border diagonalUp="0" diagonalDown="0" outline="0">
        <left/>
        <right/>
        <top/>
        <bottom/>
      </border>
    </dxf>
    <dxf>
      <numFmt numFmtId="30" formatCode="@"/>
      <alignment vertical="center" textRotation="0" indent="0" justifyLastLine="0" shrinkToFit="0" readingOrder="0"/>
    </dxf>
    <dxf>
      <border diagonalUp="0" diagonalDown="0" outline="0">
        <left/>
        <right/>
        <top/>
        <bottom/>
      </border>
    </dxf>
    <dxf>
      <alignment vertical="center" textRotation="0" indent="0" justifyLastLine="0" shrinkToFit="0" readingOrder="0"/>
    </dxf>
    <dxf>
      <border diagonalUp="0" diagonalDown="0" outline="0">
        <left/>
        <right/>
        <top/>
        <bottom/>
      </border>
    </dxf>
    <dxf>
      <alignment vertical="center" textRotation="0" indent="0" justifyLastLine="0" shrinkToFit="0" readingOrder="0"/>
    </dxf>
    <dxf>
      <border diagonalUp="0" diagonalDown="0" outline="0">
        <left/>
        <right/>
        <top/>
        <bottom/>
      </border>
    </dxf>
    <dxf>
      <alignment vertical="center" textRotation="0" indent="0" justifyLastLine="0" shrinkToFit="0" readingOrder="0"/>
    </dxf>
    <dxf>
      <border diagonalUp="0" diagonalDown="0" outline="0">
        <left/>
        <right/>
        <top/>
        <bottom/>
      </border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19" formatCode="dd/mm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1" formatCode="0"/>
      <alignment horizontal="left" vertical="center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</dxf>
    <dxf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13" dropStyle="combo" dx="22" fmlaLink="$A$5" fmlaRange="Daten!$B$7:$C$19" sel="4" val="0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47625</xdr:rowOff>
        </xdr:from>
        <xdr:to>
          <xdr:col>3</xdr:col>
          <xdr:colOff>1076325</xdr:colOff>
          <xdr:row>6</xdr:row>
          <xdr:rowOff>123825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bestand_kunden" displayName="bestand_kunden" ref="A14:O39" headerRowDxfId="223" dataDxfId="222" totalsRowDxfId="221" dataCellStyle="Standard 2">
  <autoFilter ref="A14:O39" xr:uid="{00000000-0009-0000-0100-000003000000}"/>
  <sortState xmlns:xlrd2="http://schemas.microsoft.com/office/spreadsheetml/2017/richdata2" ref="A15:N26">
    <sortCondition ref="A14:A26"/>
  </sortState>
  <tableColumns count="15">
    <tableColumn id="1" xr3:uid="{00000000-0010-0000-0000-000001000000}" name="Art" totalsRowLabel="Ergebnis" dataDxfId="220" totalsRowDxfId="219" dataCellStyle="Standard 2"/>
    <tableColumn id="2" xr3:uid="{00000000-0010-0000-0000-000002000000}" name="Anrede" dataDxfId="218" totalsRowDxfId="217" dataCellStyle="Standard 2"/>
    <tableColumn id="3" xr3:uid="{00000000-0010-0000-0000-000003000000}" name="Titel" dataDxfId="216" totalsRowDxfId="215" dataCellStyle="Standard 2"/>
    <tableColumn id="4" xr3:uid="{00000000-0010-0000-0000-000004000000}" name="Name" dataDxfId="214" totalsRowDxfId="213" dataCellStyle="Standard 2"/>
    <tableColumn id="5" xr3:uid="{00000000-0010-0000-0000-000005000000}" name="Vorname/Ansprechpartner" dataDxfId="212" totalsRowDxfId="211" dataCellStyle="Standard 2"/>
    <tableColumn id="6" xr3:uid="{00000000-0010-0000-0000-000006000000}" name="Straße" dataDxfId="210" totalsRowDxfId="209" dataCellStyle="Standard 2"/>
    <tableColumn id="7" xr3:uid="{00000000-0010-0000-0000-000007000000}" name="Postleitzahl" dataDxfId="208" totalsRowDxfId="207" dataCellStyle="Standard 2"/>
    <tableColumn id="8" xr3:uid="{00000000-0010-0000-0000-000008000000}" name="Ort" dataDxfId="206" totalsRowDxfId="205" dataCellStyle="Standard 2"/>
    <tableColumn id="9" xr3:uid="{00000000-0010-0000-0000-000009000000}" name="Telefon" dataDxfId="204" totalsRowDxfId="203" dataCellStyle="Standard 2"/>
    <tableColumn id="10" xr3:uid="{00000000-0010-0000-0000-00000A000000}" name="Mobil" dataDxfId="202" totalsRowDxfId="201" dataCellStyle="Standard 2"/>
    <tableColumn id="11" xr3:uid="{00000000-0010-0000-0000-00000B000000}" name="E-Mail" dataDxfId="200" totalsRowDxfId="199" dataCellStyle="Standard 2"/>
    <tableColumn id="15" xr3:uid="{9017BC1D-8EEF-4DBC-820B-E97B2379A8AC}" name="Beruf" totalsRowDxfId="198" dataCellStyle="Standard 3"/>
    <tableColumn id="12" xr3:uid="{00000000-0010-0000-0000-00000C000000}" name="Kategorie" dataDxfId="197" totalsRowDxfId="196" dataCellStyle="Standard 2"/>
    <tableColumn id="13" xr3:uid="{00000000-0010-0000-0000-00000D000000}" name="Service am" dataDxfId="195" totalsRowDxfId="194" dataCellStyle="Standard 2"/>
    <tableColumn id="14" xr3:uid="{00000000-0010-0000-0000-00000E000000}" name="Serviceintervall" dataDxfId="193" totalsRowDxfId="192" dataCellStyle="Standard 2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bestand_suhk" displayName="bestand_suhk" ref="A16:N38" headerRowDxfId="191" totalsRowCellStyle="Standard 3">
  <autoFilter ref="A16:N38" xr:uid="{00000000-0009-0000-0100-000001000000}"/>
  <sortState xmlns:xlrd2="http://schemas.microsoft.com/office/spreadsheetml/2017/richdata2" ref="A17:N29">
    <sortCondition ref="B16:B29"/>
  </sortState>
  <tableColumns count="14">
    <tableColumn id="1" xr3:uid="{00000000-0010-0000-0100-000001000000}" name="Art" totalsRowLabel="Ergebnis" dataDxfId="190" totalsRowDxfId="189" dataCellStyle="Standard 3"/>
    <tableColumn id="2" xr3:uid="{00000000-0010-0000-0100-000002000000}" name="Name" dataDxfId="188" totalsRowDxfId="187" dataCellStyle="Standard 3"/>
    <tableColumn id="3" xr3:uid="{00000000-0010-0000-0100-000003000000}" name="Vorname" dataDxfId="186" totalsRowDxfId="185" dataCellStyle="Standard 3"/>
    <tableColumn id="4" xr3:uid="{00000000-0010-0000-0100-000004000000}" name="Gesellschaft" dataDxfId="184" totalsRowDxfId="183" dataCellStyle="Standard 3"/>
    <tableColumn id="5" xr3:uid="{00000000-0010-0000-0100-000005000000}" name="Produkt" dataDxfId="182" totalsRowDxfId="181" dataCellStyle="Standard 3"/>
    <tableColumn id="7" xr3:uid="{00000000-0010-0000-0100-000007000000}" name="Policen-Nr." dataDxfId="180" totalsRowDxfId="179" dataCellStyle="Standard 3"/>
    <tableColumn id="8" xr3:uid="{00000000-0010-0000-0100-000008000000}" name="Antrags-_x000a_datum" dataDxfId="178" totalsRowDxfId="177" dataCellStyle="Standard 3"/>
    <tableColumn id="9" xr3:uid="{00000000-0010-0000-0100-000009000000}" name="Vertrags-_x000a_beginn" dataDxfId="176" totalsRowDxfId="175" dataCellStyle="Standard 3"/>
    <tableColumn id="10" xr3:uid="{00000000-0010-0000-0100-00000A000000}" name="Vertrags-_x000a_ablauf" dataDxfId="174" totalsRowDxfId="173" dataCellStyle="Standard 3"/>
    <tableColumn id="11" xr3:uid="{00000000-0010-0000-0100-00000B000000}" name="Brutto-UE" totalsRowFunction="sum" dataDxfId="172" totalsRowDxfId="171" dataCellStyle="Standard 3"/>
    <tableColumn id="12" xr3:uid="{00000000-0010-0000-0100-00000C000000}" name="Jahresbruttoprämie" totalsRowFunction="sum" dataDxfId="170" totalsRowDxfId="169" dataCellStyle="Standard 3"/>
    <tableColumn id="13" xr3:uid="{00000000-0010-0000-0100-00000D000000}" name="Jahresnettoprämie" totalsRowFunction="sum" dataDxfId="168" totalsRowDxfId="167" dataCellStyle="Standard 3"/>
    <tableColumn id="14" xr3:uid="{00000000-0010-0000-0100-00000E000000}" name="BW_x000a_Summe" totalsRowFunction="sum" dataDxfId="166" totalsRowDxfId="165" dataCellStyle="Standard 3"/>
    <tableColumn id="16" xr3:uid="{00000000-0010-0000-0100-000010000000}" name="Kategorie" totalsRowFunction="count" dataDxfId="164" totalsRowDxfId="163" dataCellStyle="Standard 3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bestand_produktion" displayName="bestand_produktion" ref="A16:O39" headerRowDxfId="162" dataDxfId="160" headerRowBorderDxfId="161">
  <autoFilter ref="A16:O39" xr:uid="{00000000-0009-0000-0100-000002000000}"/>
  <sortState xmlns:xlrd2="http://schemas.microsoft.com/office/spreadsheetml/2017/richdata2" ref="A17:O29">
    <sortCondition ref="O16:O29"/>
  </sortState>
  <tableColumns count="15">
    <tableColumn id="1" xr3:uid="{00000000-0010-0000-0200-000001000000}" name="Art" totalsRowLabel="Ergebnis" dataDxfId="159" totalsRowDxfId="158"/>
    <tableColumn id="2" xr3:uid="{00000000-0010-0000-0200-000002000000}" name="Name" dataDxfId="157" totalsRowDxfId="156"/>
    <tableColumn id="3" xr3:uid="{00000000-0010-0000-0200-000003000000}" name="Vorname" dataDxfId="155" totalsRowDxfId="154"/>
    <tableColumn id="4" xr3:uid="{00000000-0010-0000-0200-000004000000}" name="Gesellschaft" dataDxfId="153" totalsRowDxfId="152"/>
    <tableColumn id="5" xr3:uid="{00000000-0010-0000-0200-000005000000}" name="Produkt" dataDxfId="151" totalsRowDxfId="150"/>
    <tableColumn id="6" xr3:uid="{C9B9C5C1-B1AE-4E82-B9CD-CFF4BE800B8E}" name="Tarif" totalsRowDxfId="149" dataCellStyle="Standard 3"/>
    <tableColumn id="7" xr3:uid="{00000000-0010-0000-0200-000007000000}" name="Policen-Nr." dataDxfId="148" totalsRowDxfId="147"/>
    <tableColumn id="8" xr3:uid="{00000000-0010-0000-0200-000008000000}" name="Antrags-_x000a_datum" dataDxfId="146" totalsRowDxfId="145"/>
    <tableColumn id="9" xr3:uid="{00000000-0010-0000-0200-000009000000}" name="Vertrags-_x000a_beginn" dataDxfId="144" totalsRowDxfId="143"/>
    <tableColumn id="10" xr3:uid="{00000000-0010-0000-0200-00000A000000}" name="Vertrags-_x000a_ablauf" dataDxfId="142" totalsRowDxfId="141"/>
    <tableColumn id="11" xr3:uid="{00000000-0010-0000-0200-00000B000000}" name="Brutto-UE" totalsRowFunction="sum" dataDxfId="140" totalsRowDxfId="139"/>
    <tableColumn id="12" xr3:uid="{00000000-0010-0000-0200-00000C000000}" name="BW-Summe" totalsRowFunction="sum" dataDxfId="138" totalsRowDxfId="137"/>
    <tableColumn id="13" xr3:uid="{00000000-0010-0000-0200-00000D000000}" name="Jahresnettoprämie" totalsRowFunction="sum" dataDxfId="136" totalsRowDxfId="135"/>
    <tableColumn id="14" xr3:uid="{00000000-0010-0000-0200-00000E000000}" name="Status" totalsRowFunction="sum" dataDxfId="134" totalsRowDxfId="133"/>
    <tableColumn id="16" xr3:uid="{00000000-0010-0000-0200-000010000000}" name="Kategorie" totalsRowFunction="count" dataDxfId="132" totalsRowDxfId="131" dataCellStyle="Standard 3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bestand_produktion_b" displayName="bestand_produktion_b" ref="A16:O39" headerRowDxfId="130" totalsRowDxfId="128" headerRowBorderDxfId="129">
  <autoFilter ref="A16:O39" xr:uid="{00000000-0009-0000-0100-000004000000}"/>
  <tableColumns count="15">
    <tableColumn id="1" xr3:uid="{00000000-0010-0000-0300-000001000000}" name="Art" totalsRowLabel="Ergebnis" dataDxfId="127" totalsRowDxfId="126" dataCellStyle="Standard 3"/>
    <tableColumn id="2" xr3:uid="{00000000-0010-0000-0300-000002000000}" name="Name" dataDxfId="125" totalsRowDxfId="124" dataCellStyle="Standard 3"/>
    <tableColumn id="3" xr3:uid="{00000000-0010-0000-0300-000003000000}" name="Vorname" dataDxfId="123" totalsRowDxfId="122" dataCellStyle="Standard 3"/>
    <tableColumn id="4" xr3:uid="{00000000-0010-0000-0300-000004000000}" name="Gesellschaft" dataDxfId="121" totalsRowDxfId="120" dataCellStyle="Standard 3"/>
    <tableColumn id="5" xr3:uid="{00000000-0010-0000-0300-000005000000}" name="Produkt" dataDxfId="119" totalsRowDxfId="118" dataCellStyle="Standard 3"/>
    <tableColumn id="6" xr3:uid="{B7C7019B-A073-484A-B0FA-EB8B7C034935}" name="Tarif" totalsRowDxfId="117" dataCellStyle="Standard 3"/>
    <tableColumn id="7" xr3:uid="{00000000-0010-0000-0300-000007000000}" name="Policen-Nr." dataDxfId="116" totalsRowDxfId="115" dataCellStyle="Standard 3"/>
    <tableColumn id="8" xr3:uid="{00000000-0010-0000-0300-000008000000}" name="Antrags-_x000a_datum" dataDxfId="114" totalsRowDxfId="113" dataCellStyle="Standard 3"/>
    <tableColumn id="9" xr3:uid="{00000000-0010-0000-0300-000009000000}" name="Vertrags-_x000a_beginn" dataDxfId="112" totalsRowDxfId="111" dataCellStyle="Standard 3"/>
    <tableColumn id="10" xr3:uid="{00000000-0010-0000-0300-00000A000000}" name="Vertrags-_x000a_ablauf" dataDxfId="110" totalsRowDxfId="109" dataCellStyle="Standard 3"/>
    <tableColumn id="11" xr3:uid="{00000000-0010-0000-0300-00000B000000}" name="Brutto-UE" totalsRowFunction="sum" dataDxfId="108" totalsRowDxfId="107" dataCellStyle="Standard 3"/>
    <tableColumn id="12" xr3:uid="{00000000-0010-0000-0300-00000C000000}" name="BW-Summe" totalsRowFunction="sum" dataDxfId="106" totalsRowDxfId="105" dataCellStyle="Standard 3"/>
    <tableColumn id="13" xr3:uid="{00000000-0010-0000-0300-00000D000000}" name="Jahresnettoprämie" totalsRowFunction="sum" dataDxfId="104" totalsRowDxfId="103" dataCellStyle="Standard 3"/>
    <tableColumn id="14" xr3:uid="{00000000-0010-0000-0300-00000E000000}" name="Status" totalsRowFunction="sum" dataDxfId="102" totalsRowDxfId="101" dataCellStyle="Standard 3"/>
    <tableColumn id="16" xr3:uid="{00000000-0010-0000-0300-000010000000}" name="Kategorie" totalsRowFunction="count" dataDxfId="100" totalsRowDxfId="99" dataCellStyle="Standard 3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CF59CFA-C0FE-4763-B2AA-71023A8CDA48}" name="bestand_produktion_b91011" displayName="bestand_produktion_b91011" ref="A16:T57" headerRowDxfId="98" totalsRowDxfId="96" headerRowBorderDxfId="97">
  <autoFilter ref="A16:T57" xr:uid="{00000000-0009-0000-0100-000004000000}"/>
  <tableColumns count="20">
    <tableColumn id="1" xr3:uid="{E437835D-4767-4711-AF0E-D9FF9BAC1310}" name="Art" totalsRowLabel="Ergebnis" dataDxfId="95" totalsRowDxfId="94" dataCellStyle="Standard 3"/>
    <tableColumn id="2" xr3:uid="{E8BAB367-8630-4FD7-ADBA-DACD02A7C476}" name="Name" dataDxfId="93" totalsRowDxfId="92" dataCellStyle="Standard 3"/>
    <tableColumn id="3" xr3:uid="{1C208FBA-D98D-4B0A-8874-A8ECF9C030D0}" name="Vorname" dataDxfId="91" totalsRowDxfId="90" dataCellStyle="Standard 3"/>
    <tableColumn id="4" xr3:uid="{ED28F945-46D2-4758-93C1-B9D9AE277C92}" name="Gesellschaft" dataDxfId="89" totalsRowDxfId="88" dataCellStyle="Standard 3"/>
    <tableColumn id="5" xr3:uid="{891F8B24-612A-407E-8D43-DCE83661C183}" name="Produkt" dataDxfId="87" totalsRowDxfId="86" dataCellStyle="Standard 3"/>
    <tableColumn id="6" xr3:uid="{05F3CE73-7CAC-4E20-9B68-10D353E77FEC}" name="Tarif" totalsRowDxfId="85" dataCellStyle="Standard 3"/>
    <tableColumn id="7" xr3:uid="{EBF0C7DC-7EE7-4447-BE93-0A004CA7CF27}" name="Policen-Nr." dataDxfId="84" totalsRowDxfId="83" dataCellStyle="Standard 3"/>
    <tableColumn id="8" xr3:uid="{F31774DB-4410-4FCE-A768-2E82F6DE7213}" name="Antrags-_x000a_datum" dataDxfId="82" totalsRowDxfId="81" dataCellStyle="Standard 3"/>
    <tableColumn id="9" xr3:uid="{9F4DDFF6-5B0C-4992-8AAB-F50DD2B4A86B}" name="Vertrags-_x000a_beginn" dataDxfId="80" totalsRowDxfId="79" dataCellStyle="Standard 3"/>
    <tableColumn id="10" xr3:uid="{916E6259-5A6C-45F4-96F2-578067D5CD98}" name="Vertrags-_x000a_ablauf" dataDxfId="78" totalsRowDxfId="77" dataCellStyle="Standard 3"/>
    <tableColumn id="11" xr3:uid="{230D33DC-26BF-4C85-BCA3-A4FB0F81A744}" name="Brutto-UE" totalsRowFunction="sum" dataDxfId="76" totalsRowDxfId="75" dataCellStyle="Standard 3"/>
    <tableColumn id="12" xr3:uid="{A9D0B9EF-C10C-4A62-B911-CC362617BFFB}" name="BW-Summe" totalsRowFunction="sum" dataDxfId="74" totalsRowDxfId="73" dataCellStyle="Standard 3"/>
    <tableColumn id="13" xr3:uid="{B35B514C-7CBE-41AF-BA62-57517BD614B2}" name="Jahresnettoprämie" totalsRowFunction="sum" dataDxfId="72" totalsRowDxfId="71" dataCellStyle="Standard 3"/>
    <tableColumn id="14" xr3:uid="{283FDE23-136D-48FD-8BDB-1C50E05E2B0F}" name="Status" totalsRowFunction="sum" dataDxfId="70" totalsRowDxfId="69" dataCellStyle="Standard 3"/>
    <tableColumn id="15" xr3:uid="{6C723A3B-334A-4794-B256-338829ED18FF}" name="Kategorie" dataDxfId="68" totalsRowDxfId="67"/>
    <tableColumn id="22" xr3:uid="{C630EE39-46E2-4920-BFA3-8733E5212781}" name="E-Mail" dataDxfId="66" totalsRowDxfId="65" dataCellStyle="Standard 3"/>
    <tableColumn id="16" xr3:uid="{AFF40D94-A37B-4E66-999F-1C99F6778F69}" name="Telefon" dataDxfId="64" totalsRowDxfId="63"/>
    <tableColumn id="17" xr3:uid="{1A4811ED-F6F9-4E41-9AEF-93668BF529F7}" name="E-Mail raus_x000a_am" dataDxfId="62" totalsRowDxfId="61"/>
    <tableColumn id="18" xr3:uid="{9F9A8724-910E-4073-9826-573645EB23CD}" name="TelKo_x000a_am" dataDxfId="60" totalsRowDxfId="59"/>
    <tableColumn id="19" xr3:uid="{1391DAF1-1B6E-49A0-AC1B-CA459D5949C7}" name="Notiz" dataDxfId="58" totalsRowDxfId="57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C19"/>
  <sheetViews>
    <sheetView workbookViewId="0">
      <selection activeCell="C44" sqref="C44"/>
    </sheetView>
  </sheetViews>
  <sheetFormatPr baseColWidth="10" defaultRowHeight="12.75" x14ac:dyDescent="0.2"/>
  <cols>
    <col min="2" max="2" width="25.85546875" bestFit="1" customWidth="1"/>
  </cols>
  <sheetData>
    <row r="4" spans="1:3" ht="13.5" thickBot="1" x14ac:dyDescent="0.25"/>
    <row r="5" spans="1:3" ht="12.75" customHeight="1" x14ac:dyDescent="0.2">
      <c r="A5" s="105" t="s">
        <v>40</v>
      </c>
      <c r="B5" s="106"/>
      <c r="C5" s="109" t="s">
        <v>51</v>
      </c>
    </row>
    <row r="6" spans="1:3" ht="12.75" customHeight="1" x14ac:dyDescent="0.2">
      <c r="A6" s="107"/>
      <c r="B6" s="108"/>
      <c r="C6" s="108"/>
    </row>
    <row r="7" spans="1:3" x14ac:dyDescent="0.2">
      <c r="A7" s="23">
        <v>1</v>
      </c>
      <c r="B7" s="81" t="s">
        <v>67</v>
      </c>
      <c r="C7" s="24">
        <v>12</v>
      </c>
    </row>
    <row r="8" spans="1:3" x14ac:dyDescent="0.2">
      <c r="A8" s="23">
        <v>2</v>
      </c>
      <c r="B8" s="81" t="s">
        <v>68</v>
      </c>
      <c r="C8" s="24">
        <v>16</v>
      </c>
    </row>
    <row r="9" spans="1:3" x14ac:dyDescent="0.2">
      <c r="A9" s="23">
        <v>3</v>
      </c>
      <c r="B9" s="81" t="s">
        <v>69</v>
      </c>
      <c r="C9" s="24">
        <v>20</v>
      </c>
    </row>
    <row r="10" spans="1:3" x14ac:dyDescent="0.2">
      <c r="A10" s="23">
        <v>4</v>
      </c>
      <c r="B10" t="s">
        <v>41</v>
      </c>
      <c r="C10" s="24">
        <v>22</v>
      </c>
    </row>
    <row r="11" spans="1:3" x14ac:dyDescent="0.2">
      <c r="A11" s="23">
        <v>5</v>
      </c>
      <c r="B11" t="s">
        <v>42</v>
      </c>
      <c r="C11" s="24">
        <v>24</v>
      </c>
    </row>
    <row r="12" spans="1:3" x14ac:dyDescent="0.2">
      <c r="A12" s="23">
        <v>6</v>
      </c>
      <c r="B12" t="s">
        <v>43</v>
      </c>
      <c r="C12" s="24">
        <v>26</v>
      </c>
    </row>
    <row r="13" spans="1:3" x14ac:dyDescent="0.2">
      <c r="A13" s="23">
        <v>7</v>
      </c>
      <c r="B13" t="s">
        <v>44</v>
      </c>
      <c r="C13" s="24">
        <v>28</v>
      </c>
    </row>
    <row r="14" spans="1:3" x14ac:dyDescent="0.2">
      <c r="A14" s="23">
        <v>8</v>
      </c>
      <c r="B14" t="s">
        <v>45</v>
      </c>
      <c r="C14" s="24">
        <v>22</v>
      </c>
    </row>
    <row r="15" spans="1:3" x14ac:dyDescent="0.2">
      <c r="A15" s="23">
        <v>9</v>
      </c>
      <c r="B15" t="s">
        <v>46</v>
      </c>
      <c r="C15" s="24">
        <v>24</v>
      </c>
    </row>
    <row r="16" spans="1:3" x14ac:dyDescent="0.2">
      <c r="A16" s="23">
        <v>10</v>
      </c>
      <c r="B16" t="s">
        <v>47</v>
      </c>
      <c r="C16" s="24">
        <v>26</v>
      </c>
    </row>
    <row r="17" spans="1:3" x14ac:dyDescent="0.2">
      <c r="A17" s="23">
        <v>11</v>
      </c>
      <c r="B17" t="s">
        <v>48</v>
      </c>
      <c r="C17" s="24">
        <v>28</v>
      </c>
    </row>
    <row r="18" spans="1:3" x14ac:dyDescent="0.2">
      <c r="A18" s="23">
        <v>12</v>
      </c>
      <c r="B18" t="s">
        <v>49</v>
      </c>
      <c r="C18" s="24">
        <v>30</v>
      </c>
    </row>
    <row r="19" spans="1:3" ht="13.5" thickBot="1" x14ac:dyDescent="0.25">
      <c r="A19" s="25">
        <v>13</v>
      </c>
      <c r="B19" s="26" t="s">
        <v>50</v>
      </c>
      <c r="C19" s="27">
        <v>30</v>
      </c>
    </row>
  </sheetData>
  <mergeCells count="2">
    <mergeCell ref="A5:B6"/>
    <mergeCell ref="C5:C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9"/>
  <sheetViews>
    <sheetView tabSelected="1" zoomScale="80" zoomScaleNormal="80" workbookViewId="0">
      <pane ySplit="14" topLeftCell="A15" activePane="bottomLeft" state="frozen"/>
      <selection pane="bottomLeft" activeCell="E8" sqref="E8"/>
    </sheetView>
  </sheetViews>
  <sheetFormatPr baseColWidth="10" defaultColWidth="11.42578125" defaultRowHeight="12.75" x14ac:dyDescent="0.2"/>
  <cols>
    <col min="1" max="1" width="8.7109375" style="10" bestFit="1" customWidth="1"/>
    <col min="2" max="2" width="10.5703125" style="10" customWidth="1"/>
    <col min="3" max="3" width="8.28515625" style="10" bestFit="1" customWidth="1"/>
    <col min="4" max="4" width="41" style="10" bestFit="1" customWidth="1"/>
    <col min="5" max="5" width="31.5703125" style="10" bestFit="1" customWidth="1"/>
    <col min="6" max="6" width="29.5703125" style="10" bestFit="1" customWidth="1"/>
    <col min="7" max="10" width="22.7109375" style="10" customWidth="1"/>
    <col min="11" max="11" width="33.42578125" style="10" bestFit="1" customWidth="1"/>
    <col min="12" max="12" width="27.7109375" style="10" customWidth="1"/>
    <col min="13" max="13" width="15" style="10" bestFit="1" customWidth="1"/>
    <col min="14" max="14" width="19.28515625" style="10" bestFit="1" customWidth="1"/>
    <col min="15" max="16384" width="11.42578125" style="10"/>
  </cols>
  <sheetData>
    <row r="1" spans="1:15" ht="13.5" thickBot="1" x14ac:dyDescent="0.25">
      <c r="A1" s="110" t="s">
        <v>63</v>
      </c>
      <c r="B1" s="110"/>
      <c r="C1" s="110"/>
      <c r="D1" s="110"/>
      <c r="E1" s="28" t="s">
        <v>65</v>
      </c>
      <c r="G1" s="11"/>
      <c r="H1" s="11"/>
      <c r="I1" s="11"/>
      <c r="J1" s="11"/>
      <c r="L1" s="12"/>
      <c r="M1" s="78" t="s">
        <v>64</v>
      </c>
      <c r="N1" s="13">
        <f ca="1">TODAY()</f>
        <v>45698</v>
      </c>
    </row>
    <row r="2" spans="1:15" ht="16.5" thickBot="1" x14ac:dyDescent="0.25">
      <c r="A2" s="110"/>
      <c r="B2" s="110"/>
      <c r="C2" s="110"/>
      <c r="D2" s="110"/>
      <c r="E2" s="82"/>
      <c r="G2" s="111" t="s">
        <v>55</v>
      </c>
      <c r="H2" s="112"/>
      <c r="I2" s="113" t="s">
        <v>56</v>
      </c>
      <c r="J2" s="112"/>
      <c r="L2" s="37"/>
      <c r="M2" s="79"/>
    </row>
    <row r="3" spans="1:15" ht="12.75" customHeight="1" x14ac:dyDescent="0.2">
      <c r="A3" s="114"/>
      <c r="B3" s="114"/>
      <c r="C3" s="114"/>
      <c r="D3" s="114"/>
      <c r="E3" s="2"/>
      <c r="G3" s="86" t="s">
        <v>71</v>
      </c>
      <c r="H3" s="66">
        <f>COUNTIFS(bestand_kunden[Art],"1",bestand_kunden[Kategorie],"VIP")+COUNTIFS(bestand_kunden[Art],"1",bestand_kunden[Kategorie],"VIP-D")</f>
        <v>0</v>
      </c>
      <c r="I3" s="86" t="s">
        <v>71</v>
      </c>
      <c r="J3" s="66">
        <f>COUNTIFS(bestand_kunden[Art],"2",bestand_kunden[Kategorie],"VIP")+COUNTIFS(bestand_kunden[Art],"2",bestand_kunden[Kategorie],"VIP-D")</f>
        <v>0</v>
      </c>
    </row>
    <row r="4" spans="1:15" ht="12.75" customHeight="1" x14ac:dyDescent="0.2">
      <c r="A4" s="114"/>
      <c r="B4" s="114"/>
      <c r="C4" s="114"/>
      <c r="D4" s="114"/>
      <c r="E4" s="28" t="s">
        <v>62</v>
      </c>
      <c r="G4" s="87" t="s">
        <v>72</v>
      </c>
      <c r="H4" s="63">
        <f>COUNTIFS(bestand_kunden[Art],"1",bestand_kunden[Kategorie],"A")+COUNTIFS(bestand_kunden[Art],"1",bestand_kunden[Kategorie],"A-D")</f>
        <v>0</v>
      </c>
      <c r="I4" s="87" t="s">
        <v>72</v>
      </c>
      <c r="J4" s="63">
        <f>COUNTIFS(bestand_kunden[Art],"2",bestand_kunden[Kategorie],"A")+COUNTIFS(bestand_kunden[Art],"2",bestand_kunden[Kategorie],"A-D")</f>
        <v>0</v>
      </c>
    </row>
    <row r="5" spans="1:15" x14ac:dyDescent="0.2">
      <c r="A5" s="2">
        <v>4</v>
      </c>
      <c r="B5" s="2"/>
      <c r="C5" s="2"/>
      <c r="D5" s="2"/>
      <c r="E5" s="82"/>
      <c r="G5" s="88" t="s">
        <v>73</v>
      </c>
      <c r="H5" s="63">
        <f>COUNTIFS(bestand_kunden[Art],"1",bestand_kunden[Kategorie],"B")+COUNTIFS(bestand_kunden[Art],"1",bestand_kunden[Kategorie],"B-D")</f>
        <v>0</v>
      </c>
      <c r="I5" s="88" t="s">
        <v>73</v>
      </c>
      <c r="J5" s="63">
        <f>COUNTIFS(bestand_kunden[Art],"2",bestand_kunden[Kategorie],"B")+COUNTIFS(bestand_kunden[Art],"2",bestand_kunden[Kategorie],"B-D")</f>
        <v>0</v>
      </c>
    </row>
    <row r="6" spans="1:15" x14ac:dyDescent="0.2">
      <c r="A6" s="2"/>
      <c r="B6" s="2"/>
      <c r="C6" s="2"/>
      <c r="D6" s="1"/>
      <c r="E6" s="3"/>
      <c r="G6" s="89" t="s">
        <v>74</v>
      </c>
      <c r="H6" s="63">
        <f>COUNTIFS(bestand_kunden[Art],"1",bestand_kunden[Kategorie],"C")+COUNTIFS(bestand_kunden[Art],"1",bestand_kunden[Kategorie],"C-D")</f>
        <v>0</v>
      </c>
      <c r="I6" s="89" t="s">
        <v>74</v>
      </c>
      <c r="J6" s="63">
        <f>COUNTIFS(bestand_kunden[Art],"2",bestand_kunden[Kategorie],"C")+COUNTIFS(bestand_kunden[Art],"2",bestand_kunden[Kategorie],"C-D")</f>
        <v>0</v>
      </c>
    </row>
    <row r="7" spans="1:15" x14ac:dyDescent="0.2">
      <c r="C7" s="79"/>
      <c r="G7" s="90" t="s">
        <v>75</v>
      </c>
      <c r="H7" s="63">
        <f>COUNTIFS(bestand_kunden[Art],"1",bestand_kunden[Kategorie],"D")+COUNTIFS(bestand_kunden[Art],"1",bestand_kunden[Kategorie],"D-D")</f>
        <v>0</v>
      </c>
      <c r="I7" s="90" t="s">
        <v>75</v>
      </c>
      <c r="J7" s="63">
        <f>COUNTIFS(bestand_kunden[Art],"2",bestand_kunden[Kategorie],"D")+COUNTIFS(bestand_kunden[Art],"2",bestand_kunden[Kategorie],"D-D")</f>
        <v>0</v>
      </c>
    </row>
    <row r="8" spans="1:15" x14ac:dyDescent="0.2">
      <c r="G8" s="64" t="s">
        <v>54</v>
      </c>
      <c r="H8" s="63">
        <f>COUNTIFS(bestand_kunden[Art],"1",bestand_kunden[Kategorie],"K")</f>
        <v>0</v>
      </c>
      <c r="I8" s="69"/>
      <c r="J8" s="63">
        <f>COUNTIFS(bestand_kunden[Art],"2",bestand_kunden[Kategorie],"K")</f>
        <v>0</v>
      </c>
    </row>
    <row r="9" spans="1:15" x14ac:dyDescent="0.2">
      <c r="A9" s="80" t="s">
        <v>66</v>
      </c>
      <c r="G9" s="65" t="s">
        <v>23</v>
      </c>
      <c r="H9" s="63">
        <f>COUNTIFS(bestand_kunden[Art],"1",bestand_kunden[Kategorie],"")</f>
        <v>0</v>
      </c>
      <c r="I9" s="70" t="s">
        <v>23</v>
      </c>
      <c r="J9" s="63">
        <f>COUNTIFS(bestand_kunden[Art],"2",bestand_kunden[Kategorie],"")</f>
        <v>0</v>
      </c>
    </row>
    <row r="10" spans="1:15" ht="13.5" thickBot="1" x14ac:dyDescent="0.25">
      <c r="A10" s="22" t="s">
        <v>36</v>
      </c>
      <c r="G10" s="67" t="s">
        <v>8</v>
      </c>
      <c r="H10" s="68">
        <f>COUNTIFS(bestand_kunden[Art],"1",bestand_kunden[Kategorie],"DSGVO!")</f>
        <v>0</v>
      </c>
      <c r="I10" s="71" t="s">
        <v>8</v>
      </c>
      <c r="J10" s="68">
        <f>COUNTIFS(bestand_kunden[Art],"2",bestand_kunden[Kategorie],"DSGVO!")</f>
        <v>0</v>
      </c>
    </row>
    <row r="11" spans="1:15" ht="15.75" x14ac:dyDescent="0.2">
      <c r="G11" s="74" t="s">
        <v>21</v>
      </c>
      <c r="H11" s="72">
        <f>SUM(H3:H10)</f>
        <v>0</v>
      </c>
      <c r="I11" s="75" t="s">
        <v>21</v>
      </c>
      <c r="J11" s="72">
        <f>SUM(J3:J10)</f>
        <v>0</v>
      </c>
    </row>
    <row r="12" spans="1:15" ht="16.5" thickBot="1" x14ac:dyDescent="0.25">
      <c r="G12" s="76" t="s">
        <v>60</v>
      </c>
      <c r="H12" s="73">
        <f>$H$11-$H$8</f>
        <v>0</v>
      </c>
      <c r="I12" s="77" t="s">
        <v>59</v>
      </c>
      <c r="J12" s="73">
        <f>$J$11-$J$9</f>
        <v>0</v>
      </c>
    </row>
    <row r="14" spans="1:15" s="14" customFormat="1" x14ac:dyDescent="0.2">
      <c r="A14" s="38" t="s">
        <v>9</v>
      </c>
      <c r="B14" s="38" t="s">
        <v>24</v>
      </c>
      <c r="C14" s="38" t="s">
        <v>25</v>
      </c>
      <c r="D14" s="38" t="s">
        <v>0</v>
      </c>
      <c r="E14" s="38" t="s">
        <v>53</v>
      </c>
      <c r="F14" s="38" t="s">
        <v>26</v>
      </c>
      <c r="G14" s="38" t="s">
        <v>27</v>
      </c>
      <c r="H14" s="38" t="s">
        <v>28</v>
      </c>
      <c r="I14" s="38" t="s">
        <v>29</v>
      </c>
      <c r="J14" s="38" t="s">
        <v>30</v>
      </c>
      <c r="K14" s="38" t="s">
        <v>31</v>
      </c>
      <c r="L14" s="38" t="s">
        <v>76</v>
      </c>
      <c r="M14" s="38" t="s">
        <v>3</v>
      </c>
      <c r="N14" s="38" t="s">
        <v>32</v>
      </c>
      <c r="O14" s="14" t="s">
        <v>61</v>
      </c>
    </row>
    <row r="15" spans="1:15" s="16" customFormat="1" x14ac:dyDescent="0.2">
      <c r="A15" s="83"/>
      <c r="B15"/>
      <c r="C15"/>
      <c r="D15"/>
      <c r="E15"/>
      <c r="F15"/>
      <c r="G15"/>
      <c r="H15"/>
      <c r="I15" s="17"/>
      <c r="J15" s="17"/>
      <c r="K15" s="17"/>
      <c r="L15" s="17"/>
      <c r="M15" s="17"/>
      <c r="N15" s="17"/>
      <c r="O15" s="19"/>
    </row>
    <row r="16" spans="1:15" s="16" customFormat="1" x14ac:dyDescent="0.2">
      <c r="A16" s="83"/>
      <c r="B16"/>
      <c r="C16"/>
      <c r="D16"/>
      <c r="E16"/>
      <c r="F16"/>
      <c r="G16"/>
      <c r="H16"/>
      <c r="I16" s="17"/>
      <c r="J16" s="17"/>
      <c r="K16" s="17"/>
      <c r="L16" s="17"/>
      <c r="M16" s="17"/>
      <c r="N16" s="17"/>
      <c r="O16" s="19"/>
    </row>
    <row r="17" spans="1:15" s="16" customFormat="1" x14ac:dyDescent="0.2">
      <c r="A17" s="83"/>
      <c r="B17"/>
      <c r="C17"/>
      <c r="D17"/>
      <c r="E17"/>
      <c r="F17"/>
      <c r="G17"/>
      <c r="H17"/>
      <c r="I17" s="17"/>
      <c r="J17" s="17"/>
      <c r="K17" s="17"/>
      <c r="L17" s="17"/>
      <c r="M17" s="17"/>
      <c r="N17" s="17"/>
      <c r="O17" s="19"/>
    </row>
    <row r="18" spans="1:15" s="16" customFormat="1" x14ac:dyDescent="0.2">
      <c r="A18" s="83"/>
      <c r="B18"/>
      <c r="C18"/>
      <c r="D18"/>
      <c r="E18"/>
      <c r="F18"/>
      <c r="G18"/>
      <c r="H18"/>
      <c r="I18" s="17"/>
      <c r="J18" s="17"/>
      <c r="K18" s="17"/>
      <c r="L18" s="17"/>
      <c r="M18" s="17"/>
      <c r="N18" s="17"/>
      <c r="O18" s="19"/>
    </row>
    <row r="19" spans="1:15" s="16" customFormat="1" x14ac:dyDescent="0.2">
      <c r="A19" s="83"/>
      <c r="B19"/>
      <c r="C19"/>
      <c r="D19"/>
      <c r="E19"/>
      <c r="F19"/>
      <c r="G19"/>
      <c r="H19"/>
      <c r="I19" s="17"/>
      <c r="J19" s="17"/>
      <c r="K19" s="17"/>
      <c r="L19" s="17"/>
      <c r="M19" s="17"/>
      <c r="N19" s="17"/>
      <c r="O19" s="19"/>
    </row>
    <row r="20" spans="1:15" s="16" customFormat="1" x14ac:dyDescent="0.2">
      <c r="A20" s="83"/>
      <c r="B20"/>
      <c r="C20"/>
      <c r="D20"/>
      <c r="E20"/>
      <c r="F20"/>
      <c r="G20"/>
      <c r="H20"/>
      <c r="I20" s="17"/>
      <c r="J20" s="17"/>
      <c r="K20" s="17"/>
      <c r="L20" s="17"/>
      <c r="M20" s="17"/>
      <c r="N20" s="17"/>
      <c r="O20" s="19"/>
    </row>
    <row r="21" spans="1:15" s="16" customFormat="1" x14ac:dyDescent="0.2">
      <c r="A21" s="83"/>
      <c r="B21"/>
      <c r="C21"/>
      <c r="D21"/>
      <c r="E21"/>
      <c r="F21"/>
      <c r="G21"/>
      <c r="H21"/>
      <c r="I21" s="17"/>
      <c r="J21" s="17"/>
      <c r="K21" s="17"/>
      <c r="L21" s="17"/>
      <c r="M21" s="17"/>
      <c r="N21" s="17"/>
      <c r="O21" s="19"/>
    </row>
    <row r="22" spans="1:15" s="16" customFormat="1" x14ac:dyDescent="0.2">
      <c r="A22" s="83"/>
      <c r="B22"/>
      <c r="C22"/>
      <c r="D22"/>
      <c r="E22"/>
      <c r="F22"/>
      <c r="G22"/>
      <c r="H22"/>
      <c r="I22" s="17"/>
      <c r="J22" s="17"/>
      <c r="K22" s="17"/>
      <c r="L22" s="17"/>
      <c r="M22" s="17"/>
      <c r="N22" s="17"/>
      <c r="O22" s="19"/>
    </row>
    <row r="23" spans="1:15" s="16" customFormat="1" x14ac:dyDescent="0.2">
      <c r="A23" s="83"/>
      <c r="B23"/>
      <c r="C23"/>
      <c r="D23"/>
      <c r="E23"/>
      <c r="F23"/>
      <c r="G23"/>
      <c r="H23"/>
      <c r="I23" s="17"/>
      <c r="J23" s="17"/>
      <c r="K23" s="17"/>
      <c r="L23" s="17"/>
      <c r="M23" s="17"/>
      <c r="N23" s="17"/>
      <c r="O23" s="19"/>
    </row>
    <row r="24" spans="1:15" s="16" customFormat="1" x14ac:dyDescent="0.2">
      <c r="A24" s="83"/>
      <c r="B24"/>
      <c r="C24"/>
      <c r="D24"/>
      <c r="E24"/>
      <c r="F24"/>
      <c r="G24"/>
      <c r="H24"/>
      <c r="I24" s="17"/>
      <c r="J24" s="17"/>
      <c r="K24" s="17"/>
      <c r="L24" s="17"/>
      <c r="M24" s="17"/>
      <c r="N24" s="17"/>
      <c r="O24" s="19"/>
    </row>
    <row r="25" spans="1:15" s="16" customFormat="1" x14ac:dyDescent="0.2">
      <c r="A25" s="83"/>
      <c r="B25"/>
      <c r="C25"/>
      <c r="D25"/>
      <c r="E25"/>
      <c r="F25"/>
      <c r="G25"/>
      <c r="H25"/>
      <c r="I25" s="17"/>
      <c r="J25" s="17"/>
      <c r="K25" s="17"/>
      <c r="L25" s="17"/>
      <c r="M25" s="17"/>
      <c r="N25" s="17"/>
      <c r="O25" s="19"/>
    </row>
    <row r="26" spans="1:15" s="16" customFormat="1" x14ac:dyDescent="0.2">
      <c r="A26" s="83"/>
      <c r="B26"/>
      <c r="C26"/>
      <c r="D26"/>
      <c r="E26"/>
      <c r="F26"/>
      <c r="G26"/>
      <c r="H26"/>
      <c r="I26" s="17"/>
      <c r="J26" s="17"/>
      <c r="K26" s="17"/>
      <c r="L26" s="17"/>
      <c r="M26" s="17"/>
      <c r="N26" s="17"/>
      <c r="O26" s="19"/>
    </row>
    <row r="27" spans="1:15" x14ac:dyDescent="0.2">
      <c r="A27" s="83"/>
      <c r="B27"/>
      <c r="C27"/>
      <c r="D27"/>
      <c r="E27"/>
      <c r="F27"/>
      <c r="G27"/>
      <c r="H27"/>
      <c r="I27" s="17"/>
      <c r="J27" s="17"/>
      <c r="K27" s="17"/>
      <c r="L27" s="17"/>
      <c r="M27" s="17"/>
      <c r="N27" s="17"/>
      <c r="O27" s="19"/>
    </row>
    <row r="28" spans="1:15" x14ac:dyDescent="0.2">
      <c r="A28" s="83"/>
      <c r="B28"/>
      <c r="C28"/>
      <c r="D28"/>
      <c r="E28"/>
      <c r="F28"/>
      <c r="G28"/>
      <c r="H28"/>
      <c r="I28" s="17"/>
      <c r="J28" s="17"/>
      <c r="K28" s="17"/>
      <c r="L28" s="17"/>
      <c r="M28" s="17"/>
      <c r="N28" s="17"/>
      <c r="O28" s="19"/>
    </row>
    <row r="29" spans="1:15" x14ac:dyDescent="0.2">
      <c r="A29" s="83"/>
      <c r="B29"/>
      <c r="C29"/>
      <c r="D29"/>
      <c r="E29"/>
      <c r="F29"/>
      <c r="G29"/>
      <c r="H29"/>
      <c r="I29" s="17"/>
      <c r="J29" s="17"/>
      <c r="K29" s="17"/>
      <c r="L29" s="17"/>
      <c r="M29" s="17"/>
      <c r="N29" s="17"/>
      <c r="O29" s="19"/>
    </row>
    <row r="30" spans="1:15" x14ac:dyDescent="0.2">
      <c r="A30" s="83"/>
      <c r="B30"/>
      <c r="C30"/>
      <c r="D30"/>
      <c r="E30"/>
      <c r="F30"/>
      <c r="G30"/>
      <c r="H30"/>
      <c r="I30" s="17"/>
      <c r="J30" s="17"/>
      <c r="K30" s="17"/>
      <c r="L30" s="17"/>
      <c r="M30" s="17"/>
      <c r="N30" s="17"/>
      <c r="O30" s="19"/>
    </row>
    <row r="31" spans="1:15" x14ac:dyDescent="0.2">
      <c r="A31" s="83"/>
      <c r="B31"/>
      <c r="C31"/>
      <c r="D31"/>
      <c r="E31"/>
      <c r="F31"/>
      <c r="G31"/>
      <c r="H31"/>
      <c r="I31" s="17"/>
      <c r="J31" s="17"/>
      <c r="K31" s="17"/>
      <c r="L31" s="17"/>
      <c r="M31" s="17"/>
      <c r="N31" s="17"/>
      <c r="O31" s="19"/>
    </row>
    <row r="32" spans="1:15" x14ac:dyDescent="0.2">
      <c r="A32" s="83"/>
      <c r="B32"/>
      <c r="C32"/>
      <c r="D32"/>
      <c r="E32"/>
      <c r="F32"/>
      <c r="G32"/>
      <c r="H32"/>
      <c r="I32" s="17"/>
      <c r="J32" s="17"/>
      <c r="K32" s="17"/>
      <c r="L32" s="17"/>
      <c r="M32" s="17"/>
      <c r="N32" s="17"/>
      <c r="O32" s="19"/>
    </row>
    <row r="33" spans="1:15" x14ac:dyDescent="0.2">
      <c r="A33" s="83"/>
      <c r="B33"/>
      <c r="C33"/>
      <c r="D33"/>
      <c r="E33"/>
      <c r="F33"/>
      <c r="G33"/>
      <c r="H33"/>
      <c r="I33" s="17"/>
      <c r="J33" s="17"/>
      <c r="K33" s="17"/>
      <c r="L33" s="17"/>
      <c r="M33" s="17"/>
      <c r="N33" s="17"/>
      <c r="O33" s="19"/>
    </row>
    <row r="34" spans="1:15" x14ac:dyDescent="0.2">
      <c r="A34" s="83"/>
      <c r="B34"/>
      <c r="C34"/>
      <c r="D34"/>
      <c r="E34"/>
      <c r="F34"/>
      <c r="G34"/>
      <c r="H34"/>
      <c r="I34" s="17"/>
      <c r="J34" s="17"/>
      <c r="K34" s="17"/>
      <c r="L34" s="17"/>
      <c r="M34" s="17"/>
      <c r="N34" s="17"/>
      <c r="O34" s="19"/>
    </row>
    <row r="35" spans="1:15" x14ac:dyDescent="0.2">
      <c r="A35" s="83"/>
      <c r="B35"/>
      <c r="C35"/>
      <c r="D35"/>
      <c r="E35"/>
      <c r="F35"/>
      <c r="G35"/>
      <c r="H35"/>
      <c r="I35" s="17"/>
      <c r="J35" s="17"/>
      <c r="K35" s="17"/>
      <c r="L35" s="17"/>
      <c r="M35" s="17"/>
      <c r="N35" s="17"/>
      <c r="O35" s="19"/>
    </row>
    <row r="36" spans="1:15" x14ac:dyDescent="0.2">
      <c r="A36" s="83"/>
      <c r="B36"/>
      <c r="C36"/>
      <c r="D36"/>
      <c r="E36"/>
      <c r="F36"/>
      <c r="G36"/>
      <c r="H36"/>
      <c r="I36" s="17"/>
      <c r="J36" s="17"/>
      <c r="K36" s="17"/>
      <c r="L36" s="17"/>
      <c r="M36" s="17"/>
      <c r="N36" s="17"/>
      <c r="O36" s="19"/>
    </row>
    <row r="37" spans="1:15" x14ac:dyDescent="0.2">
      <c r="A37" s="83"/>
      <c r="B37"/>
      <c r="C37"/>
      <c r="D37"/>
      <c r="E37"/>
      <c r="F37"/>
      <c r="G37"/>
      <c r="H37"/>
      <c r="I37" s="17"/>
      <c r="J37" s="17"/>
      <c r="K37" s="17"/>
      <c r="L37" s="17"/>
      <c r="M37" s="17"/>
      <c r="N37" s="17"/>
      <c r="O37" s="19"/>
    </row>
    <row r="38" spans="1:15" x14ac:dyDescent="0.2">
      <c r="A38" s="83"/>
      <c r="B38"/>
      <c r="C38"/>
      <c r="D38"/>
      <c r="E38"/>
      <c r="F38"/>
      <c r="G38"/>
      <c r="H38"/>
      <c r="I38" s="17"/>
      <c r="J38" s="17"/>
      <c r="K38" s="17"/>
      <c r="L38" s="17"/>
      <c r="M38" s="17"/>
      <c r="N38" s="17"/>
      <c r="O38" s="19"/>
    </row>
    <row r="39" spans="1:15" x14ac:dyDescent="0.2">
      <c r="A39" s="84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85"/>
      <c r="O39" s="16"/>
    </row>
  </sheetData>
  <mergeCells count="4">
    <mergeCell ref="A1:D2"/>
    <mergeCell ref="G2:H2"/>
    <mergeCell ref="I2:J2"/>
    <mergeCell ref="A3:D4"/>
  </mergeCells>
  <phoneticPr fontId="9" type="noConversion"/>
  <conditionalFormatting sqref="A3">
    <cfRule type="containsText" dxfId="56" priority="8" operator="containsText" text="Muster">
      <formula>NOT(ISERROR(SEARCH("Muster",A3)))</formula>
    </cfRule>
  </conditionalFormatting>
  <conditionalFormatting sqref="E2">
    <cfRule type="cellIs" dxfId="55" priority="7" operator="equal">
      <formula>"Muster"</formula>
    </cfRule>
  </conditionalFormatting>
  <conditionalFormatting sqref="E5">
    <cfRule type="cellIs" dxfId="54" priority="6" operator="equal">
      <formula>"Muster"</formula>
    </cfRule>
  </conditionalFormatting>
  <conditionalFormatting sqref="M15:M39">
    <cfRule type="cellIs" dxfId="53" priority="1" stopIfTrue="1" operator="equal">
      <formula>"D-D"</formula>
    </cfRule>
    <cfRule type="cellIs" dxfId="52" priority="2" stopIfTrue="1" operator="equal">
      <formula>"C-D"</formula>
    </cfRule>
    <cfRule type="cellIs" dxfId="51" priority="3" stopIfTrue="1" operator="equal">
      <formula>"B-D"</formula>
    </cfRule>
    <cfRule type="cellIs" dxfId="50" priority="4" stopIfTrue="1" operator="equal">
      <formula>"A-D"</formula>
    </cfRule>
    <cfRule type="cellIs" dxfId="49" priority="5" stopIfTrue="1" operator="equal">
      <formula>"VIP-D"</formula>
    </cfRule>
    <cfRule type="cellIs" dxfId="48" priority="59" stopIfTrue="1" operator="equal">
      <formula>"VIP"</formula>
    </cfRule>
    <cfRule type="cellIs" dxfId="47" priority="60" stopIfTrue="1" operator="equal">
      <formula>"A"</formula>
    </cfRule>
    <cfRule type="cellIs" dxfId="46" priority="61" stopIfTrue="1" operator="equal">
      <formula>"B"</formula>
    </cfRule>
    <cfRule type="cellIs" dxfId="45" priority="62" stopIfTrue="1" operator="equal">
      <formula>"C"</formula>
    </cfRule>
    <cfRule type="cellIs" dxfId="44" priority="63" stopIfTrue="1" operator="equal">
      <formula>"D"</formula>
    </cfRule>
  </conditionalFormatting>
  <conditionalFormatting sqref="N15:N39">
    <cfRule type="cellIs" dxfId="43" priority="9" stopIfTrue="1" operator="equal">
      <formula>""</formula>
    </cfRule>
    <cfRule type="cellIs" dxfId="42" priority="10" stopIfTrue="1" operator="greaterThanOrEqual">
      <formula>"JAHR($N$1)"</formula>
    </cfRule>
    <cfRule type="cellIs" dxfId="41" priority="11" stopIfTrue="1" operator="between">
      <formula>$N$2</formula>
      <formula>$N$1</formula>
    </cfRule>
    <cfRule type="cellIs" dxfId="40" priority="12" stopIfTrue="1" operator="lessThan">
      <formula>"JAHR($N$2)"</formula>
    </cfRule>
  </conditionalFormatting>
  <printOptions horizontalCentered="1"/>
  <pageMargins left="0.19685039370078741" right="0.19685039370078741" top="0.98425196850393704" bottom="0.39370078740157483" header="0.51181102362204722" footer="0.19685039370078741"/>
  <pageSetup paperSize="9" scale="43" fitToHeight="10" orientation="landscape" r:id="rId1"/>
  <headerFooter alignWithMargins="0">
    <oddHeader>&amp;CKundenliste mit Kategorien&amp;R&amp;G</oddHeader>
    <oddFooter>&amp;C&amp;P/&amp;N&amp;RStand:&amp;D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Drop Down 1">
              <controlPr defaultSize="0" autoLine="0" autoPict="0">
                <anchor moveWithCells="1">
                  <from>
                    <xdr:col>0</xdr:col>
                    <xdr:colOff>0</xdr:colOff>
                    <xdr:row>4</xdr:row>
                    <xdr:rowOff>47625</xdr:rowOff>
                  </from>
                  <to>
                    <xdr:col>3</xdr:col>
                    <xdr:colOff>1076325</xdr:colOff>
                    <xdr:row>6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1"/>
  <sheetViews>
    <sheetView zoomScale="80" zoomScaleNormal="80" workbookViewId="0">
      <pane ySplit="16" topLeftCell="A17" activePane="bottomLeft" state="frozen"/>
      <selection pane="bottomLeft" activeCell="A3" sqref="A3:D4"/>
    </sheetView>
  </sheetViews>
  <sheetFormatPr baseColWidth="10" defaultColWidth="11.42578125" defaultRowHeight="12.75" x14ac:dyDescent="0.2"/>
  <cols>
    <col min="1" max="1" width="7.7109375" style="2" bestFit="1" customWidth="1"/>
    <col min="2" max="2" width="15.140625" style="2" bestFit="1" customWidth="1"/>
    <col min="3" max="3" width="20.85546875" style="2" bestFit="1" customWidth="1"/>
    <col min="4" max="4" width="49.85546875" style="2" bestFit="1" customWidth="1"/>
    <col min="5" max="5" width="31.7109375" style="2" bestFit="1" customWidth="1"/>
    <col min="6" max="6" width="22" style="2" bestFit="1" customWidth="1"/>
    <col min="7" max="7" width="14" style="2" bestFit="1" customWidth="1"/>
    <col min="8" max="8" width="15.5703125" style="2" bestFit="1" customWidth="1"/>
    <col min="9" max="12" width="15.7109375" style="2" customWidth="1"/>
    <col min="13" max="14" width="17.42578125" style="2" bestFit="1" customWidth="1"/>
    <col min="15" max="16384" width="11.42578125" style="2"/>
  </cols>
  <sheetData>
    <row r="1" spans="1:14" ht="13.5" thickBot="1" x14ac:dyDescent="0.25">
      <c r="A1" s="110" t="s">
        <v>80</v>
      </c>
      <c r="B1" s="110"/>
      <c r="C1" s="110"/>
      <c r="D1" s="110"/>
      <c r="E1" s="28" t="s">
        <v>17</v>
      </c>
    </row>
    <row r="2" spans="1:14" ht="17.25" thickTop="1" thickBot="1" x14ac:dyDescent="0.25">
      <c r="A2" s="110"/>
      <c r="B2" s="110"/>
      <c r="C2" s="110"/>
      <c r="D2" s="110"/>
      <c r="E2" s="29">
        <f>Kundenliste!$E$2</f>
        <v>0</v>
      </c>
      <c r="F2" s="115" t="s">
        <v>58</v>
      </c>
      <c r="G2" s="116"/>
      <c r="H2" s="55" t="s">
        <v>7</v>
      </c>
      <c r="I2" s="51" t="s">
        <v>6</v>
      </c>
      <c r="J2" s="52" t="s">
        <v>4</v>
      </c>
      <c r="K2" s="53" t="s">
        <v>5</v>
      </c>
      <c r="L2" s="60" t="s">
        <v>18</v>
      </c>
      <c r="M2" s="54" t="s">
        <v>8</v>
      </c>
      <c r="N2" s="50" t="s">
        <v>21</v>
      </c>
    </row>
    <row r="3" spans="1:14" ht="15" customHeight="1" x14ac:dyDescent="0.2">
      <c r="A3" s="114">
        <f>Kundenliste!$A$3</f>
        <v>0</v>
      </c>
      <c r="B3" s="114"/>
      <c r="C3" s="114"/>
      <c r="D3" s="114"/>
      <c r="F3" s="30" t="s">
        <v>20</v>
      </c>
      <c r="G3" s="44"/>
      <c r="H3" s="91">
        <f>COUNTIFS(bestand_suhk[Art],"1",bestand_suhk[Kategorie],"VIP")+COUNTIFS(bestand_suhk[Art],"1",bestand_suhk[Kategorie],"VIP-D")</f>
        <v>0</v>
      </c>
      <c r="I3" s="61">
        <f>COUNTIFS(bestand_suhk[Art],"1",bestand_suhk[Kategorie],"A")+COUNTIFS(bestand_suhk[Art],"1",bestand_suhk[Kategorie],"A-D")</f>
        <v>0</v>
      </c>
      <c r="J3" s="61">
        <f>COUNTIFS(bestand_suhk[Art],"1",bestand_suhk[Kategorie],"B")+COUNTIFS(bestand_suhk[Art],"1",bestand_suhk[Kategorie],"B-D")</f>
        <v>0</v>
      </c>
      <c r="K3" s="61">
        <f>COUNTIFS(bestand_suhk[Art],"1",bestand_suhk[Kategorie],"C")+COUNTIFS(bestand_suhk[Art],"1",bestand_suhk[Kategorie],"C-D")</f>
        <v>0</v>
      </c>
      <c r="L3" s="61">
        <f>COUNTIFS(bestand_suhk[Art],"1",bestand_suhk[Kategorie],"D")+COUNTIFS(bestand_suhk[Art],"1",bestand_suhk[Kategorie],"D-D")+COUNTIFS(bestand_suhk[Art],"1",bestand_suhk[Kategorie],"")</f>
        <v>0</v>
      </c>
      <c r="M3" s="31">
        <f>COUNTIFS(bestand_suhk[Art],"1",bestand_suhk[Kategorie],"DSGVO!")</f>
        <v>0</v>
      </c>
      <c r="N3" s="92">
        <f>SUM(H3:M3)</f>
        <v>0</v>
      </c>
    </row>
    <row r="4" spans="1:14" ht="15" customHeight="1" x14ac:dyDescent="0.2">
      <c r="A4" s="114"/>
      <c r="B4" s="114"/>
      <c r="C4" s="114"/>
      <c r="D4" s="114"/>
      <c r="F4" s="30" t="s">
        <v>19</v>
      </c>
      <c r="G4" s="44"/>
      <c r="H4" s="56">
        <f>SUMIFS(bestand_suhk[Brutto-UE],bestand_suhk[Art],"1",bestand_suhk[Kategorie],"VIP")+SUMIFS(bestand_suhk[Brutto-UE],bestand_suhk[Art],"1",bestand_suhk[Kategorie],"VIP-D")</f>
        <v>0</v>
      </c>
      <c r="I4" s="46">
        <f>SUMIFS(bestand_suhk[Brutto-UE],bestand_suhk[Art],"1",bestand_suhk[Kategorie],"A")+SUMIFS(bestand_suhk[Brutto-UE],bestand_suhk[Art],"1",bestand_suhk[Kategorie],"A-D")</f>
        <v>0</v>
      </c>
      <c r="J4" s="46">
        <f>SUMIFS(bestand_suhk[Brutto-UE],bestand_suhk[Art],"1",bestand_suhk[Kategorie],"B")+SUMIFS(bestand_suhk[Brutto-UE],bestand_suhk[Art],"1",bestand_suhk[Kategorie],"B-D")</f>
        <v>0</v>
      </c>
      <c r="K4" s="46">
        <f>SUMIFS(bestand_suhk[Brutto-UE],bestand_suhk[Art],"1",bestand_suhk[Kategorie],"C")+SUMIFS(bestand_suhk[Brutto-UE],bestand_suhk[Art],"1",bestand_suhk[Kategorie],"C-D")</f>
        <v>0</v>
      </c>
      <c r="L4" s="46">
        <f>SUMIFS(bestand_suhk[Brutto-UE],bestand_suhk[Art],"1",bestand_suhk[Kategorie],"D")+SUMIFS(bestand_suhk[Brutto-UE],bestand_suhk[Art],"1",bestand_suhk[Kategorie],"D-D")+SUMIFS(bestand_suhk[Brutto-UE],bestand_suhk[Art],"1",bestand_suhk[Kategorie],"")</f>
        <v>0</v>
      </c>
      <c r="M4" s="32">
        <f>SUMIFS(bestand_suhk[Brutto-UE],bestand_suhk[Art],"1",bestand_suhk[Kategorie],"DSGVO!")</f>
        <v>0</v>
      </c>
      <c r="N4" s="40">
        <f>SUM(H4:M4)</f>
        <v>0</v>
      </c>
    </row>
    <row r="5" spans="1:14" ht="15" x14ac:dyDescent="0.2">
      <c r="A5" s="117" t="str">
        <f>VLOOKUP(Kundenliste!$A$5,Daten!$A$7:$C$19,2)</f>
        <v>Senior Berater I</v>
      </c>
      <c r="B5" s="117"/>
      <c r="C5" s="117"/>
      <c r="F5" s="30" t="s">
        <v>37</v>
      </c>
      <c r="G5" s="44"/>
      <c r="H5" s="57">
        <f>H4*VLOOKUP(Kundenliste!$A$5,Daten!$A$7:$C$19,3)</f>
        <v>0</v>
      </c>
      <c r="I5" s="47">
        <f>I4*VLOOKUP(Kundenliste!$A$5,Daten!$A$7:$C$19,3)</f>
        <v>0</v>
      </c>
      <c r="J5" s="47">
        <f>J4*VLOOKUP(Kundenliste!$A$5,Daten!$A$7:$C$19,3)</f>
        <v>0</v>
      </c>
      <c r="K5" s="47">
        <f>K4*VLOOKUP(Kundenliste!$A$5,Daten!$A$7:$C$19,3)</f>
        <v>0</v>
      </c>
      <c r="L5" s="62">
        <f>L4*VLOOKUP(Kundenliste!$A$5,Daten!$A$7:$C$19,3)</f>
        <v>0</v>
      </c>
      <c r="M5" s="33">
        <f>M4*VLOOKUP(Kundenliste!$A$5,Daten!$A$7:$C$19,3)</f>
        <v>0</v>
      </c>
      <c r="N5" s="41">
        <f>SUM(H5:M5)</f>
        <v>0</v>
      </c>
    </row>
    <row r="6" spans="1:14" ht="15" x14ac:dyDescent="0.2">
      <c r="A6" s="117"/>
      <c r="B6" s="117"/>
      <c r="C6" s="117"/>
      <c r="D6" s="1"/>
      <c r="E6" s="3"/>
      <c r="F6" s="30" t="s">
        <v>39</v>
      </c>
      <c r="G6" s="44"/>
      <c r="H6" s="58">
        <f>IF(H3&gt;0,H4/H3,0)</f>
        <v>0</v>
      </c>
      <c r="I6" s="48">
        <f t="shared" ref="I6:M6" si="0">IF(I3&gt;0,I4/I3,0)</f>
        <v>0</v>
      </c>
      <c r="J6" s="48">
        <f t="shared" si="0"/>
        <v>0</v>
      </c>
      <c r="K6" s="48">
        <f t="shared" si="0"/>
        <v>0</v>
      </c>
      <c r="L6" s="48">
        <f t="shared" si="0"/>
        <v>0</v>
      </c>
      <c r="M6" s="34">
        <f t="shared" si="0"/>
        <v>0</v>
      </c>
      <c r="N6" s="42">
        <f>IF(N3&gt;0,N4/N3,0)</f>
        <v>0</v>
      </c>
    </row>
    <row r="7" spans="1:14" ht="15.75" thickBot="1" x14ac:dyDescent="0.25">
      <c r="D7" s="1"/>
      <c r="E7" s="3"/>
      <c r="F7" s="35" t="s">
        <v>38</v>
      </c>
      <c r="G7" s="45"/>
      <c r="H7" s="59">
        <f>IF(H3&gt;0,$H$4/Kundenliste!$H$3,0)</f>
        <v>0</v>
      </c>
      <c r="I7" s="49">
        <f>IF(I3&gt;0,$I$4/Kundenliste!$H$4,0)</f>
        <v>0</v>
      </c>
      <c r="J7" s="49">
        <f>IF(J3&gt;0,$J$4/Kundenliste!$H$5,0)</f>
        <v>0</v>
      </c>
      <c r="K7" s="49">
        <f>IF(K3&gt;0,$K$4/Kundenliste!$H$6,0)</f>
        <v>0</v>
      </c>
      <c r="L7" s="49">
        <f>IF(L3&gt;0,$L$4/SUM(Kundenliste!$H$7,Kundenliste!$H$9),0)</f>
        <v>0</v>
      </c>
      <c r="M7" s="36">
        <f>IF(M3&gt;0,$M$4/Kundenliste!$H$10,0)</f>
        <v>0</v>
      </c>
      <c r="N7" s="43">
        <f>IF(N3&gt;0,$N$4/Kundenliste!$H$12,0)</f>
        <v>0</v>
      </c>
    </row>
    <row r="8" spans="1:14" ht="13.5" thickBot="1" x14ac:dyDescent="0.25"/>
    <row r="9" spans="1:14" ht="17.25" thickTop="1" thickBot="1" x14ac:dyDescent="0.25">
      <c r="A9" s="80" t="s">
        <v>66</v>
      </c>
      <c r="F9" s="115" t="s">
        <v>57</v>
      </c>
      <c r="G9" s="116"/>
      <c r="H9" s="55" t="s">
        <v>7</v>
      </c>
      <c r="I9" s="51" t="s">
        <v>6</v>
      </c>
      <c r="J9" s="52" t="s">
        <v>4</v>
      </c>
      <c r="K9" s="53" t="s">
        <v>5</v>
      </c>
      <c r="L9" s="60" t="s">
        <v>18</v>
      </c>
      <c r="M9" s="54" t="s">
        <v>8</v>
      </c>
      <c r="N9" s="50" t="s">
        <v>21</v>
      </c>
    </row>
    <row r="10" spans="1:14" ht="15" x14ac:dyDescent="0.2">
      <c r="A10" s="15" t="s">
        <v>35</v>
      </c>
      <c r="F10" s="30" t="s">
        <v>20</v>
      </c>
      <c r="G10" s="44"/>
      <c r="H10" s="91">
        <f>COUNTIFS(bestand_suhk[Art],"2",bestand_suhk[Kategorie],"VIP")+COUNTIFS(bestand_suhk[Art],"2",bestand_suhk[Kategorie],"VIP-D")</f>
        <v>0</v>
      </c>
      <c r="I10" s="61">
        <f>COUNTIFS(bestand_suhk[Art],"2",bestand_suhk[Kategorie],"A")+COUNTIFS(bestand_suhk[Art],"2",bestand_suhk[Kategorie],"A-D")</f>
        <v>0</v>
      </c>
      <c r="J10" s="61">
        <f>COUNTIFS(bestand_suhk[Art],"2",bestand_suhk[Kategorie],"B")+COUNTIFS(bestand_suhk[Art],"2",bestand_suhk[Kategorie],"B-D")</f>
        <v>0</v>
      </c>
      <c r="K10" s="61">
        <f>COUNTIFS(bestand_suhk[Art],"2",bestand_suhk[Kategorie],"C")+COUNTIFS(bestand_suhk[Art],"2",bestand_suhk[Kategorie],"C-D")</f>
        <v>0</v>
      </c>
      <c r="L10" s="61">
        <f>COUNTIFS(bestand_suhk[Art],"2",bestand_suhk[Kategorie],"D")+COUNTIFS(bestand_suhk[Art],"2",bestand_suhk[Kategorie],"D-D")+COUNTIFS(bestand_suhk[Art],"1",bestand_suhk[Kategorie],"")</f>
        <v>0</v>
      </c>
      <c r="M10" s="31">
        <f>COUNTIFS(bestand_suhk[Art],"2",bestand_suhk[Kategorie],"DSGVO!")</f>
        <v>0</v>
      </c>
      <c r="N10" s="92">
        <f>SUM(H10:M10)</f>
        <v>0</v>
      </c>
    </row>
    <row r="11" spans="1:14" ht="15" x14ac:dyDescent="0.2">
      <c r="F11" s="30" t="s">
        <v>19</v>
      </c>
      <c r="G11" s="44"/>
      <c r="H11" s="56">
        <f>SUMIFS(bestand_suhk[Brutto-UE],bestand_suhk[Art],"2",bestand_suhk[Kategorie],"VIP")+SUMIFS(bestand_suhk[Brutto-UE],bestand_suhk[Art],"2",bestand_suhk[Kategorie],"VIP-D")</f>
        <v>0</v>
      </c>
      <c r="I11" s="46">
        <f>SUMIFS(bestand_suhk[Brutto-UE],bestand_suhk[Art],"2",bestand_suhk[Kategorie],"A")+SUMIFS(bestand_suhk[Brutto-UE],bestand_suhk[Art],"2",bestand_suhk[Kategorie],"A-D")</f>
        <v>0</v>
      </c>
      <c r="J11" s="46">
        <f>SUMIFS(bestand_suhk[Brutto-UE],bestand_suhk[Art],"2",bestand_suhk[Kategorie],"B")+SUMIFS(bestand_suhk[Brutto-UE],bestand_suhk[Art],"2",bestand_suhk[Kategorie],"B-D")</f>
        <v>0</v>
      </c>
      <c r="K11" s="46">
        <f>SUMIFS(bestand_suhk[Brutto-UE],bestand_suhk[Art],"2",bestand_suhk[Kategorie],"C")+SUMIFS(bestand_suhk[Brutto-UE],bestand_suhk[Art],"2",bestand_suhk[Kategorie],"C-D")</f>
        <v>0</v>
      </c>
      <c r="L11" s="46">
        <f>SUMIFS(bestand_suhk[Brutto-UE],bestand_suhk[Art],"2",bestand_suhk[Kategorie],"D")+SUMIFS(bestand_suhk[Brutto-UE],bestand_suhk[Art],"2",bestand_suhk[Kategorie],"D-D")+SUMIFS(bestand_suhk[Brutto-UE],bestand_suhk[Art],"1",bestand_suhk[Kategorie],"")</f>
        <v>0</v>
      </c>
      <c r="M11" s="32">
        <f>SUMIFS(bestand_suhk[Brutto-UE],bestand_suhk[Art],"2",bestand_suhk[Kategorie],"DSGVO!")</f>
        <v>0</v>
      </c>
      <c r="N11" s="40">
        <f>SUM(H11:M11)</f>
        <v>0</v>
      </c>
    </row>
    <row r="12" spans="1:14" ht="15" x14ac:dyDescent="0.2">
      <c r="F12" s="30" t="s">
        <v>37</v>
      </c>
      <c r="G12" s="44"/>
      <c r="H12" s="57">
        <f>H11*VLOOKUP(Kundenliste!$A$5,Daten!$A$7:$C$19,3)</f>
        <v>0</v>
      </c>
      <c r="I12" s="47">
        <f>I11*VLOOKUP(Kundenliste!$A$5,Daten!$A$7:$C$19,3)</f>
        <v>0</v>
      </c>
      <c r="J12" s="47">
        <f>J11*VLOOKUP(Kundenliste!$A$5,Daten!$A$7:$C$19,3)</f>
        <v>0</v>
      </c>
      <c r="K12" s="47">
        <f>K11*VLOOKUP(Kundenliste!$A$5,Daten!$A$7:$C$19,3)</f>
        <v>0</v>
      </c>
      <c r="L12" s="62">
        <f>L11*VLOOKUP(Kundenliste!$A$5,Daten!$A$7:$C$19,3)</f>
        <v>0</v>
      </c>
      <c r="M12" s="33">
        <f>M11*VLOOKUP(Kundenliste!$A$5,Daten!$A$7:$C$19,3)</f>
        <v>0</v>
      </c>
      <c r="N12" s="41">
        <f>SUM(H12:M12)</f>
        <v>0</v>
      </c>
    </row>
    <row r="13" spans="1:14" ht="15" x14ac:dyDescent="0.2">
      <c r="F13" s="30" t="s">
        <v>39</v>
      </c>
      <c r="G13" s="44"/>
      <c r="H13" s="58">
        <f>IF(H10&gt;0,H11/H10,0)</f>
        <v>0</v>
      </c>
      <c r="I13" s="48">
        <f t="shared" ref="I13:N13" si="1">IF(I10&gt;0,I11/I10,0)</f>
        <v>0</v>
      </c>
      <c r="J13" s="48">
        <f t="shared" si="1"/>
        <v>0</v>
      </c>
      <c r="K13" s="48">
        <f t="shared" si="1"/>
        <v>0</v>
      </c>
      <c r="L13" s="48">
        <f t="shared" si="1"/>
        <v>0</v>
      </c>
      <c r="M13" s="34">
        <f t="shared" si="1"/>
        <v>0</v>
      </c>
      <c r="N13" s="42">
        <f t="shared" si="1"/>
        <v>0</v>
      </c>
    </row>
    <row r="14" spans="1:14" ht="15.75" thickBot="1" x14ac:dyDescent="0.25">
      <c r="F14" s="35" t="s">
        <v>38</v>
      </c>
      <c r="G14" s="45"/>
      <c r="H14" s="59">
        <f>IF(H10&gt;0,$H$11/Kundenliste!$J$3,0)</f>
        <v>0</v>
      </c>
      <c r="I14" s="49">
        <f>IF(I10&gt;0,$I$11/Kundenliste!$J$4,0)</f>
        <v>0</v>
      </c>
      <c r="J14" s="49">
        <f>IF(J10&gt;0,$J$11/Kundenliste!$J$5,0)</f>
        <v>0</v>
      </c>
      <c r="K14" s="49">
        <f>IF(K10&gt;0,$K$11/Kundenliste!$J$6,0)</f>
        <v>0</v>
      </c>
      <c r="L14" s="49">
        <f>IF(L10&gt;0,$L$11/SUM(Kundenliste!$J$7,Kundenliste!$J$9),0)</f>
        <v>0</v>
      </c>
      <c r="M14" s="36">
        <f>IF(M10&gt;0,$M$11/Kundenliste!$J$10,0)</f>
        <v>0</v>
      </c>
      <c r="N14" s="43">
        <f>IF(N10&gt;0,$N$11/Kundenliste!$J$12,0)</f>
        <v>0</v>
      </c>
    </row>
    <row r="16" spans="1:14" s="4" customFormat="1" ht="29.25" customHeight="1" x14ac:dyDescent="0.2">
      <c r="A16" s="38" t="s">
        <v>9</v>
      </c>
      <c r="B16" s="38" t="s">
        <v>0</v>
      </c>
      <c r="C16" s="38" t="s">
        <v>1</v>
      </c>
      <c r="D16" s="38" t="s">
        <v>10</v>
      </c>
      <c r="E16" s="38" t="s">
        <v>11</v>
      </c>
      <c r="F16" s="38" t="s">
        <v>2</v>
      </c>
      <c r="G16" s="39" t="s">
        <v>14</v>
      </c>
      <c r="H16" s="39" t="s">
        <v>15</v>
      </c>
      <c r="I16" s="39" t="s">
        <v>16</v>
      </c>
      <c r="J16" s="38" t="s">
        <v>12</v>
      </c>
      <c r="K16" s="39" t="s">
        <v>52</v>
      </c>
      <c r="L16" s="39" t="s">
        <v>34</v>
      </c>
      <c r="M16" s="38" t="s">
        <v>13</v>
      </c>
      <c r="N16" s="38" t="s">
        <v>3</v>
      </c>
    </row>
    <row r="17" spans="1:14" x14ac:dyDescent="0.2">
      <c r="A17" s="19"/>
      <c r="B17" s="17"/>
      <c r="C17" s="17"/>
      <c r="D17" s="17"/>
      <c r="E17" s="17"/>
      <c r="F17" s="17"/>
      <c r="G17" s="20"/>
      <c r="H17" s="20"/>
      <c r="I17" s="20"/>
      <c r="J17" s="17"/>
      <c r="K17" s="21"/>
      <c r="L17" s="21"/>
      <c r="M17" s="21"/>
      <c r="N17" s="17"/>
    </row>
    <row r="18" spans="1:14" x14ac:dyDescent="0.2">
      <c r="A18" s="19"/>
      <c r="B18" s="17"/>
      <c r="C18" s="17"/>
      <c r="D18" s="17"/>
      <c r="E18" s="17"/>
      <c r="F18" s="17"/>
      <c r="G18" s="20"/>
      <c r="H18" s="20"/>
      <c r="I18" s="20"/>
      <c r="J18" s="17"/>
      <c r="K18" s="21"/>
      <c r="L18" s="21"/>
      <c r="M18" s="21"/>
      <c r="N18" s="17"/>
    </row>
    <row r="19" spans="1:14" x14ac:dyDescent="0.2">
      <c r="A19" s="19"/>
      <c r="B19" s="17"/>
      <c r="C19" s="17"/>
      <c r="D19" s="17"/>
      <c r="E19" s="17"/>
      <c r="F19" s="17"/>
      <c r="G19" s="20"/>
      <c r="H19" s="20"/>
      <c r="I19" s="20"/>
      <c r="J19" s="17"/>
      <c r="K19" s="21"/>
      <c r="L19" s="21"/>
      <c r="M19" s="21"/>
      <c r="N19" s="17"/>
    </row>
    <row r="20" spans="1:14" x14ac:dyDescent="0.2">
      <c r="A20" s="19"/>
      <c r="B20" s="17"/>
      <c r="C20" s="17"/>
      <c r="D20" s="17"/>
      <c r="E20" s="17"/>
      <c r="F20" s="17"/>
      <c r="G20" s="20"/>
      <c r="H20" s="20"/>
      <c r="I20" s="20"/>
      <c r="J20" s="17"/>
      <c r="K20" s="21"/>
      <c r="L20" s="21"/>
      <c r="M20" s="21"/>
      <c r="N20" s="17"/>
    </row>
    <row r="21" spans="1:14" x14ac:dyDescent="0.2">
      <c r="A21" s="19"/>
      <c r="B21" s="17"/>
      <c r="C21" s="17"/>
      <c r="D21" s="17"/>
      <c r="E21" s="17"/>
      <c r="F21" s="17"/>
      <c r="G21" s="20"/>
      <c r="H21" s="20"/>
      <c r="I21" s="20"/>
      <c r="J21" s="17"/>
      <c r="K21" s="21"/>
      <c r="L21" s="21"/>
      <c r="M21" s="21"/>
      <c r="N21" s="17"/>
    </row>
    <row r="22" spans="1:14" x14ac:dyDescent="0.2">
      <c r="A22" s="19"/>
      <c r="B22" s="17"/>
      <c r="C22" s="17"/>
      <c r="D22" s="17"/>
      <c r="E22" s="17"/>
      <c r="F22" s="17"/>
      <c r="G22" s="20"/>
      <c r="H22" s="20"/>
      <c r="I22" s="20"/>
      <c r="J22" s="17"/>
      <c r="K22" s="21"/>
      <c r="L22" s="21"/>
      <c r="M22" s="21"/>
      <c r="N22" s="17"/>
    </row>
    <row r="23" spans="1:14" x14ac:dyDescent="0.2">
      <c r="A23" s="19"/>
      <c r="B23" s="17"/>
      <c r="C23" s="17"/>
      <c r="D23" s="17"/>
      <c r="E23" s="17"/>
      <c r="F23" s="17"/>
      <c r="G23" s="20"/>
      <c r="H23" s="20"/>
      <c r="I23" s="20"/>
      <c r="J23" s="17"/>
      <c r="K23" s="21"/>
      <c r="L23" s="21"/>
      <c r="M23" s="21"/>
      <c r="N23" s="17"/>
    </row>
    <row r="24" spans="1:14" x14ac:dyDescent="0.2">
      <c r="A24" s="19"/>
      <c r="B24" s="17"/>
      <c r="C24" s="17"/>
      <c r="D24" s="17"/>
      <c r="E24" s="17"/>
      <c r="F24" s="17"/>
      <c r="G24" s="20"/>
      <c r="H24" s="20"/>
      <c r="I24" s="20"/>
      <c r="J24" s="17"/>
      <c r="K24" s="21"/>
      <c r="L24" s="21"/>
      <c r="M24" s="21"/>
      <c r="N24" s="17"/>
    </row>
    <row r="25" spans="1:14" x14ac:dyDescent="0.2">
      <c r="A25" s="19"/>
      <c r="B25" s="17"/>
      <c r="C25" s="17"/>
      <c r="D25" s="17"/>
      <c r="E25" s="17"/>
      <c r="F25" s="17"/>
      <c r="G25" s="20"/>
      <c r="H25" s="20"/>
      <c r="I25" s="20"/>
      <c r="J25" s="17"/>
      <c r="K25" s="21"/>
      <c r="L25" s="21"/>
      <c r="M25" s="21"/>
      <c r="N25" s="17"/>
    </row>
    <row r="26" spans="1:14" x14ac:dyDescent="0.2">
      <c r="A26" s="19"/>
      <c r="B26" s="17"/>
      <c r="C26" s="17"/>
      <c r="D26" s="17"/>
      <c r="E26" s="17"/>
      <c r="F26" s="17"/>
      <c r="G26" s="20"/>
      <c r="H26" s="20"/>
      <c r="I26" s="20"/>
      <c r="J26" s="17"/>
      <c r="K26" s="21"/>
      <c r="L26" s="21"/>
      <c r="M26" s="21"/>
      <c r="N26" s="17"/>
    </row>
    <row r="27" spans="1:14" x14ac:dyDescent="0.2">
      <c r="A27" s="19"/>
      <c r="B27" s="17"/>
      <c r="C27" s="17"/>
      <c r="D27" s="17"/>
      <c r="E27" s="17"/>
      <c r="F27" s="17"/>
      <c r="G27" s="20"/>
      <c r="H27" s="20"/>
      <c r="I27" s="20"/>
      <c r="J27" s="17"/>
      <c r="K27" s="21"/>
      <c r="L27" s="21"/>
      <c r="M27" s="21"/>
      <c r="N27" s="17"/>
    </row>
    <row r="28" spans="1:14" x14ac:dyDescent="0.2">
      <c r="A28" s="19"/>
      <c r="B28" s="17"/>
      <c r="C28" s="17"/>
      <c r="D28" s="17"/>
      <c r="E28" s="17"/>
      <c r="F28" s="17"/>
      <c r="G28" s="20"/>
      <c r="H28" s="20"/>
      <c r="I28" s="20"/>
      <c r="J28" s="17"/>
      <c r="K28" s="21"/>
      <c r="L28" s="21"/>
      <c r="M28" s="21"/>
      <c r="N28" s="17"/>
    </row>
    <row r="29" spans="1:14" x14ac:dyDescent="0.2">
      <c r="A29" s="19"/>
      <c r="B29" s="17"/>
      <c r="C29" s="17"/>
      <c r="D29" s="17"/>
      <c r="E29" s="17"/>
      <c r="F29" s="17"/>
      <c r="G29" s="20"/>
      <c r="H29" s="20"/>
      <c r="I29" s="20"/>
      <c r="J29" s="17"/>
      <c r="K29" s="21"/>
      <c r="L29" s="21"/>
      <c r="M29" s="21"/>
      <c r="N29" s="17"/>
    </row>
    <row r="30" spans="1:14" x14ac:dyDescent="0.2">
      <c r="A30" s="19"/>
      <c r="B30" s="17"/>
      <c r="C30" s="17"/>
      <c r="D30" s="17"/>
      <c r="E30" s="17"/>
      <c r="F30" s="17"/>
      <c r="G30" s="20"/>
      <c r="H30" s="20"/>
      <c r="I30" s="20"/>
      <c r="J30" s="17"/>
      <c r="K30" s="21"/>
      <c r="L30" s="21"/>
      <c r="M30" s="21"/>
      <c r="N30" s="17"/>
    </row>
    <row r="31" spans="1:14" x14ac:dyDescent="0.2">
      <c r="A31" s="19"/>
      <c r="B31" s="17"/>
      <c r="C31" s="17"/>
      <c r="D31" s="17"/>
      <c r="E31" s="17"/>
      <c r="F31" s="17"/>
      <c r="G31" s="20"/>
      <c r="H31" s="20"/>
      <c r="I31" s="20"/>
      <c r="J31" s="17"/>
      <c r="K31" s="21"/>
      <c r="L31" s="21"/>
      <c r="M31" s="21"/>
      <c r="N31" s="17"/>
    </row>
    <row r="32" spans="1:14" x14ac:dyDescent="0.2">
      <c r="A32" s="19"/>
      <c r="B32" s="17"/>
      <c r="C32" s="17"/>
      <c r="D32" s="17"/>
      <c r="E32" s="17"/>
      <c r="F32" s="17"/>
      <c r="G32" s="20"/>
      <c r="H32" s="20"/>
      <c r="I32" s="20"/>
      <c r="J32" s="17"/>
      <c r="K32" s="21"/>
      <c r="L32" s="21"/>
      <c r="M32" s="21"/>
      <c r="N32" s="17"/>
    </row>
    <row r="33" spans="1:14" x14ac:dyDescent="0.2">
      <c r="A33" s="19"/>
      <c r="B33" s="17"/>
      <c r="C33" s="17"/>
      <c r="D33" s="17"/>
      <c r="E33" s="17"/>
      <c r="F33" s="17"/>
      <c r="G33" s="20"/>
      <c r="H33" s="20"/>
      <c r="I33" s="20"/>
      <c r="J33" s="17"/>
      <c r="K33" s="21"/>
      <c r="L33" s="21"/>
      <c r="M33" s="21"/>
      <c r="N33" s="17"/>
    </row>
    <row r="34" spans="1:14" x14ac:dyDescent="0.2">
      <c r="A34" s="19"/>
      <c r="B34" s="17"/>
      <c r="C34" s="17"/>
      <c r="D34" s="17"/>
      <c r="E34" s="17"/>
      <c r="F34" s="17"/>
      <c r="G34" s="20"/>
      <c r="H34" s="20"/>
      <c r="I34" s="20"/>
      <c r="J34" s="17"/>
      <c r="K34" s="21"/>
      <c r="L34" s="21"/>
      <c r="M34" s="21"/>
      <c r="N34" s="17"/>
    </row>
    <row r="35" spans="1:14" x14ac:dyDescent="0.2">
      <c r="A35" s="19"/>
      <c r="B35" s="17"/>
      <c r="C35" s="17"/>
      <c r="D35" s="17"/>
      <c r="E35" s="17"/>
      <c r="F35" s="17"/>
      <c r="G35" s="20"/>
      <c r="H35" s="20"/>
      <c r="I35" s="20"/>
      <c r="J35" s="17"/>
      <c r="K35" s="21"/>
      <c r="L35" s="21"/>
      <c r="M35" s="21"/>
      <c r="N35" s="17"/>
    </row>
    <row r="36" spans="1:14" x14ac:dyDescent="0.2">
      <c r="A36" s="19"/>
      <c r="B36" s="17"/>
      <c r="C36" s="17"/>
      <c r="D36" s="17"/>
      <c r="E36" s="17"/>
      <c r="F36" s="17"/>
      <c r="G36" s="20"/>
      <c r="H36" s="20"/>
      <c r="I36" s="20"/>
      <c r="J36" s="17"/>
      <c r="K36" s="21"/>
      <c r="L36" s="21"/>
      <c r="M36" s="21"/>
      <c r="N36" s="17"/>
    </row>
    <row r="37" spans="1:14" x14ac:dyDescent="0.2">
      <c r="A37" s="19"/>
      <c r="B37" s="17"/>
      <c r="C37" s="17"/>
      <c r="D37" s="17"/>
      <c r="E37" s="17"/>
      <c r="F37" s="17"/>
      <c r="G37" s="20"/>
      <c r="H37" s="20"/>
      <c r="I37" s="20"/>
      <c r="J37" s="17"/>
      <c r="K37" s="21"/>
      <c r="L37" s="21"/>
      <c r="M37" s="21"/>
      <c r="N37" s="17"/>
    </row>
    <row r="38" spans="1:14" x14ac:dyDescent="0.2">
      <c r="A38" s="19"/>
      <c r="B38" s="17"/>
      <c r="C38" s="17"/>
      <c r="D38" s="17"/>
      <c r="E38" s="17"/>
      <c r="F38" s="17"/>
      <c r="G38" s="20"/>
      <c r="H38" s="20"/>
      <c r="I38" s="20"/>
      <c r="J38" s="17"/>
      <c r="K38" s="21"/>
      <c r="L38" s="21"/>
      <c r="M38" s="21"/>
      <c r="N38" s="17"/>
    </row>
    <row r="39" spans="1:14" x14ac:dyDescent="0.2">
      <c r="A39" s="19"/>
      <c r="B39" s="17"/>
      <c r="C39" s="17"/>
      <c r="D39" s="17"/>
      <c r="E39" s="17"/>
      <c r="F39" s="18"/>
      <c r="G39" s="20"/>
      <c r="H39" s="20"/>
      <c r="I39" s="20"/>
      <c r="J39" s="17"/>
      <c r="K39" s="21"/>
      <c r="L39" s="21"/>
      <c r="M39" s="17"/>
      <c r="N39" s="17"/>
    </row>
    <row r="40" spans="1:14" x14ac:dyDescent="0.2">
      <c r="A40" s="19"/>
      <c r="B40" s="17"/>
      <c r="C40" s="17"/>
      <c r="D40" s="17"/>
      <c r="E40" s="17"/>
      <c r="F40" s="18"/>
      <c r="G40" s="20"/>
      <c r="H40" s="20"/>
      <c r="I40" s="20"/>
      <c r="J40" s="17"/>
      <c r="K40" s="21"/>
      <c r="L40" s="21"/>
      <c r="M40" s="17"/>
      <c r="N40" s="17"/>
    </row>
    <row r="41" spans="1:14" x14ac:dyDescent="0.2">
      <c r="A41" s="6"/>
      <c r="G41" s="6"/>
      <c r="H41" s="6"/>
      <c r="I41" s="6"/>
      <c r="K41" s="7"/>
      <c r="L41" s="7"/>
      <c r="M41" s="7"/>
    </row>
  </sheetData>
  <mergeCells count="5">
    <mergeCell ref="A1:D2"/>
    <mergeCell ref="F9:G9"/>
    <mergeCell ref="F2:G2"/>
    <mergeCell ref="A3:D4"/>
    <mergeCell ref="A5:C6"/>
  </mergeCells>
  <phoneticPr fontId="0" type="noConversion"/>
  <conditionalFormatting sqref="N17:N38">
    <cfRule type="cellIs" dxfId="39" priority="1" stopIfTrue="1" operator="equal">
      <formula>"D-D"</formula>
    </cfRule>
    <cfRule type="cellIs" dxfId="38" priority="2" stopIfTrue="1" operator="equal">
      <formula>"C-D"</formula>
    </cfRule>
    <cfRule type="cellIs" dxfId="37" priority="3" stopIfTrue="1" operator="equal">
      <formula>"B-D"</formula>
    </cfRule>
    <cfRule type="cellIs" dxfId="36" priority="4" stopIfTrue="1" operator="equal">
      <formula>"A-D"</formula>
    </cfRule>
    <cfRule type="cellIs" dxfId="35" priority="5" stopIfTrue="1" operator="equal">
      <formula>"VIP-D"</formula>
    </cfRule>
    <cfRule type="cellIs" dxfId="34" priority="6" stopIfTrue="1" operator="equal">
      <formula>"VIP"</formula>
    </cfRule>
    <cfRule type="cellIs" dxfId="33" priority="7" stopIfTrue="1" operator="equal">
      <formula>"A"</formula>
    </cfRule>
    <cfRule type="cellIs" dxfId="32" priority="8" stopIfTrue="1" operator="equal">
      <formula>"B"</formula>
    </cfRule>
    <cfRule type="cellIs" dxfId="31" priority="9" stopIfTrue="1" operator="equal">
      <formula>"C"</formula>
    </cfRule>
    <cfRule type="cellIs" dxfId="30" priority="10" stopIfTrue="1" operator="equal">
      <formula>"D"</formula>
    </cfRule>
  </conditionalFormatting>
  <pageMargins left="0.78740157480314965" right="0.78740157480314965" top="0.98425196850393704" bottom="0.98425196850393704" header="0.51181102362204722" footer="0.51181102362204722"/>
  <pageSetup paperSize="9" scale="47" fitToHeight="100" orientation="landscape" verticalDpi="0" r:id="rId1"/>
  <headerFooter alignWithMargins="0">
    <oddHeader>&amp;C&amp;"Arial,Fett"&amp;12Bestandsstatistik mit Verträgen nur SHUK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9"/>
  <sheetViews>
    <sheetView zoomScale="80" zoomScaleNormal="80" workbookViewId="0">
      <pane ySplit="16" topLeftCell="A17" activePane="bottomLeft" state="frozen"/>
      <selection pane="bottomLeft" activeCell="A3" sqref="A3:D4"/>
    </sheetView>
  </sheetViews>
  <sheetFormatPr baseColWidth="10" defaultColWidth="11.42578125" defaultRowHeight="12.75" x14ac:dyDescent="0.2"/>
  <cols>
    <col min="1" max="1" width="7.7109375" style="2" bestFit="1" customWidth="1"/>
    <col min="2" max="2" width="41.28515625" style="2" bestFit="1" customWidth="1"/>
    <col min="3" max="3" width="20.85546875" style="2" bestFit="1" customWidth="1"/>
    <col min="4" max="4" width="49.85546875" style="2" bestFit="1" customWidth="1"/>
    <col min="5" max="5" width="31.7109375" style="2" bestFit="1" customWidth="1"/>
    <col min="6" max="6" width="31.7109375" style="2" customWidth="1"/>
    <col min="7" max="7" width="22" style="2" bestFit="1" customWidth="1"/>
    <col min="8" max="8" width="14" style="2" bestFit="1" customWidth="1"/>
    <col min="9" max="9" width="15.5703125" style="2" bestFit="1" customWidth="1"/>
    <col min="10" max="13" width="15.7109375" style="2" customWidth="1"/>
    <col min="14" max="15" width="17.42578125" style="2" bestFit="1" customWidth="1"/>
    <col min="16" max="16384" width="11.42578125" style="2"/>
  </cols>
  <sheetData>
    <row r="1" spans="1:15" ht="13.5" thickBot="1" x14ac:dyDescent="0.25">
      <c r="A1" s="110" t="s">
        <v>79</v>
      </c>
      <c r="B1" s="110"/>
      <c r="C1" s="110"/>
      <c r="D1" s="110"/>
      <c r="E1" s="28" t="s">
        <v>17</v>
      </c>
      <c r="F1" s="28"/>
    </row>
    <row r="2" spans="1:15" ht="17.25" thickTop="1" thickBot="1" x14ac:dyDescent="0.25">
      <c r="A2" s="110"/>
      <c r="B2" s="110"/>
      <c r="C2" s="110"/>
      <c r="D2" s="110"/>
      <c r="E2" s="29">
        <f>Kundenliste!$E$2</f>
        <v>0</v>
      </c>
      <c r="F2" s="29"/>
      <c r="G2" s="115" t="s">
        <v>58</v>
      </c>
      <c r="H2" s="116"/>
      <c r="I2" s="55" t="s">
        <v>7</v>
      </c>
      <c r="J2" s="51" t="s">
        <v>6</v>
      </c>
      <c r="K2" s="52" t="s">
        <v>4</v>
      </c>
      <c r="L2" s="53" t="s">
        <v>5</v>
      </c>
      <c r="M2" s="60" t="s">
        <v>18</v>
      </c>
      <c r="N2" s="54" t="s">
        <v>8</v>
      </c>
      <c r="O2" s="50" t="s">
        <v>21</v>
      </c>
    </row>
    <row r="3" spans="1:15" ht="15" customHeight="1" x14ac:dyDescent="0.2">
      <c r="A3" s="114">
        <f>Kundenliste!$A$3</f>
        <v>0</v>
      </c>
      <c r="B3" s="114"/>
      <c r="C3" s="114"/>
      <c r="D3" s="114"/>
      <c r="G3" s="30" t="s">
        <v>20</v>
      </c>
      <c r="H3" s="44"/>
      <c r="I3" s="91">
        <f>COUNTIFS(bestand_produktion[Art],"1",bestand_produktion[Kategorie],"VIP")+COUNTIFS(bestand_produktion[Art],"1",bestand_produktion[Kategorie],"VIP-D")</f>
        <v>0</v>
      </c>
      <c r="J3" s="61">
        <f>COUNTIFS(bestand_produktion[Art],"1",bestand_produktion[Kategorie],"A")+COUNTIFS(bestand_produktion[Art],"1",bestand_produktion[Kategorie],"A-D")</f>
        <v>0</v>
      </c>
      <c r="K3" s="61">
        <f>COUNTIFS(bestand_produktion[Art],"1",bestand_produktion[Kategorie],"B")+COUNTIFS(bestand_produktion[Art],"1",bestand_produktion[Kategorie],"B-D")</f>
        <v>0</v>
      </c>
      <c r="L3" s="61">
        <f>COUNTIFS(bestand_produktion[Art],"1",bestand_produktion[Kategorie],"C")+COUNTIFS(bestand_produktion[Art],"1",bestand_produktion[Kategorie],"C-D")</f>
        <v>0</v>
      </c>
      <c r="M3" s="61">
        <f>COUNTIFS(bestand_produktion[Art],"1",bestand_produktion[Kategorie],"D")+COUNTIFS(bestand_produktion[Art],"1",bestand_produktion[Kategorie],"D-D")+COUNTIFS(bestand_produktion[Art],"1",bestand_produktion[Kategorie],"")</f>
        <v>0</v>
      </c>
      <c r="N3" s="31">
        <f>COUNTIFS(bestand_produktion[Art],"1",bestand_produktion[Kategorie],"DSGVO!")</f>
        <v>0</v>
      </c>
      <c r="O3" s="92">
        <f>SUM(I3:N3)</f>
        <v>0</v>
      </c>
    </row>
    <row r="4" spans="1:15" ht="15" customHeight="1" x14ac:dyDescent="0.2">
      <c r="A4" s="114"/>
      <c r="B4" s="114"/>
      <c r="C4" s="114"/>
      <c r="D4" s="114"/>
      <c r="G4" s="30" t="s">
        <v>19</v>
      </c>
      <c r="H4" s="44"/>
      <c r="I4" s="56">
        <f>SUMIFS(bestand_produktion[Brutto-UE],bestand_produktion[Art],"1",bestand_produktion[Kategorie],"VIP")+SUMIFS(bestand_produktion[Brutto-UE],bestand_produktion[Art],"1",bestand_produktion[Kategorie],"VIP-D")</f>
        <v>0</v>
      </c>
      <c r="J4" s="46">
        <f>SUMIFS(bestand_produktion[Brutto-UE],bestand_produktion[Art],"1",bestand_produktion[Kategorie],"A")+SUMIFS(bestand_produktion[Brutto-UE],bestand_produktion[Art],"1",bestand_produktion[Kategorie],"A-D")</f>
        <v>0</v>
      </c>
      <c r="K4" s="46">
        <f>SUMIFS(bestand_produktion[Brutto-UE],bestand_produktion[Art],"1",bestand_produktion[Kategorie],"B")+SUMIFS(bestand_produktion[Brutto-UE],bestand_produktion[Art],"1",bestand_produktion[Kategorie],"B-D")</f>
        <v>0</v>
      </c>
      <c r="L4" s="46">
        <f>SUMIFS(bestand_produktion[Brutto-UE],bestand_produktion[Art],"1",bestand_produktion[Kategorie],"C")+SUMIFS(bestand_produktion[Brutto-UE],bestand_produktion[Art],"1",bestand_produktion[Kategorie],"C-D")</f>
        <v>0</v>
      </c>
      <c r="M4" s="46">
        <f>SUMIFS(bestand_produktion[Brutto-UE],bestand_produktion[Art],"1",bestand_produktion[Kategorie],"D")+SUMIFS(bestand_produktion[Brutto-UE],bestand_produktion[Art],"1",bestand_produktion[Kategorie],"D-D")+SUMIFS(bestand_produktion[Brutto-UE],bestand_produktion[Art],"1",bestand_produktion[Kategorie],"")</f>
        <v>0</v>
      </c>
      <c r="N4" s="32">
        <f>SUMIFS(bestand_produktion[Brutto-UE],bestand_produktion[Art],"1",bestand_produktion[Kategorie],"DSGVO!")</f>
        <v>0</v>
      </c>
      <c r="O4" s="40">
        <f>SUM(I4:N4)</f>
        <v>0</v>
      </c>
    </row>
    <row r="5" spans="1:15" ht="15" x14ac:dyDescent="0.2">
      <c r="A5" s="117" t="str">
        <f>VLOOKUP(Kundenliste!$A$5,Daten!$A$7:$C$19,2)</f>
        <v>Senior Berater I</v>
      </c>
      <c r="B5" s="117"/>
      <c r="C5" s="117"/>
      <c r="G5" s="30" t="s">
        <v>37</v>
      </c>
      <c r="H5" s="44"/>
      <c r="I5" s="57">
        <f>I4*VLOOKUP(Kundenliste!$A$5,Daten!$A$7:$C$19,3)</f>
        <v>0</v>
      </c>
      <c r="J5" s="47">
        <f>J4*VLOOKUP(Kundenliste!$A$5,Daten!$A$7:$C$19,3)</f>
        <v>0</v>
      </c>
      <c r="K5" s="47">
        <f>K4*VLOOKUP(Kundenliste!$A$5,Daten!$A$7:$C$19,3)</f>
        <v>0</v>
      </c>
      <c r="L5" s="47">
        <f>L4*VLOOKUP(Kundenliste!$A$5,Daten!$A$7:$C$19,3)</f>
        <v>0</v>
      </c>
      <c r="M5" s="62">
        <f>M4*VLOOKUP(Kundenliste!$A$5,Daten!$A$7:$C$19,3)</f>
        <v>0</v>
      </c>
      <c r="N5" s="33">
        <f>N4*VLOOKUP(Kundenliste!$A$5,Daten!$A$7:$C$19,3)</f>
        <v>0</v>
      </c>
      <c r="O5" s="41">
        <f>SUM(I5:N5)</f>
        <v>0</v>
      </c>
    </row>
    <row r="6" spans="1:15" ht="15" x14ac:dyDescent="0.2">
      <c r="A6" s="117"/>
      <c r="B6" s="117"/>
      <c r="C6" s="117"/>
      <c r="D6" s="1"/>
      <c r="E6" s="3"/>
      <c r="F6" s="3"/>
      <c r="G6" s="30" t="s">
        <v>39</v>
      </c>
      <c r="H6" s="44"/>
      <c r="I6" s="58">
        <f>IF(I3&gt;0,I4/I3,0)</f>
        <v>0</v>
      </c>
      <c r="J6" s="48">
        <f t="shared" ref="J6:N6" si="0">IF(J3&gt;0,J4/J3,0)</f>
        <v>0</v>
      </c>
      <c r="K6" s="48">
        <f t="shared" si="0"/>
        <v>0</v>
      </c>
      <c r="L6" s="48">
        <f t="shared" si="0"/>
        <v>0</v>
      </c>
      <c r="M6" s="48">
        <f t="shared" si="0"/>
        <v>0</v>
      </c>
      <c r="N6" s="34">
        <f t="shared" si="0"/>
        <v>0</v>
      </c>
      <c r="O6" s="42">
        <f>IF(O3&gt;0,O4/O3,0)</f>
        <v>0</v>
      </c>
    </row>
    <row r="7" spans="1:15" ht="15.75" thickBot="1" x14ac:dyDescent="0.25">
      <c r="D7" s="1"/>
      <c r="E7" s="3"/>
      <c r="F7" s="3"/>
      <c r="G7" s="35" t="s">
        <v>38</v>
      </c>
      <c r="H7" s="45"/>
      <c r="I7" s="59">
        <f>IF(I3&gt;0,$I$4/Kundenliste!$H$3,0)</f>
        <v>0</v>
      </c>
      <c r="J7" s="49">
        <f>IF(J3&gt;0,$J$4/Kundenliste!$H$4,0)</f>
        <v>0</v>
      </c>
      <c r="K7" s="49">
        <f>IF(K3&gt;0,$K$4/Kundenliste!$H$5,0)</f>
        <v>0</v>
      </c>
      <c r="L7" s="49">
        <f>IF(L3&gt;0,$L$4/Kundenliste!$H$6,0)</f>
        <v>0</v>
      </c>
      <c r="M7" s="49">
        <f>IF(M3&gt;0,$M$4/SUM(Kundenliste!$H$7,Kundenliste!$H$9),0)</f>
        <v>0</v>
      </c>
      <c r="N7" s="36">
        <f>IF(N3&gt;0,$N$4/Kundenliste!$H$10,0)</f>
        <v>0</v>
      </c>
      <c r="O7" s="43">
        <f>IF(O3&gt;0,$O$4/Kundenliste!$H$12,0)</f>
        <v>0</v>
      </c>
    </row>
    <row r="8" spans="1:15" ht="13.5" thickBot="1" x14ac:dyDescent="0.25"/>
    <row r="9" spans="1:15" ht="17.25" thickTop="1" thickBot="1" x14ac:dyDescent="0.25">
      <c r="A9" s="80" t="s">
        <v>66</v>
      </c>
      <c r="G9" s="115" t="s">
        <v>57</v>
      </c>
      <c r="H9" s="116"/>
      <c r="I9" s="55" t="s">
        <v>7</v>
      </c>
      <c r="J9" s="51" t="s">
        <v>6</v>
      </c>
      <c r="K9" s="52" t="s">
        <v>4</v>
      </c>
      <c r="L9" s="53" t="s">
        <v>5</v>
      </c>
      <c r="M9" s="60" t="s">
        <v>18</v>
      </c>
      <c r="N9" s="54" t="s">
        <v>8</v>
      </c>
      <c r="O9" s="50" t="s">
        <v>21</v>
      </c>
    </row>
    <row r="10" spans="1:15" ht="15" x14ac:dyDescent="0.2">
      <c r="A10" s="15" t="s">
        <v>70</v>
      </c>
      <c r="G10" s="30" t="s">
        <v>20</v>
      </c>
      <c r="H10" s="44"/>
      <c r="I10" s="91">
        <f>COUNTIFS(bestand_produktion[Art],"2",bestand_produktion[Kategorie],"VIP")+COUNTIFS(bestand_produktion[Art],"2",bestand_produktion[Kategorie],"VIP-D")</f>
        <v>0</v>
      </c>
      <c r="J10" s="61">
        <f>COUNTIFS(bestand_produktion[Art],"2",bestand_produktion[Kategorie],"A")+COUNTIFS(bestand_produktion[Art],"2",bestand_produktion[Kategorie],"A-D")</f>
        <v>0</v>
      </c>
      <c r="K10" s="61">
        <f>COUNTIFS(bestand_produktion[Art],"2",bestand_produktion[Kategorie],"B")+COUNTIFS(bestand_produktion[Art],"2",bestand_produktion[Kategorie],"B-D")</f>
        <v>0</v>
      </c>
      <c r="L10" s="61">
        <f>COUNTIFS(bestand_produktion[Art],"2",bestand_produktion[Kategorie],"C")+COUNTIFS(bestand_produktion[Art],"2",bestand_produktion[Kategorie],"C-D")</f>
        <v>0</v>
      </c>
      <c r="M10" s="61">
        <f>COUNTIFS(bestand_produktion[Art],"2",bestand_produktion[Kategorie],"D")+COUNTIFS(bestand_produktion[Art],"2",bestand_produktion[Kategorie],"D-D")+COUNTIFS(bestand_produktion[Art],"2",bestand_produktion[Kategorie],"")</f>
        <v>0</v>
      </c>
      <c r="N10" s="31">
        <f>COUNTIFS(bestand_produktion[Art],"2",bestand_produktion[Kategorie],"DSGVO!")</f>
        <v>0</v>
      </c>
      <c r="O10" s="92">
        <f>SUM(I10:N10)</f>
        <v>0</v>
      </c>
    </row>
    <row r="11" spans="1:15" ht="15" x14ac:dyDescent="0.2">
      <c r="G11" s="30" t="s">
        <v>19</v>
      </c>
      <c r="H11" s="44"/>
      <c r="I11" s="56">
        <f>SUMIFS(bestand_produktion[Brutto-UE],bestand_produktion[Art],"2",bestand_produktion[Kategorie],"VIP")+SUMIFS(bestand_produktion[Brutto-UE],bestand_produktion[Art],"2",bestand_produktion[Kategorie],"VIP-D")</f>
        <v>0</v>
      </c>
      <c r="J11" s="46">
        <f>SUMIFS(bestand_produktion[Brutto-UE],bestand_produktion[Art],"2",bestand_produktion[Kategorie],"A")+SUMIFS(bestand_produktion[Brutto-UE],bestand_produktion[Art],"2",bestand_produktion[Kategorie],"A-D")</f>
        <v>0</v>
      </c>
      <c r="K11" s="46">
        <f>SUMIFS(bestand_produktion[Brutto-UE],bestand_produktion[Art],"2",bestand_produktion[Kategorie],"B")+SUMIFS(bestand_produktion[Brutto-UE],bestand_produktion[Art],"2",bestand_produktion[Kategorie],"B-D")</f>
        <v>0</v>
      </c>
      <c r="L11" s="46">
        <f>SUMIFS(bestand_produktion[Brutto-UE],bestand_produktion[Art],"2",bestand_produktion[Kategorie],"C")+SUMIFS(bestand_produktion[Brutto-UE],bestand_produktion[Art],"2",bestand_produktion[Kategorie],"C-D")</f>
        <v>0</v>
      </c>
      <c r="M11" s="46">
        <f>SUMIFS(bestand_produktion[Brutto-UE],bestand_produktion[Art],"2",bestand_produktion[Kategorie],"D")+SUMIFS(bestand_produktion[Brutto-UE],bestand_produktion[Art],"2",bestand_produktion[Kategorie],"D-D")+SUMIFS(bestand_produktion[Brutto-UE],bestand_produktion[Art],"2",bestand_produktion[Kategorie],"")</f>
        <v>0</v>
      </c>
      <c r="N11" s="32">
        <f>SUMIFS(bestand_produktion[Brutto-UE],bestand_produktion[Art],"2",bestand_produktion[Kategorie],"DSGVO!")</f>
        <v>0</v>
      </c>
      <c r="O11" s="40">
        <f>SUM(I11:N11)</f>
        <v>0</v>
      </c>
    </row>
    <row r="12" spans="1:15" ht="15" x14ac:dyDescent="0.2">
      <c r="G12" s="30" t="s">
        <v>37</v>
      </c>
      <c r="H12" s="44"/>
      <c r="I12" s="57">
        <f>I11*VLOOKUP(Kundenliste!$A$5,Daten!$A$7:$C$19,3)</f>
        <v>0</v>
      </c>
      <c r="J12" s="47">
        <f>J11*VLOOKUP(Kundenliste!$A$5,Daten!$A$7:$C$19,3)</f>
        <v>0</v>
      </c>
      <c r="K12" s="47">
        <f>K11*VLOOKUP(Kundenliste!$A$5,Daten!$A$7:$C$19,3)</f>
        <v>0</v>
      </c>
      <c r="L12" s="47">
        <f>L11*VLOOKUP(Kundenliste!$A$5,Daten!$A$7:$C$19,3)</f>
        <v>0</v>
      </c>
      <c r="M12" s="62">
        <f>M11*VLOOKUP(Kundenliste!$A$5,Daten!$A$7:$C$19,3)</f>
        <v>0</v>
      </c>
      <c r="N12" s="33">
        <f>N11*VLOOKUP(Kundenliste!$A$5,Daten!$A$7:$C$19,3)</f>
        <v>0</v>
      </c>
      <c r="O12" s="41">
        <f>SUM(I12:N12)</f>
        <v>0</v>
      </c>
    </row>
    <row r="13" spans="1:15" ht="15" x14ac:dyDescent="0.2">
      <c r="G13" s="30" t="s">
        <v>39</v>
      </c>
      <c r="H13" s="44"/>
      <c r="I13" s="58">
        <f>IF(I10&gt;0,I11/I10,0)</f>
        <v>0</v>
      </c>
      <c r="J13" s="48">
        <f t="shared" ref="J13:O13" si="1">IF(J10&gt;0,J11/J10,0)</f>
        <v>0</v>
      </c>
      <c r="K13" s="48">
        <f t="shared" si="1"/>
        <v>0</v>
      </c>
      <c r="L13" s="48">
        <f t="shared" si="1"/>
        <v>0</v>
      </c>
      <c r="M13" s="48">
        <f t="shared" si="1"/>
        <v>0</v>
      </c>
      <c r="N13" s="34">
        <f t="shared" si="1"/>
        <v>0</v>
      </c>
      <c r="O13" s="42">
        <f t="shared" si="1"/>
        <v>0</v>
      </c>
    </row>
    <row r="14" spans="1:15" ht="15.75" thickBot="1" x14ac:dyDescent="0.25">
      <c r="G14" s="35" t="s">
        <v>38</v>
      </c>
      <c r="H14" s="45"/>
      <c r="I14" s="59">
        <f>IF(I10&gt;0,$I$11/Kundenliste!$J$3,0)</f>
        <v>0</v>
      </c>
      <c r="J14" s="49">
        <f>IF(J10&gt;0,$J$11/Kundenliste!$J$4,0)</f>
        <v>0</v>
      </c>
      <c r="K14" s="49">
        <f>IF(K10&gt;0,$K$11/Kundenliste!$J$5,0)</f>
        <v>0</v>
      </c>
      <c r="L14" s="49">
        <f>IF(L10&gt;0,$L$11/Kundenliste!$J$6,0)</f>
        <v>0</v>
      </c>
      <c r="M14" s="49">
        <f>IF(M10&gt;0,$M$11/SUM(Kundenliste!$J$7,Kundenliste!$J$9),0)</f>
        <v>0</v>
      </c>
      <c r="N14" s="36">
        <f>IF(N10&gt;0,$N$11/Kundenliste!$J$10,0)</f>
        <v>0</v>
      </c>
      <c r="O14" s="43">
        <f>IF(O10&gt;0,$O$11/Kundenliste!$J$12,0)</f>
        <v>0</v>
      </c>
    </row>
    <row r="16" spans="1:15" s="4" customFormat="1" ht="25.5" x14ac:dyDescent="0.2">
      <c r="A16" s="4" t="s">
        <v>9</v>
      </c>
      <c r="B16" s="4" t="s">
        <v>0</v>
      </c>
      <c r="C16" s="4" t="s">
        <v>1</v>
      </c>
      <c r="D16" s="4" t="s">
        <v>10</v>
      </c>
      <c r="E16" s="4" t="s">
        <v>11</v>
      </c>
      <c r="F16" s="4" t="s">
        <v>77</v>
      </c>
      <c r="G16" s="4" t="s">
        <v>2</v>
      </c>
      <c r="H16" s="5" t="s">
        <v>14</v>
      </c>
      <c r="I16" s="5" t="s">
        <v>15</v>
      </c>
      <c r="J16" s="5" t="s">
        <v>16</v>
      </c>
      <c r="K16" s="4" t="s">
        <v>12</v>
      </c>
      <c r="L16" s="5" t="s">
        <v>33</v>
      </c>
      <c r="M16" s="8" t="s">
        <v>34</v>
      </c>
      <c r="N16" s="9" t="s">
        <v>22</v>
      </c>
      <c r="O16" s="4" t="s">
        <v>3</v>
      </c>
    </row>
    <row r="17" spans="1:15" x14ac:dyDescent="0.2">
      <c r="A17" s="19"/>
      <c r="B17" s="17"/>
      <c r="C17" s="17"/>
      <c r="D17" s="17"/>
      <c r="E17" s="17"/>
      <c r="F17" s="17"/>
      <c r="G17" s="17"/>
      <c r="H17" s="20"/>
      <c r="I17" s="20"/>
      <c r="J17" s="20"/>
      <c r="K17" s="17"/>
      <c r="L17" s="21"/>
      <c r="M17" s="21"/>
      <c r="N17" s="17"/>
      <c r="O17" s="17"/>
    </row>
    <row r="18" spans="1:15" x14ac:dyDescent="0.2">
      <c r="A18" s="19"/>
      <c r="B18" s="17"/>
      <c r="C18" s="17"/>
      <c r="D18" s="17"/>
      <c r="E18" s="17"/>
      <c r="F18" s="17"/>
      <c r="G18" s="17"/>
      <c r="H18" s="20"/>
      <c r="I18" s="20"/>
      <c r="J18" s="20"/>
      <c r="K18" s="17"/>
      <c r="L18" s="21"/>
      <c r="M18" s="21"/>
      <c r="N18" s="17"/>
      <c r="O18" s="17"/>
    </row>
    <row r="19" spans="1:15" x14ac:dyDescent="0.2">
      <c r="A19" s="19"/>
      <c r="B19" s="17"/>
      <c r="C19" s="17"/>
      <c r="D19" s="17"/>
      <c r="E19" s="17"/>
      <c r="F19" s="17"/>
      <c r="G19" s="17"/>
      <c r="H19" s="20"/>
      <c r="I19" s="20"/>
      <c r="J19" s="20"/>
      <c r="K19" s="17"/>
      <c r="L19" s="21"/>
      <c r="M19" s="21"/>
      <c r="N19" s="17"/>
      <c r="O19" s="17"/>
    </row>
    <row r="20" spans="1:15" x14ac:dyDescent="0.2">
      <c r="A20" s="19"/>
      <c r="B20" s="17"/>
      <c r="C20" s="17"/>
      <c r="D20" s="17"/>
      <c r="E20" s="17"/>
      <c r="F20" s="17"/>
      <c r="G20" s="17"/>
      <c r="H20" s="20"/>
      <c r="I20" s="20"/>
      <c r="J20" s="20"/>
      <c r="K20" s="17"/>
      <c r="L20" s="21"/>
      <c r="M20" s="21"/>
      <c r="N20" s="17"/>
      <c r="O20" s="17"/>
    </row>
    <row r="21" spans="1:15" x14ac:dyDescent="0.2">
      <c r="A21" s="19"/>
      <c r="B21" s="17"/>
      <c r="C21" s="17"/>
      <c r="D21" s="17"/>
      <c r="E21" s="17"/>
      <c r="F21" s="17"/>
      <c r="G21" s="17"/>
      <c r="H21" s="20"/>
      <c r="I21" s="20"/>
      <c r="J21" s="20"/>
      <c r="K21" s="17"/>
      <c r="L21" s="21"/>
      <c r="M21" s="21"/>
      <c r="N21" s="17"/>
      <c r="O21" s="17"/>
    </row>
    <row r="22" spans="1:15" x14ac:dyDescent="0.2">
      <c r="A22" s="19"/>
      <c r="B22" s="17"/>
      <c r="C22" s="17"/>
      <c r="D22" s="17"/>
      <c r="E22" s="17"/>
      <c r="F22" s="17"/>
      <c r="G22" s="17"/>
      <c r="H22" s="20"/>
      <c r="I22" s="20"/>
      <c r="J22" s="17"/>
      <c r="K22" s="17"/>
      <c r="L22" s="21"/>
      <c r="M22" s="21"/>
      <c r="N22" s="17"/>
      <c r="O22" s="17"/>
    </row>
    <row r="23" spans="1:15" x14ac:dyDescent="0.2">
      <c r="A23" s="19"/>
      <c r="B23" s="17"/>
      <c r="C23" s="17"/>
      <c r="D23" s="17"/>
      <c r="E23" s="17"/>
      <c r="F23" s="17"/>
      <c r="G23" s="17"/>
      <c r="H23" s="20"/>
      <c r="I23" s="20"/>
      <c r="J23" s="17"/>
      <c r="K23" s="17"/>
      <c r="L23" s="21"/>
      <c r="M23" s="21"/>
      <c r="N23" s="17"/>
      <c r="O23" s="17"/>
    </row>
    <row r="24" spans="1:15" x14ac:dyDescent="0.2">
      <c r="A24" s="19"/>
      <c r="B24" s="17"/>
      <c r="C24" s="17"/>
      <c r="D24" s="17"/>
      <c r="E24" s="17"/>
      <c r="F24" s="17"/>
      <c r="G24" s="17"/>
      <c r="H24" s="20"/>
      <c r="I24" s="20"/>
      <c r="J24" s="20"/>
      <c r="K24" s="17"/>
      <c r="L24" s="21"/>
      <c r="M24" s="21"/>
      <c r="N24" s="17"/>
      <c r="O24" s="17"/>
    </row>
    <row r="25" spans="1:15" x14ac:dyDescent="0.2">
      <c r="A25" s="19"/>
      <c r="B25" s="17"/>
      <c r="C25" s="17"/>
      <c r="D25" s="17"/>
      <c r="E25" s="17"/>
      <c r="F25" s="17"/>
      <c r="G25" s="17"/>
      <c r="H25" s="20"/>
      <c r="I25" s="20"/>
      <c r="J25" s="17"/>
      <c r="K25" s="17"/>
      <c r="L25" s="21"/>
      <c r="M25" s="21"/>
      <c r="N25" s="17"/>
      <c r="O25" s="17"/>
    </row>
    <row r="26" spans="1:15" x14ac:dyDescent="0.2">
      <c r="A26" s="19"/>
      <c r="B26" s="17"/>
      <c r="C26" s="17"/>
      <c r="D26" s="17"/>
      <c r="E26" s="17"/>
      <c r="F26" s="17"/>
      <c r="G26" s="17"/>
      <c r="H26" s="20"/>
      <c r="I26" s="20"/>
      <c r="J26" s="20"/>
      <c r="K26" s="17"/>
      <c r="L26" s="21"/>
      <c r="M26" s="21"/>
      <c r="N26" s="17"/>
      <c r="O26" s="17"/>
    </row>
    <row r="27" spans="1:15" x14ac:dyDescent="0.2">
      <c r="A27" s="19"/>
      <c r="B27" s="17"/>
      <c r="C27" s="17"/>
      <c r="D27" s="17"/>
      <c r="E27" s="17"/>
      <c r="F27" s="17"/>
      <c r="G27" s="17"/>
      <c r="H27" s="20"/>
      <c r="I27" s="20"/>
      <c r="J27" s="20"/>
      <c r="K27" s="17"/>
      <c r="L27" s="21"/>
      <c r="M27" s="21"/>
      <c r="N27" s="17"/>
      <c r="O27" s="17"/>
    </row>
    <row r="28" spans="1:15" x14ac:dyDescent="0.2">
      <c r="A28" s="19"/>
      <c r="B28" s="17"/>
      <c r="C28" s="17"/>
      <c r="D28" s="17"/>
      <c r="E28" s="17"/>
      <c r="F28" s="17"/>
      <c r="G28" s="17"/>
      <c r="H28" s="20"/>
      <c r="I28" s="20"/>
      <c r="J28" s="20"/>
      <c r="K28" s="17"/>
      <c r="L28" s="21"/>
      <c r="M28" s="21"/>
      <c r="N28" s="17"/>
      <c r="O28" s="17"/>
    </row>
    <row r="29" spans="1:15" x14ac:dyDescent="0.2">
      <c r="A29" s="19"/>
      <c r="B29" s="17"/>
      <c r="C29" s="17"/>
      <c r="D29" s="17"/>
      <c r="E29" s="17"/>
      <c r="F29" s="17"/>
      <c r="G29" s="17"/>
      <c r="H29" s="20"/>
      <c r="I29" s="20"/>
      <c r="J29" s="20"/>
      <c r="K29" s="17"/>
      <c r="L29" s="21"/>
      <c r="M29" s="21"/>
      <c r="N29" s="17"/>
      <c r="O29" s="17"/>
    </row>
    <row r="30" spans="1:15" x14ac:dyDescent="0.2">
      <c r="A30" s="19"/>
      <c r="B30" s="17"/>
      <c r="C30" s="17"/>
      <c r="D30" s="17"/>
      <c r="E30" s="17"/>
      <c r="F30" s="17"/>
      <c r="G30" s="17"/>
      <c r="H30" s="20"/>
      <c r="I30" s="20"/>
      <c r="J30" s="20"/>
      <c r="K30" s="17"/>
      <c r="L30" s="21"/>
      <c r="M30" s="21"/>
      <c r="N30" s="17"/>
      <c r="O30" s="17"/>
    </row>
    <row r="31" spans="1:15" x14ac:dyDescent="0.2">
      <c r="A31" s="19"/>
      <c r="B31" s="17"/>
      <c r="C31" s="17"/>
      <c r="D31" s="17"/>
      <c r="E31" s="17"/>
      <c r="F31" s="17"/>
      <c r="G31" s="17"/>
      <c r="H31" s="20"/>
      <c r="I31" s="20"/>
      <c r="J31" s="20"/>
      <c r="K31" s="17"/>
      <c r="L31" s="21"/>
      <c r="M31" s="21"/>
      <c r="N31" s="17"/>
      <c r="O31" s="17"/>
    </row>
    <row r="32" spans="1:15" x14ac:dyDescent="0.2">
      <c r="A32" s="19"/>
      <c r="B32" s="17"/>
      <c r="C32" s="17"/>
      <c r="D32" s="17"/>
      <c r="E32" s="17"/>
      <c r="F32" s="17"/>
      <c r="G32" s="17"/>
      <c r="H32" s="20"/>
      <c r="I32" s="20"/>
      <c r="J32" s="20"/>
      <c r="K32" s="17"/>
      <c r="L32" s="21"/>
      <c r="M32" s="21"/>
      <c r="N32" s="17"/>
      <c r="O32" s="17"/>
    </row>
    <row r="33" spans="1:15" x14ac:dyDescent="0.2">
      <c r="A33" s="19"/>
      <c r="B33" s="17"/>
      <c r="C33" s="17"/>
      <c r="D33" s="17"/>
      <c r="E33" s="17"/>
      <c r="F33" s="17"/>
      <c r="G33" s="17"/>
      <c r="H33" s="20"/>
      <c r="I33" s="20"/>
      <c r="J33" s="20"/>
      <c r="K33" s="17"/>
      <c r="L33" s="21"/>
      <c r="M33" s="21"/>
      <c r="N33" s="17"/>
      <c r="O33" s="17"/>
    </row>
    <row r="34" spans="1:15" x14ac:dyDescent="0.2">
      <c r="A34" s="19"/>
      <c r="B34" s="17"/>
      <c r="C34" s="17"/>
      <c r="D34" s="17"/>
      <c r="E34" s="17"/>
      <c r="F34" s="17"/>
      <c r="G34" s="17"/>
      <c r="H34" s="20"/>
      <c r="I34" s="20"/>
      <c r="J34" s="20"/>
      <c r="K34" s="17"/>
      <c r="L34" s="21"/>
      <c r="M34" s="21"/>
      <c r="N34" s="17"/>
      <c r="O34" s="17"/>
    </row>
    <row r="35" spans="1:15" x14ac:dyDescent="0.2">
      <c r="A35" s="19"/>
      <c r="B35" s="17"/>
      <c r="C35" s="17"/>
      <c r="D35" s="17"/>
      <c r="E35" s="17"/>
      <c r="F35" s="17"/>
      <c r="G35" s="17"/>
      <c r="H35" s="20"/>
      <c r="I35" s="20"/>
      <c r="J35" s="20"/>
      <c r="K35" s="17"/>
      <c r="L35" s="21"/>
      <c r="M35" s="21"/>
      <c r="N35" s="17"/>
      <c r="O35" s="17"/>
    </row>
    <row r="36" spans="1:15" x14ac:dyDescent="0.2">
      <c r="A36" s="19"/>
      <c r="B36" s="17"/>
      <c r="C36" s="17"/>
      <c r="D36" s="17"/>
      <c r="E36" s="17"/>
      <c r="F36" s="17"/>
      <c r="G36" s="17"/>
      <c r="H36" s="20"/>
      <c r="I36" s="20"/>
      <c r="J36" s="20"/>
      <c r="K36" s="17"/>
      <c r="L36" s="21"/>
      <c r="M36" s="21"/>
      <c r="N36" s="17"/>
      <c r="O36" s="17"/>
    </row>
    <row r="37" spans="1:15" x14ac:dyDescent="0.2">
      <c r="A37" s="19"/>
      <c r="B37" s="17"/>
      <c r="C37" s="17"/>
      <c r="D37" s="17"/>
      <c r="E37" s="17"/>
      <c r="F37" s="17"/>
      <c r="G37" s="17"/>
      <c r="H37" s="20"/>
      <c r="I37" s="20"/>
      <c r="J37" s="20"/>
      <c r="K37" s="17"/>
      <c r="L37" s="21"/>
      <c r="M37" s="21"/>
      <c r="N37" s="17"/>
      <c r="O37" s="17"/>
    </row>
    <row r="38" spans="1:15" x14ac:dyDescent="0.2">
      <c r="A38" s="19"/>
      <c r="B38" s="17"/>
      <c r="C38" s="17"/>
      <c r="D38" s="17"/>
      <c r="E38" s="17"/>
      <c r="F38" s="17"/>
      <c r="G38" s="17"/>
      <c r="H38" s="20"/>
      <c r="I38" s="20"/>
      <c r="J38" s="20"/>
      <c r="K38" s="17"/>
      <c r="L38" s="21"/>
      <c r="M38" s="21"/>
      <c r="N38" s="17"/>
      <c r="O38" s="17"/>
    </row>
    <row r="39" spans="1:15" x14ac:dyDescent="0.2">
      <c r="A39" s="19"/>
      <c r="B39" s="17"/>
      <c r="C39" s="17"/>
      <c r="D39" s="17"/>
      <c r="E39" s="17"/>
      <c r="F39" s="17"/>
      <c r="G39" s="17"/>
      <c r="H39" s="20"/>
      <c r="I39" s="20"/>
      <c r="J39" s="17"/>
      <c r="K39" s="17"/>
      <c r="L39" s="21"/>
      <c r="M39" s="21"/>
      <c r="N39" s="17"/>
      <c r="O39" s="17"/>
    </row>
  </sheetData>
  <mergeCells count="5">
    <mergeCell ref="A1:D2"/>
    <mergeCell ref="G2:H2"/>
    <mergeCell ref="G9:H9"/>
    <mergeCell ref="A5:C6"/>
    <mergeCell ref="A3:D4"/>
  </mergeCells>
  <conditionalFormatting sqref="O17:O39">
    <cfRule type="cellIs" dxfId="29" priority="1" stopIfTrue="1" operator="equal">
      <formula>"D-D"</formula>
    </cfRule>
    <cfRule type="cellIs" dxfId="28" priority="2" stopIfTrue="1" operator="equal">
      <formula>"C-D"</formula>
    </cfRule>
    <cfRule type="cellIs" dxfId="27" priority="3" stopIfTrue="1" operator="equal">
      <formula>"B-D"</formula>
    </cfRule>
    <cfRule type="cellIs" dxfId="26" priority="4" stopIfTrue="1" operator="equal">
      <formula>"A-D"</formula>
    </cfRule>
    <cfRule type="cellIs" dxfId="25" priority="5" stopIfTrue="1" operator="equal">
      <formula>"VIP-D"</formula>
    </cfRule>
    <cfRule type="cellIs" dxfId="24" priority="6" stopIfTrue="1" operator="equal">
      <formula>"VIP"</formula>
    </cfRule>
    <cfRule type="cellIs" dxfId="23" priority="7" stopIfTrue="1" operator="equal">
      <formula>"A"</formula>
    </cfRule>
    <cfRule type="cellIs" dxfId="22" priority="8" stopIfTrue="1" operator="equal">
      <formula>"B"</formula>
    </cfRule>
    <cfRule type="cellIs" dxfId="21" priority="9" stopIfTrue="1" operator="equal">
      <formula>"C"</formula>
    </cfRule>
    <cfRule type="cellIs" dxfId="20" priority="10" stopIfTrue="1" operator="equal">
      <formula>"D"</formula>
    </cfRule>
  </conditionalFormatting>
  <pageMargins left="0.78740157480314965" right="0.78740157480314965" top="0.98425196850393704" bottom="0.98425196850393704" header="0.51181102362204722" footer="0.51181102362204722"/>
  <pageSetup paperSize="9" scale="39" fitToHeight="100" orientation="landscape" verticalDpi="0" r:id="rId1"/>
  <headerFooter alignWithMargins="0">
    <oddHeader>&amp;C&amp;"Arial,Fett"&amp;12Bestandsstatistik mit Verträgen nur SHUK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39"/>
  <sheetViews>
    <sheetView zoomScale="80" zoomScaleNormal="80" workbookViewId="0">
      <pane ySplit="16" topLeftCell="A17" activePane="bottomLeft" state="frozen"/>
      <selection pane="bottomLeft" activeCell="A3" sqref="A3:D4"/>
    </sheetView>
  </sheetViews>
  <sheetFormatPr baseColWidth="10" defaultColWidth="11.42578125" defaultRowHeight="12.75" x14ac:dyDescent="0.2"/>
  <cols>
    <col min="1" max="1" width="7.7109375" style="2" bestFit="1" customWidth="1"/>
    <col min="2" max="2" width="41.28515625" style="2" bestFit="1" customWidth="1"/>
    <col min="3" max="3" width="20.85546875" style="2" bestFit="1" customWidth="1"/>
    <col min="4" max="4" width="49.85546875" style="2" bestFit="1" customWidth="1"/>
    <col min="5" max="5" width="31.7109375" style="2" bestFit="1" customWidth="1"/>
    <col min="6" max="6" width="31.7109375" style="2" customWidth="1"/>
    <col min="7" max="7" width="22" style="2" bestFit="1" customWidth="1"/>
    <col min="8" max="8" width="14" style="2" bestFit="1" customWidth="1"/>
    <col min="9" max="9" width="15.5703125" style="2" bestFit="1" customWidth="1"/>
    <col min="10" max="13" width="15.7109375" style="2" customWidth="1"/>
    <col min="14" max="15" width="17.42578125" style="2" bestFit="1" customWidth="1"/>
    <col min="16" max="16384" width="11.42578125" style="2"/>
  </cols>
  <sheetData>
    <row r="1" spans="1:15" ht="13.5" thickBot="1" x14ac:dyDescent="0.25">
      <c r="A1" s="110" t="s">
        <v>78</v>
      </c>
      <c r="B1" s="110"/>
      <c r="C1" s="110"/>
      <c r="D1" s="110"/>
      <c r="E1" s="28" t="s">
        <v>17</v>
      </c>
      <c r="F1" s="28"/>
    </row>
    <row r="2" spans="1:15" ht="17.25" thickTop="1" thickBot="1" x14ac:dyDescent="0.25">
      <c r="A2" s="110"/>
      <c r="B2" s="110"/>
      <c r="C2" s="110"/>
      <c r="D2" s="110"/>
      <c r="E2" s="29">
        <f>Kundenliste!$E$2</f>
        <v>0</v>
      </c>
      <c r="F2" s="29"/>
      <c r="G2" s="115" t="s">
        <v>58</v>
      </c>
      <c r="H2" s="116"/>
      <c r="I2" s="55" t="s">
        <v>7</v>
      </c>
      <c r="J2" s="51" t="s">
        <v>6</v>
      </c>
      <c r="K2" s="52" t="s">
        <v>4</v>
      </c>
      <c r="L2" s="53" t="s">
        <v>5</v>
      </c>
      <c r="M2" s="60" t="s">
        <v>18</v>
      </c>
      <c r="N2" s="54" t="s">
        <v>8</v>
      </c>
      <c r="O2" s="50" t="s">
        <v>21</v>
      </c>
    </row>
    <row r="3" spans="1:15" ht="15" customHeight="1" x14ac:dyDescent="0.2">
      <c r="A3" s="114">
        <f>Kundenliste!$A$3</f>
        <v>0</v>
      </c>
      <c r="B3" s="114"/>
      <c r="C3" s="114"/>
      <c r="D3" s="114"/>
      <c r="G3" s="30" t="s">
        <v>20</v>
      </c>
      <c r="H3" s="44"/>
      <c r="I3" s="91">
        <f>COUNTIFS(bestand_produktion_b[Art],"1",bestand_produktion_b[Kategorie],"VIP")+COUNTIFS(bestand_produktion_b[Art],"1",bestand_produktion_b[Kategorie],"VIP-D")-COUNTIFS(bestand_produktion_b[Art],"1",bestand_produktion_b[Kategorie],"VIP",bestand_produktion_b[Status],"Storniert")-COUNTIFS(bestand_produktion_b[Art],"1",bestand_produktion_b[Kategorie],"VIP-D",bestand_produktion_b[Status],"Storniert")-COUNTIFS(bestand_produktion_b[Art],"1",bestand_produktion_b[Kategorie],"VIP",bestand_produktion_b[Status],"Storniert (in Haftung)")-COUNTIFS(bestand_produktion_b[Art],"1",bestand_produktion_b[Kategorie],"VIP-D",bestand_produktion_b[Status],"Storniert (in Haftung)")-COUNTIFS(bestand_produktion_b[Art],"1",bestand_produktion_b[Kategorie],"VIP",bestand_produktion_b[Status],"Antragsstorno")-COUNTIFS(bestand_produktion_b[Art],"1",bestand_produktion_b[Kategorie],"VIP-D",bestand_produktion_b[Status],"Antragsstorno")-COUNTIFS(bestand_produktion_b[Art],"1",bestand_produktion_b[Kategorie],"VIP",bestand_produktion_b[Status],"Abgang Makler")-COUNTIFS(bestand_produktion_b[Art],"1",bestand_produktion_b[Kategorie],"VIP-D",bestand_produktion_b[Status],"Abgang Makler")-COUNTIFS(bestand_produktion_b[Art],"1",bestand_produktion_b[Kategorie],"VIP",bestand_produktion_b[Status],"abgelaufen")-COUNTIFS(bestand_produktion_b[Art],"1",bestand_produktion_b[Kategorie],"VIP-D",bestand_produktion_b[Status],"abgelaufen")</f>
        <v>0</v>
      </c>
      <c r="J3" s="61">
        <f>COUNTIFS(bestand_produktion_b[Art],"1",bestand_produktion_b[Kategorie],"A")+COUNTIFS(bestand_produktion_b[Art],"1",bestand_produktion_b[Kategorie],"A-D")-COUNTIFS(bestand_produktion_b[Art],"1",bestand_produktion_b[Kategorie],"A",bestand_produktion_b[Status],"Storniert")-COUNTIFS(bestand_produktion_b[Art],"1",bestand_produktion_b[Kategorie],"A-D",bestand_produktion_b[Status],"Storniert")-COUNTIFS(bestand_produktion_b[Art],"1",bestand_produktion_b[Kategorie],"A",bestand_produktion_b[Status],"Storniert (in Haftung)")-COUNTIFS(bestand_produktion_b[Art],"1",bestand_produktion_b[Kategorie],"A-D",bestand_produktion_b[Status],"Storniert (in Haftung)")-COUNTIFS(bestand_produktion_b[Art],"1",bestand_produktion_b[Kategorie],"A",bestand_produktion_b[Status],"Antragsstorno")-COUNTIFS(bestand_produktion_b[Art],"1",bestand_produktion_b[Kategorie],"A-D",bestand_produktion_b[Status],"Antragsstorno")-COUNTIFS(bestand_produktion_b[Art],"1",bestand_produktion_b[Kategorie],"A",bestand_produktion_b[Status],"Abgang Makler")-COUNTIFS(bestand_produktion_b[Art],"1",bestand_produktion_b[Kategorie],"A-D",bestand_produktion_b[Status],"Abgang Makler")-COUNTIFS(bestand_produktion_b[Art],"1",bestand_produktion_b[Kategorie],"A",bestand_produktion_b[Status],"abgelaufen")-COUNTIFS(bestand_produktion_b[Art],"1",bestand_produktion_b[Kategorie],"A-D",bestand_produktion_b[Status],"abgelaufen")</f>
        <v>0</v>
      </c>
      <c r="K3" s="61">
        <f>COUNTIFS(bestand_produktion_b[Art],"1",bestand_produktion_b[Kategorie],"B")+COUNTIFS(bestand_produktion_b[Art],"1",bestand_produktion_b[Kategorie],"B-D")-COUNTIFS(bestand_produktion_b[Art],"1",bestand_produktion_b[Kategorie],"B",bestand_produktion_b[Status],"Storniert")-COUNTIFS(bestand_produktion_b[Art],"1",bestand_produktion_b[Kategorie],"B-D",bestand_produktion_b[Status],"Storniert")-COUNTIFS(bestand_produktion_b[Art],"1",bestand_produktion_b[Kategorie],"B",bestand_produktion_b[Status],"Storniert (in Haftung)")-COUNTIFS(bestand_produktion_b[Art],"1",bestand_produktion_b[Kategorie],"B-D",bestand_produktion_b[Status],"Storniert (in Haftung)")-COUNTIFS(bestand_produktion_b[Art],"1",bestand_produktion_b[Kategorie],"B",bestand_produktion_b[Status],"Antragsstorno")-COUNTIFS(bestand_produktion_b[Art],"1",bestand_produktion_b[Kategorie],"B-D",bestand_produktion_b[Status],"Antragsstorno")-COUNTIFS(bestand_produktion_b[Art],"1",bestand_produktion_b[Kategorie],"B",bestand_produktion_b[Status],"Abgang Makler")-COUNTIFS(bestand_produktion_b[Art],"1",bestand_produktion_b[Kategorie],"B-D",bestand_produktion_b[Status],"Abgang Makler")-COUNTIFS(bestand_produktion_b[Art],"1",bestand_produktion_b[Kategorie],"B",bestand_produktion_b[Status],"abgelaufen")-COUNTIFS(bestand_produktion_b[Art],"1",bestand_produktion_b[Kategorie],"B-D",bestand_produktion_b[Status],"abgelaufen")</f>
        <v>0</v>
      </c>
      <c r="L3" s="61">
        <f>COUNTIFS(bestand_produktion_b[Art],"1",bestand_produktion_b[Kategorie],"C")+COUNTIFS(bestand_produktion_b[Art],"1",bestand_produktion_b[Kategorie],"C-D")-COUNTIFS(bestand_produktion_b[Art],"1",bestand_produktion_b[Kategorie],"C",bestand_produktion_b[Status],"Storniert")-COUNTIFS(bestand_produktion_b[Art],"1",bestand_produktion_b[Kategorie],"C-D",bestand_produktion_b[Status],"Storniert")-COUNTIFS(bestand_produktion_b[Art],"1",bestand_produktion_b[Kategorie],"C",bestand_produktion_b[Status],"Storniert (in Haftung)")-COUNTIFS(bestand_produktion_b[Art],"1",bestand_produktion_b[Kategorie],"C-D",bestand_produktion_b[Status],"Storniert (in Haftung)")-COUNTIFS(bestand_produktion_b[Art],"1",bestand_produktion_b[Kategorie],"C",bestand_produktion_b[Status],"Antragsstorno")-COUNTIFS(bestand_produktion_b[Art],"1",bestand_produktion_b[Kategorie],"C-D",bestand_produktion_b[Status],"Antragsstorno")-COUNTIFS(bestand_produktion_b[Art],"1",bestand_produktion_b[Kategorie],"C",bestand_produktion_b[Status],"Abgang Makler")-COUNTIFS(bestand_produktion_b[Art],"1",bestand_produktion_b[Kategorie],"C-D",bestand_produktion_b[Status],"Abgang Makler")-COUNTIFS(bestand_produktion_b[Art],"1",bestand_produktion_b[Kategorie],"C",bestand_produktion_b[Status],"abgelaufen")-COUNTIFS(bestand_produktion_b[Art],"1",bestand_produktion_b[Kategorie],"C-D",bestand_produktion_b[Status],"abgelaufen")</f>
        <v>0</v>
      </c>
      <c r="M3" s="61">
        <f>COUNTIFS(bestand_produktion_b[Art],"1",bestand_produktion_b[Kategorie],"D")+COUNTIFS(bestand_produktion_b[Art],"1",bestand_produktion_b[Kategorie],"D-D")-COUNTIFS(bestand_produktion_b[Art],"1",bestand_produktion_b[Kategorie],"D",bestand_produktion_b[Status],"Storniert")-COUNTIFS(bestand_produktion_b[Art],"1",bestand_produktion_b[Kategorie],"D-D",bestand_produktion_b[Status],"Storniert")-COUNTIFS(bestand_produktion_b[Art],"1",bestand_produktion_b[Kategorie],"D",bestand_produktion_b[Status],"Storniert (in Haftung)")-COUNTIFS(bestand_produktion_b[Art],"1",bestand_produktion_b[Kategorie],"D-D",bestand_produktion_b[Status],"Storniert (in Haftung)")-COUNTIFS(bestand_produktion_b[Art],"1",bestand_produktion_b[Kategorie],"D",bestand_produktion_b[Status],"Antragsstorno")-COUNTIFS(bestand_produktion_b[Art],"1",bestand_produktion_b[Kategorie],"D-D",bestand_produktion_b[Status],"Antragsstorno")-COUNTIFS(bestand_produktion_b[Art],"1",bestand_produktion_b[Kategorie],"D",bestand_produktion_b[Status],"Abgang Makler")-COUNTIFS(bestand_produktion_b[Art],"1",bestand_produktion_b[Kategorie],"D-D",bestand_produktion_b[Status],"Abgang Makler")-COUNTIFS(bestand_produktion_b[Art],"1",bestand_produktion_b[Kategorie],"D",bestand_produktion_b[Status],"abgelaufen")-COUNTIFS(bestand_produktion_b[Art],"1",bestand_produktion_b[Kategorie],"D-D",bestand_produktion_b[Status],"abgelaufen")+COUNTIFS(bestand_produktion_b[Art],"1",bestand_produktion_b[Kategorie],"")-COUNTIFS(bestand_produktion_b[Art],"1",bestand_produktion_b[Kategorie],"",bestand_produktion_b[Status],"Storniert")-COUNTIFS(bestand_produktion_b[Art],"1",bestand_produktion_b[Kategorie],"",bestand_produktion_b[Status],"Storniert (in Haftung)")-COUNTIFS(bestand_produktion_b[Art],"1",bestand_produktion_b[Kategorie],"",bestand_produktion_b[Status],"Antragsstorno")-COUNTIFS(bestand_produktion_b[Art],"1",bestand_produktion_b[Kategorie],"",bestand_produktion_b[Status],"Abgang Makler")-COUNTIFS(bestand_produktion_b[Art],"1",bestand_produktion_b[Kategorie],"",bestand_produktion_b[Status],"abgelaufen")</f>
        <v>0</v>
      </c>
      <c r="N3" s="31">
        <f>COUNTIFS(bestand_produktion_b[Art],"1",bestand_produktion_b[Kategorie],"DSGVO!")-COUNTIFS(bestand_produktion_b[Art],"1",bestand_produktion_b[Kategorie],"DSGVO!",bestand_produktion_b[Status],"Storniert")-COUNTIFS(bestand_produktion_b[Art],"1",bestand_produktion_b[Kategorie],"DSGVO!",bestand_produktion_b[Status],"Storniert (in Haftung)")-COUNTIFS(bestand_produktion_b[Art],"1",bestand_produktion_b[Kategorie],"DSGVO!",bestand_produktion_b[Status],"Antragsstorno")-COUNTIFS(bestand_produktion_b[Art],"1",bestand_produktion_b[Kategorie],"DSGVO!",bestand_produktion_b[Status],"Abgang Makler")-COUNTIFS(bestand_produktion_b[Art],"1",bestand_produktion_b[Kategorie],"DSGVO!",bestand_produktion_b[Status],"abgelaufen")</f>
        <v>0</v>
      </c>
      <c r="O3" s="92">
        <f>SUM(I3:N3)</f>
        <v>0</v>
      </c>
    </row>
    <row r="4" spans="1:15" ht="15" customHeight="1" x14ac:dyDescent="0.2">
      <c r="A4" s="114"/>
      <c r="B4" s="114"/>
      <c r="C4" s="114"/>
      <c r="D4" s="114"/>
      <c r="G4" s="30" t="s">
        <v>19</v>
      </c>
      <c r="H4" s="44"/>
      <c r="I4" s="56">
        <f>SUMIFS(bestand_produktion_b[Brutto-UE],bestand_produktion_b[Art],"1",bestand_produktion_b[Kategorie],"VIP")+SUMIFS(bestand_produktion_b[Brutto-UE],bestand_produktion_b[Art],"1",bestand_produktion_b[Kategorie],"VIP-D")-SUMIFS(bestand_produktion_b[Brutto-UE],bestand_produktion_b[Art],"1",bestand_produktion_b[Kategorie],"VIP",bestand_produktion_b[Status],"Storniert")-SUMIFS(bestand_produktion_b[Brutto-UE],bestand_produktion_b[Art],"1",bestand_produktion_b[Kategorie],"VIP-D",bestand_produktion_b[Status],"Storniert")-SUMIFS(bestand_produktion_b[Brutto-UE],bestand_produktion_b[Art],"1",bestand_produktion_b[Kategorie],"VIP",bestand_produktion_b[Status],"Storniert (in Haftung)")-SUMIFS(bestand_produktion_b[Brutto-UE],bestand_produktion_b[Art],"1",bestand_produktion_b[Kategorie],"VIP-D",bestand_produktion_b[Status],"Storniert (in Haftung)")-SUMIFS(bestand_produktion_b[Brutto-UE],bestand_produktion_b[Art],"1",bestand_produktion_b[Kategorie],"VIP",bestand_produktion_b[Status],"Antragsstorno")-SUMIFS(bestand_produktion_b[Brutto-UE],bestand_produktion_b[Art],"1",bestand_produktion_b[Kategorie],"VIP-D",bestand_produktion_b[Status],"Antragsstorno")-SUMIFS(bestand_produktion_b[Brutto-UE],bestand_produktion_b[Art],"1",bestand_produktion_b[Kategorie],"VIP",bestand_produktion_b[Status],"Abgang Makler")-SUMIFS(bestand_produktion_b[Brutto-UE],bestand_produktion_b[Art],"1",bestand_produktion_b[Kategorie],"VIP-D",bestand_produktion_b[Status],"Abgang Makler")-SUMIFS(bestand_produktion_b[Brutto-UE],bestand_produktion_b[Art],"1",bestand_produktion_b[Kategorie],"VIP",bestand_produktion_b[Status],"abgelaufen")-SUMIFS(bestand_produktion_b[Brutto-UE],bestand_produktion_b[Art],"1",bestand_produktion_b[Kategorie],"VIP-D",bestand_produktion_b[Status],"abgelaufen")</f>
        <v>0</v>
      </c>
      <c r="J4" s="46">
        <f>SUMIFS(bestand_produktion_b[Brutto-UE],bestand_produktion_b[Art],"1",bestand_produktion_b[Kategorie],"A")+SUMIFS(bestand_produktion_b[Brutto-UE],bestand_produktion_b[Art],"1",bestand_produktion_b[Kategorie],"A-D")-SUMIFS(bestand_produktion_b[Brutto-UE],bestand_produktion_b[Art],"1",bestand_produktion_b[Kategorie],"A",bestand_produktion_b[Status],"Storniert")-SUMIFS(bestand_produktion_b[Brutto-UE],bestand_produktion_b[Art],"1",bestand_produktion_b[Kategorie],"A-D",bestand_produktion_b[Status],"Storniert")-SUMIFS(bestand_produktion_b[Brutto-UE],bestand_produktion_b[Art],"1",bestand_produktion_b[Kategorie],"A",bestand_produktion_b[Status],"Storniert (in Haftung)")-SUMIFS(bestand_produktion_b[Brutto-UE],bestand_produktion_b[Art],"1",bestand_produktion_b[Kategorie],"A-D",bestand_produktion_b[Status],"Storniert (in Haftung)")-SUMIFS(bestand_produktion_b[Brutto-UE],bestand_produktion_b[Art],"1",bestand_produktion_b[Kategorie],"A",bestand_produktion_b[Status],"Antragsstorno")-SUMIFS(bestand_produktion_b[Brutto-UE],bestand_produktion_b[Art],"1",bestand_produktion_b[Kategorie],"A-D",bestand_produktion_b[Status],"Antragsstorno")-SUMIFS(bestand_produktion_b[Brutto-UE],bestand_produktion_b[Art],"1",bestand_produktion_b[Kategorie],"A",bestand_produktion_b[Status],"Abgang Makler")-SUMIFS(bestand_produktion_b[Brutto-UE],bestand_produktion_b[Art],"1",bestand_produktion_b[Kategorie],"A-D",bestand_produktion_b[Status],"Abgang Makler")-SUMIFS(bestand_produktion_b[Brutto-UE],bestand_produktion_b[Art],"1",bestand_produktion_b[Kategorie],"A",bestand_produktion_b[Status],"abgelaufen")-SUMIFS(bestand_produktion_b[Brutto-UE],bestand_produktion_b[Art],"1",bestand_produktion_b[Kategorie],"A-D",bestand_produktion_b[Status],"abgelaufen")</f>
        <v>0</v>
      </c>
      <c r="K4" s="46">
        <f>SUMIFS(bestand_produktion_b[Brutto-UE],bestand_produktion_b[Art],"1",bestand_produktion_b[Kategorie],"B")+SUMIFS(bestand_produktion_b[Brutto-UE],bestand_produktion_b[Art],"1",bestand_produktion_b[Kategorie],"B-D")-SUMIFS(bestand_produktion_b[Brutto-UE],bestand_produktion_b[Art],"1",bestand_produktion_b[Kategorie],"B",bestand_produktion_b[Status],"Storniert")-SUMIFS(bestand_produktion_b[Brutto-UE],bestand_produktion_b[Art],"1",bestand_produktion_b[Kategorie],"B-D",bestand_produktion_b[Status],"Storniert")-SUMIFS(bestand_produktion_b[Brutto-UE],bestand_produktion_b[Art],"1",bestand_produktion_b[Kategorie],"B",bestand_produktion_b[Status],"Storniert (in Haftung)")-SUMIFS(bestand_produktion_b[Brutto-UE],bestand_produktion_b[Art],"1",bestand_produktion_b[Kategorie],"B-D",bestand_produktion_b[Status],"Storniert (in Haftung)")-SUMIFS(bestand_produktion_b[Brutto-UE],bestand_produktion_b[Art],"1",bestand_produktion_b[Kategorie],"B",bestand_produktion_b[Status],"Antragsstorno")-SUMIFS(bestand_produktion_b[Brutto-UE],bestand_produktion_b[Art],"1",bestand_produktion_b[Kategorie],"B-D",bestand_produktion_b[Status],"Antragsstorno")-SUMIFS(bestand_produktion_b[Brutto-UE],bestand_produktion_b[Art],"1",bestand_produktion_b[Kategorie],"B",bestand_produktion_b[Status],"Abgang Makler")-SUMIFS(bestand_produktion_b[Brutto-UE],bestand_produktion_b[Art],"1",bestand_produktion_b[Kategorie],"B-D",bestand_produktion_b[Status],"Abgang Makler")-SUMIFS(bestand_produktion_b[Brutto-UE],bestand_produktion_b[Art],"1",bestand_produktion_b[Kategorie],"B",bestand_produktion_b[Status],"abgelaufen")-SUMIFS(bestand_produktion_b[Brutto-UE],bestand_produktion_b[Art],"1",bestand_produktion_b[Kategorie],"B-D",bestand_produktion_b[Status],"abgelaufen")</f>
        <v>0</v>
      </c>
      <c r="L4" s="46">
        <f>SUMIFS(bestand_produktion_b[Brutto-UE],bestand_produktion_b[Art],"1",bestand_produktion_b[Kategorie],"C")+SUMIFS(bestand_produktion_b[Brutto-UE],bestand_produktion_b[Art],"1",bestand_produktion_b[Kategorie],"C-D")-SUMIFS(bestand_produktion_b[Brutto-UE],bestand_produktion_b[Art],"1",bestand_produktion_b[Kategorie],"C",bestand_produktion_b[Status],"Storniert")-SUMIFS(bestand_produktion_b[Brutto-UE],bestand_produktion_b[Art],"1",bestand_produktion_b[Kategorie],"C-D",bestand_produktion_b[Status],"Storniert")-SUMIFS(bestand_produktion_b[Brutto-UE],bestand_produktion_b[Art],"1",bestand_produktion_b[Kategorie],"C",bestand_produktion_b[Status],"Storniert (in Haftung)")-SUMIFS(bestand_produktion_b[Brutto-UE],bestand_produktion_b[Art],"1",bestand_produktion_b[Kategorie],"C-D",bestand_produktion_b[Status],"Storniert (in Haftung)")-SUMIFS(bestand_produktion_b[Brutto-UE],bestand_produktion_b[Art],"1",bestand_produktion_b[Kategorie],"C",bestand_produktion_b[Status],"Antragsstorno")-SUMIFS(bestand_produktion_b[Brutto-UE],bestand_produktion_b[Art],"1",bestand_produktion_b[Kategorie],"C-D",bestand_produktion_b[Status],"Antragsstorno")-SUMIFS(bestand_produktion_b[Brutto-UE],bestand_produktion_b[Art],"1",bestand_produktion_b[Kategorie],"C",bestand_produktion_b[Status],"Abgang Makler")-SUMIFS(bestand_produktion_b[Brutto-UE],bestand_produktion_b[Art],"1",bestand_produktion_b[Kategorie],"C-D",bestand_produktion_b[Status],"Abgang Makler")-SUMIFS(bestand_produktion_b[Brutto-UE],bestand_produktion_b[Art],"1",bestand_produktion_b[Kategorie],"C",bestand_produktion_b[Status],"abgelaufen")-SUMIFS(bestand_produktion_b[Brutto-UE],bestand_produktion_b[Art],"1",bestand_produktion_b[Kategorie],"C-D",bestand_produktion_b[Status],"abgelaufen")</f>
        <v>0</v>
      </c>
      <c r="M4" s="46">
        <f>SUMIFS(bestand_produktion_b[Brutto-UE],bestand_produktion_b[Art],"1",bestand_produktion_b[Kategorie],"D")+SUMIFS(bestand_produktion_b[Brutto-UE],bestand_produktion_b[Art],"1",bestand_produktion_b[Kategorie],"D-D")-SUMIFS(bestand_produktion_b[Brutto-UE],bestand_produktion_b[Art],"1",bestand_produktion_b[Kategorie],"D",bestand_produktion_b[Status],"Storniert")-SUMIFS(bestand_produktion_b[Brutto-UE],bestand_produktion_b[Art],"1",bestand_produktion_b[Kategorie],"D-D",bestand_produktion_b[Status],"Storniert")-SUMIFS(bestand_produktion_b[Brutto-UE],bestand_produktion_b[Art],"1",bestand_produktion_b[Kategorie],"D",bestand_produktion_b[Status],"Storniert (in Haftung)")-SUMIFS(bestand_produktion_b[Brutto-UE],bestand_produktion_b[Art],"1",bestand_produktion_b[Kategorie],"D-D",bestand_produktion_b[Status],"Storniert (in Haftung)")-SUMIFS(bestand_produktion_b[Brutto-UE],bestand_produktion_b[Art],"1",bestand_produktion_b[Kategorie],"D",bestand_produktion_b[Status],"Antragsstorno")-SUMIFS(bestand_produktion_b[Brutto-UE],bestand_produktion_b[Art],"1",bestand_produktion_b[Kategorie],"D-D",bestand_produktion_b[Status],"Antragsstorno")-SUMIFS(bestand_produktion_b[Brutto-UE],bestand_produktion_b[Art],"1",bestand_produktion_b[Kategorie],"D",bestand_produktion_b[Status],"Abgang Makler")-SUMIFS(bestand_produktion_b[Brutto-UE],bestand_produktion_b[Art],"1",bestand_produktion_b[Kategorie],"D-D",bestand_produktion_b[Status],"Abgang Makler")-SUMIFS(bestand_produktion_b[Brutto-UE],bestand_produktion_b[Art],"1",bestand_produktion_b[Kategorie],"D",bestand_produktion_b[Status],"abgelaufen")-SUMIFS(bestand_produktion_b[Brutto-UE],bestand_produktion_b[Art],"1",bestand_produktion_b[Kategorie],"D-D",bestand_produktion_b[Status],"abgelaufen")+SUMIFS(bestand_produktion_b[Brutto-UE],bestand_produktion_b[Art],"1",bestand_produktion_b[Kategorie],"")-SUMIFS(bestand_produktion_b[Brutto-UE],bestand_produktion_b[Art],"1",bestand_produktion_b[Kategorie],"",bestand_produktion_b[Status],"Storniert")-SUMIFS(bestand_produktion_b[Brutto-UE],bestand_produktion_b[Art],"1",bestand_produktion_b[Kategorie],"",bestand_produktion_b[Status],"Storniert (in Haftung)")-SUMIFS(bestand_produktion_b[Brutto-UE],bestand_produktion_b[Art],"1",bestand_produktion_b[Kategorie],"",bestand_produktion_b[Status],"Antragsstorno")-SUMIFS(bestand_produktion_b[Brutto-UE],bestand_produktion_b[Art],"1",bestand_produktion_b[Kategorie],"",bestand_produktion_b[Status],"Abgang Makler")-SUMIFS(bestand_produktion_b[Brutto-UE],bestand_produktion_b[Art],"1",bestand_produktion_b[Kategorie],"",bestand_produktion_b[Status],"abgelaufen")</f>
        <v>0</v>
      </c>
      <c r="N4" s="32">
        <f>SUMIFS(bestand_produktion_b[Brutto-UE],bestand_produktion_b[Art],"1",bestand_produktion_b[Kategorie],"DSGVO!")-SUMIFS(bestand_produktion_b[Brutto-UE],bestand_produktion_b[Art],"1",bestand_produktion_b[Kategorie],"DSGVO!",bestand_produktion_b[Status],"Storniert")-SUMIFS(bestand_produktion_b[Brutto-UE],bestand_produktion_b[Art],"1",bestand_produktion_b[Kategorie],"DSGVO!",bestand_produktion_b[Status],"Storniert (in Haftung)")-SUMIFS(bestand_produktion_b[Brutto-UE],bestand_produktion_b[Art],"1",bestand_produktion_b[Kategorie],"DSGVO!",bestand_produktion_b[Status],"Antragsstorno")-SUMIFS(bestand_produktion_b[Brutto-UE],bestand_produktion_b[Art],"1",bestand_produktion_b[Kategorie],"DSGVO!",bestand_produktion_b[Status],"Abgang Makler")-SUMIFS(bestand_produktion_b[Brutto-UE],bestand_produktion_b[Art],"1",bestand_produktion_b[Kategorie],"DSGVO!",bestand_produktion_b[Status],"abgelaufen")</f>
        <v>0</v>
      </c>
      <c r="O4" s="40">
        <f>SUM(I4:N4)</f>
        <v>0</v>
      </c>
    </row>
    <row r="5" spans="1:15" ht="15" x14ac:dyDescent="0.2">
      <c r="A5" s="117" t="str">
        <f>VLOOKUP(Kundenliste!$A$5,Daten!$A$7:$C$19,2)</f>
        <v>Senior Berater I</v>
      </c>
      <c r="B5" s="117"/>
      <c r="C5" s="117"/>
      <c r="G5" s="30" t="s">
        <v>37</v>
      </c>
      <c r="H5" s="44"/>
      <c r="I5" s="57">
        <f>I4*VLOOKUP(Kundenliste!$A$5,Daten!$A$10:$C$19,3)</f>
        <v>0</v>
      </c>
      <c r="J5" s="47">
        <f>J4*VLOOKUP(Kundenliste!$A$5,Daten!$A$10:$C$19,3)</f>
        <v>0</v>
      </c>
      <c r="K5" s="47">
        <f>K4*VLOOKUP(Kundenliste!$A$5,Daten!$A$10:$C$19,3)</f>
        <v>0</v>
      </c>
      <c r="L5" s="47">
        <f>L4*VLOOKUP(Kundenliste!$A$5,Daten!$A$10:$C$19,3)</f>
        <v>0</v>
      </c>
      <c r="M5" s="62">
        <f>M4*VLOOKUP(Kundenliste!$A$5,Daten!$A$10:$C$19,3)</f>
        <v>0</v>
      </c>
      <c r="N5" s="33">
        <f>N4*VLOOKUP(Kundenliste!$A$5,Daten!$A$10:$C$19,3)</f>
        <v>0</v>
      </c>
      <c r="O5" s="41">
        <f>SUM(I5:N5)</f>
        <v>0</v>
      </c>
    </row>
    <row r="6" spans="1:15" ht="15" x14ac:dyDescent="0.2">
      <c r="A6" s="117"/>
      <c r="B6" s="117"/>
      <c r="C6" s="117"/>
      <c r="D6" s="1"/>
      <c r="E6" s="3"/>
      <c r="F6" s="3"/>
      <c r="G6" s="30" t="s">
        <v>39</v>
      </c>
      <c r="H6" s="44"/>
      <c r="I6" s="58">
        <f>IF(I3&gt;0,I4/I3,0)</f>
        <v>0</v>
      </c>
      <c r="J6" s="48">
        <f t="shared" ref="J6:N6" si="0">IF(J3&gt;0,J4/J3,0)</f>
        <v>0</v>
      </c>
      <c r="K6" s="48">
        <f t="shared" si="0"/>
        <v>0</v>
      </c>
      <c r="L6" s="48">
        <f t="shared" si="0"/>
        <v>0</v>
      </c>
      <c r="M6" s="48">
        <f t="shared" si="0"/>
        <v>0</v>
      </c>
      <c r="N6" s="34">
        <f t="shared" si="0"/>
        <v>0</v>
      </c>
      <c r="O6" s="42">
        <f>IF(O3&gt;0,O4/O3,0)</f>
        <v>0</v>
      </c>
    </row>
    <row r="7" spans="1:15" ht="15.75" thickBot="1" x14ac:dyDescent="0.25">
      <c r="D7" s="1"/>
      <c r="E7" s="3"/>
      <c r="F7" s="3"/>
      <c r="G7" s="35" t="s">
        <v>38</v>
      </c>
      <c r="H7" s="45"/>
      <c r="I7" s="59">
        <f>IF(I3&gt;0,$I$4/Kundenliste!$H$3,0)</f>
        <v>0</v>
      </c>
      <c r="J7" s="49">
        <f>IF(J3&gt;0,$J$4/Kundenliste!$H$4,0)</f>
        <v>0</v>
      </c>
      <c r="K7" s="49">
        <f>IF(K3&gt;0,$K$4/Kundenliste!$H$5,0)</f>
        <v>0</v>
      </c>
      <c r="L7" s="49">
        <f>IF(L3&gt;0,$L$4/Kundenliste!$H$6,0)</f>
        <v>0</v>
      </c>
      <c r="M7" s="49">
        <f>IF(M3&gt;0,$M$4/SUM(Kundenliste!$H$7,Kundenliste!$H$9),0)</f>
        <v>0</v>
      </c>
      <c r="N7" s="36">
        <f>IF(N3&gt;0,$N$4/Kundenliste!$H$10,0)</f>
        <v>0</v>
      </c>
      <c r="O7" s="43">
        <f>IF(O3&gt;0,$O$4/Kundenliste!$H$12,0)</f>
        <v>0</v>
      </c>
    </row>
    <row r="8" spans="1:15" ht="13.5" thickBot="1" x14ac:dyDescent="0.25"/>
    <row r="9" spans="1:15" ht="17.25" thickTop="1" thickBot="1" x14ac:dyDescent="0.25">
      <c r="A9" s="80" t="s">
        <v>66</v>
      </c>
      <c r="G9" s="115" t="s">
        <v>57</v>
      </c>
      <c r="H9" s="116"/>
      <c r="I9" s="55" t="s">
        <v>7</v>
      </c>
      <c r="J9" s="51" t="s">
        <v>6</v>
      </c>
      <c r="K9" s="52" t="s">
        <v>4</v>
      </c>
      <c r="L9" s="53" t="s">
        <v>5</v>
      </c>
      <c r="M9" s="60" t="s">
        <v>18</v>
      </c>
      <c r="N9" s="54" t="s">
        <v>8</v>
      </c>
      <c r="O9" s="50" t="s">
        <v>21</v>
      </c>
    </row>
    <row r="10" spans="1:15" ht="15" x14ac:dyDescent="0.2">
      <c r="A10" s="15" t="s">
        <v>70</v>
      </c>
      <c r="G10" s="30" t="s">
        <v>20</v>
      </c>
      <c r="H10" s="44"/>
      <c r="I10" s="91">
        <f>COUNTIFS(bestand_produktion_b[Art],"2",bestand_produktion_b[Kategorie],"VIP")+COUNTIFS(bestand_produktion_b[Art],"2",bestand_produktion_b[Kategorie],"VIP-D")-COUNTIFS(bestand_produktion_b[Art],"2",bestand_produktion_b[Kategorie],"VIP",bestand_produktion_b[Status],"Storniert")-COUNTIFS(bestand_produktion_b[Art],"2",bestand_produktion_b[Kategorie],"VIP-D",bestand_produktion_b[Status],"Storniert")-COUNTIFS(bestand_produktion_b[Art],"2",bestand_produktion_b[Kategorie],"VIP",bestand_produktion_b[Status],"Storniert (in Haftung)")-COUNTIFS(bestand_produktion_b[Art],"2",bestand_produktion_b[Kategorie],"VIP-D",bestand_produktion_b[Status],"Storniert (in Haftung)")-COUNTIFS(bestand_produktion_b[Art],"2",bestand_produktion_b[Kategorie],"VIP",bestand_produktion_b[Status],"Antragsstorno")-COUNTIFS(bestand_produktion_b[Art],"2",bestand_produktion_b[Kategorie],"VIP-D",bestand_produktion_b[Status],"Antragsstorno")-COUNTIFS(bestand_produktion_b[Art],"2",bestand_produktion_b[Kategorie],"VIP",bestand_produktion_b[Status],"Abgang Makler")-COUNTIFS(bestand_produktion_b[Art],"2",bestand_produktion_b[Kategorie],"VIP-D",bestand_produktion_b[Status],"Abgang Makler")-COUNTIFS(bestand_produktion_b[Art],"2",bestand_produktion_b[Kategorie],"VIP",bestand_produktion_b[Status],"abgelaufen")-COUNTIFS(bestand_produktion_b[Art],"2",bestand_produktion_b[Kategorie],"VIP-D",bestand_produktion_b[Status],"abgelaufen")</f>
        <v>0</v>
      </c>
      <c r="J10" s="61">
        <f>COUNTIFS(bestand_produktion_b[Art],"2",bestand_produktion_b[Kategorie],"A")+COUNTIFS(bestand_produktion_b[Art],"2",bestand_produktion_b[Kategorie],"A-D")-COUNTIFS(bestand_produktion_b[Art],"2",bestand_produktion_b[Kategorie],"A",bestand_produktion_b[Status],"Storniert")-COUNTIFS(bestand_produktion_b[Art],"2",bestand_produktion_b[Kategorie],"A-D",bestand_produktion_b[Status],"Storniert")-COUNTIFS(bestand_produktion_b[Art],"2",bestand_produktion_b[Kategorie],"A",bestand_produktion_b[Status],"Storniert (in Haftung)")-COUNTIFS(bestand_produktion_b[Art],"2",bestand_produktion_b[Kategorie],"A-D",bestand_produktion_b[Status],"Storniert (in Haftung)")-COUNTIFS(bestand_produktion_b[Art],"2",bestand_produktion_b[Kategorie],"A",bestand_produktion_b[Status],"Antragsstorno")-COUNTIFS(bestand_produktion_b[Art],"2",bestand_produktion_b[Kategorie],"A-D",bestand_produktion_b[Status],"Antragsstorno")-COUNTIFS(bestand_produktion_b[Art],"2",bestand_produktion_b[Kategorie],"A",bestand_produktion_b[Status],"Abgang Makler")-COUNTIFS(bestand_produktion_b[Art],"2",bestand_produktion_b[Kategorie],"A-D",bestand_produktion_b[Status],"Abgang Makler")-COUNTIFS(bestand_produktion_b[Art],"2",bestand_produktion_b[Kategorie],"A",bestand_produktion_b[Status],"abgelaufen")-COUNTIFS(bestand_produktion_b[Art],"2",bestand_produktion_b[Kategorie],"A-D",bestand_produktion_b[Status],"abgelaufen")</f>
        <v>0</v>
      </c>
      <c r="K10" s="61">
        <f>COUNTIFS(bestand_produktion_b[Art],"2",bestand_produktion_b[Kategorie],"B")+COUNTIFS(bestand_produktion_b[Art],"2",bestand_produktion_b[Kategorie],"B-D")-COUNTIFS(bestand_produktion_b[Art],"2",bestand_produktion_b[Kategorie],"B",bestand_produktion_b[Status],"Storniert")-COUNTIFS(bestand_produktion_b[Art],"2",bestand_produktion_b[Kategorie],"B-D",bestand_produktion_b[Status],"Storniert")-COUNTIFS(bestand_produktion_b[Art],"2",bestand_produktion_b[Kategorie],"B",bestand_produktion_b[Status],"Storniert (in Haftung)")-COUNTIFS(bestand_produktion_b[Art],"2",bestand_produktion_b[Kategorie],"B-D",bestand_produktion_b[Status],"Storniert (in Haftung)")-COUNTIFS(bestand_produktion_b[Art],"2",bestand_produktion_b[Kategorie],"B",bestand_produktion_b[Status],"Antragsstorno")-COUNTIFS(bestand_produktion_b[Art],"2",bestand_produktion_b[Kategorie],"B-D",bestand_produktion_b[Status],"Antragsstorno")-COUNTIFS(bestand_produktion_b[Art],"2",bestand_produktion_b[Kategorie],"B",bestand_produktion_b[Status],"Abgang Makler")-COUNTIFS(bestand_produktion_b[Art],"2",bestand_produktion_b[Kategorie],"B-D",bestand_produktion_b[Status],"Abgang Makler")-COUNTIFS(bestand_produktion_b[Art],"2",bestand_produktion_b[Kategorie],"B",bestand_produktion_b[Status],"abgelaufen")-COUNTIFS(bestand_produktion_b[Art],"2",bestand_produktion_b[Kategorie],"B-D",bestand_produktion_b[Status],"abgelaufen")</f>
        <v>0</v>
      </c>
      <c r="L10" s="61">
        <f>COUNTIFS(bestand_produktion_b[Art],"2",bestand_produktion_b[Kategorie],"C")+COUNTIFS(bestand_produktion_b[Art],"2",bestand_produktion_b[Kategorie],"C-D")-COUNTIFS(bestand_produktion_b[Art],"2",bestand_produktion_b[Kategorie],"C",bestand_produktion_b[Status],"Storniert")-COUNTIFS(bestand_produktion_b[Art],"2",bestand_produktion_b[Kategorie],"C-D",bestand_produktion_b[Status],"Storniert")-COUNTIFS(bestand_produktion_b[Art],"2",bestand_produktion_b[Kategorie],"C",bestand_produktion_b[Status],"Storniert (in Haftung)")-COUNTIFS(bestand_produktion_b[Art],"2",bestand_produktion_b[Kategorie],"C-D",bestand_produktion_b[Status],"Storniert (in Haftung)")-COUNTIFS(bestand_produktion_b[Art],"2",bestand_produktion_b[Kategorie],"C",bestand_produktion_b[Status],"Antragsstorno")-COUNTIFS(bestand_produktion_b[Art],"2",bestand_produktion_b[Kategorie],"C-D",bestand_produktion_b[Status],"Antragsstorno")-COUNTIFS(bestand_produktion_b[Art],"2",bestand_produktion_b[Kategorie],"C",bestand_produktion_b[Status],"Abgang Makler")-COUNTIFS(bestand_produktion_b[Art],"2",bestand_produktion_b[Kategorie],"C-D",bestand_produktion_b[Status],"Abgang Makler")-COUNTIFS(bestand_produktion_b[Art],"2",bestand_produktion_b[Kategorie],"C",bestand_produktion_b[Status],"abgelaufen")-COUNTIFS(bestand_produktion_b[Art],"2",bestand_produktion_b[Kategorie],"C-D",bestand_produktion_b[Status],"abgelaufen")</f>
        <v>0</v>
      </c>
      <c r="M10" s="61">
        <f>COUNTIFS(bestand_produktion_b[Art],"2",bestand_produktion_b[Kategorie],"D")+COUNTIFS(bestand_produktion_b[Art],"2",bestand_produktion_b[Kategorie],"D-D")-COUNTIFS(bestand_produktion_b[Art],"2",bestand_produktion_b[Kategorie],"D",bestand_produktion_b[Status],"Storniert")-COUNTIFS(bestand_produktion_b[Art],"2",bestand_produktion_b[Kategorie],"D-D",bestand_produktion_b[Status],"Storniert")-COUNTIFS(bestand_produktion_b[Art],"2",bestand_produktion_b[Kategorie],"D",bestand_produktion_b[Status],"Storniert (in Haftung)")-COUNTIFS(bestand_produktion_b[Art],"2",bestand_produktion_b[Kategorie],"D-D",bestand_produktion_b[Status],"Storniert (in Haftung)")-COUNTIFS(bestand_produktion_b[Art],"2",bestand_produktion_b[Kategorie],"D",bestand_produktion_b[Status],"Antragsstorno")-COUNTIFS(bestand_produktion_b[Art],"2",bestand_produktion_b[Kategorie],"D-D",bestand_produktion_b[Status],"Antragsstorno")-COUNTIFS(bestand_produktion_b[Art],"2",bestand_produktion_b[Kategorie],"D",bestand_produktion_b[Status],"Abgang Makler")-COUNTIFS(bestand_produktion_b[Art],"2",bestand_produktion_b[Kategorie],"D-D",bestand_produktion_b[Status],"Abgang Makler")-COUNTIFS(bestand_produktion_b[Art],"2",bestand_produktion_b[Kategorie],"D",bestand_produktion_b[Status],"abgelaufen")-COUNTIFS(bestand_produktion_b[Art],"2",bestand_produktion_b[Kategorie],"D-D",bestand_produktion_b[Status],"abgelaufen")+COUNTIFS(bestand_produktion_b[Art],"2",bestand_produktion_b[Kategorie],"")-COUNTIFS(bestand_produktion_b[Art],"2",bestand_produktion_b[Kategorie],"",bestand_produktion_b[Status],"Storniert")-COUNTIFS(bestand_produktion_b[Art],"2",bestand_produktion_b[Kategorie],"",bestand_produktion_b[Status],"Storniert (in Haftung)")-COUNTIFS(bestand_produktion_b[Art],"2",bestand_produktion_b[Kategorie],"",bestand_produktion_b[Status],"Antragsstorno")-COUNTIFS(bestand_produktion_b[Art],"2",bestand_produktion_b[Kategorie],"",bestand_produktion_b[Status],"Abgang Makler")-COUNTIFS(bestand_produktion_b[Art],"2",bestand_produktion_b[Kategorie],"",bestand_produktion_b[Status],"abgelaufen")</f>
        <v>0</v>
      </c>
      <c r="N10" s="31">
        <f>COUNTIFS(bestand_produktion_b[Art],"2",bestand_produktion_b[Kategorie],"DSGVO!")-COUNTIFS(bestand_produktion_b[Art],"2",bestand_produktion_b[Kategorie],"DSGVO!",bestand_produktion_b[Status],"Storniert")-COUNTIFS(bestand_produktion_b[Art],"2",bestand_produktion_b[Kategorie],"DSGVO!",bestand_produktion_b[Status],"Storniert (in Haftung)")-COUNTIFS(bestand_produktion_b[Art],"2",bestand_produktion_b[Kategorie],"DSGVO!",bestand_produktion_b[Status],"Antragsstorno")-COUNTIFS(bestand_produktion_b[Art],"2",bestand_produktion_b[Kategorie],"DSGVO!",bestand_produktion_b[Status],"Abgang Makler")-COUNTIFS(bestand_produktion_b[Art],"2",bestand_produktion_b[Kategorie],"DSGVO!",bestand_produktion_b[Status],"abgelaufen")</f>
        <v>0</v>
      </c>
      <c r="O10" s="92">
        <f>SUM(I10:N10)</f>
        <v>0</v>
      </c>
    </row>
    <row r="11" spans="1:15" ht="15" x14ac:dyDescent="0.2">
      <c r="G11" s="30" t="s">
        <v>19</v>
      </c>
      <c r="H11" s="44"/>
      <c r="I11" s="56">
        <f>SUMIFS(bestand_produktion_b[Brutto-UE],bestand_produktion_b[Art],"2",bestand_produktion_b[Kategorie],"VIP")+SUMIFS(bestand_produktion_b[Brutto-UE],bestand_produktion_b[Art],"2",bestand_produktion_b[Kategorie],"VIP-D")-SUMIFS(bestand_produktion_b[Brutto-UE],bestand_produktion_b[Art],"2",bestand_produktion_b[Kategorie],"VIP",bestand_produktion_b[Status],"Storniert")-SUMIFS(bestand_produktion_b[Brutto-UE],bestand_produktion_b[Art],"2",bestand_produktion_b[Kategorie],"VIP-D",bestand_produktion_b[Status],"Storniert")-SUMIFS(bestand_produktion_b[Brutto-UE],bestand_produktion_b[Art],"2",bestand_produktion_b[Kategorie],"VIP",bestand_produktion_b[Status],"Storniert (in Haftung)")-SUMIFS(bestand_produktion_b[Brutto-UE],bestand_produktion_b[Art],"2",bestand_produktion_b[Kategorie],"VIP-D",bestand_produktion_b[Status],"Storniert (in Haftung)")-SUMIFS(bestand_produktion_b[Brutto-UE],bestand_produktion_b[Art],"2",bestand_produktion_b[Kategorie],"VIP",bestand_produktion_b[Status],"Antragsstorno")-SUMIFS(bestand_produktion_b[Brutto-UE],bestand_produktion_b[Art],"2",bestand_produktion_b[Kategorie],"VIP-D",bestand_produktion_b[Status],"Antragsstorno")-SUMIFS(bestand_produktion_b[Brutto-UE],bestand_produktion_b[Art],"2",bestand_produktion_b[Kategorie],"VIP",bestand_produktion_b[Status],"Abgang Makler")-SUMIFS(bestand_produktion_b[Brutto-UE],bestand_produktion_b[Art],"2",bestand_produktion_b[Kategorie],"VIP-D",bestand_produktion_b[Status],"Abgang Makler")-SUMIFS(bestand_produktion_b[Brutto-UE],bestand_produktion_b[Art],"2",bestand_produktion_b[Kategorie],"VIP",bestand_produktion_b[Status],"abgelaufen")-SUMIFS(bestand_produktion_b[Brutto-UE],bestand_produktion_b[Art],"2",bestand_produktion_b[Kategorie],"VIP-D",bestand_produktion_b[Status],"abgelaufen")</f>
        <v>0</v>
      </c>
      <c r="J11" s="46">
        <f>SUMIFS(bestand_produktion_b[Brutto-UE],bestand_produktion_b[Art],"2",bestand_produktion_b[Kategorie],"A")+SUMIFS(bestand_produktion_b[Brutto-UE],bestand_produktion_b[Art],"2",bestand_produktion_b[Kategorie],"A-D")-SUMIFS(bestand_produktion_b[Brutto-UE],bestand_produktion_b[Art],"2",bestand_produktion_b[Kategorie],"A",bestand_produktion_b[Status],"Storniert")-SUMIFS(bestand_produktion_b[Brutto-UE],bestand_produktion_b[Art],"2",bestand_produktion_b[Kategorie],"A-D",bestand_produktion_b[Status],"Storniert")-SUMIFS(bestand_produktion_b[Brutto-UE],bestand_produktion_b[Art],"2",bestand_produktion_b[Kategorie],"A",bestand_produktion_b[Status],"Storniert (in Haftung)")-SUMIFS(bestand_produktion_b[Brutto-UE],bestand_produktion_b[Art],"2",bestand_produktion_b[Kategorie],"A-D",bestand_produktion_b[Status],"Storniert (in Haftung)")-SUMIFS(bestand_produktion_b[Brutto-UE],bestand_produktion_b[Art],"2",bestand_produktion_b[Kategorie],"A",bestand_produktion_b[Status],"Antragsstorno")-SUMIFS(bestand_produktion_b[Brutto-UE],bestand_produktion_b[Art],"2",bestand_produktion_b[Kategorie],"A-D",bestand_produktion_b[Status],"Antragsstorno")-SUMIFS(bestand_produktion_b[Brutto-UE],bestand_produktion_b[Art],"2",bestand_produktion_b[Kategorie],"A",bestand_produktion_b[Status],"Abgang Makler")-SUMIFS(bestand_produktion_b[Brutto-UE],bestand_produktion_b[Art],"2",bestand_produktion_b[Kategorie],"A-D",bestand_produktion_b[Status],"Abgang Makler")-SUMIFS(bestand_produktion_b[Brutto-UE],bestand_produktion_b[Art],"2",bestand_produktion_b[Kategorie],"A",bestand_produktion_b[Status],"abgelaufen")-SUMIFS(bestand_produktion_b[Brutto-UE],bestand_produktion_b[Art],"2",bestand_produktion_b[Kategorie],"A-D",bestand_produktion_b[Status],"abgelaufen")</f>
        <v>0</v>
      </c>
      <c r="K11" s="46">
        <f>SUMIFS(bestand_produktion_b[Brutto-UE],bestand_produktion_b[Art],"2",bestand_produktion_b[Kategorie],"B")+SUMIFS(bestand_produktion_b[Brutto-UE],bestand_produktion_b[Art],"2",bestand_produktion_b[Kategorie],"B-D")-SUMIFS(bestand_produktion_b[Brutto-UE],bestand_produktion_b[Art],"2",bestand_produktion_b[Kategorie],"B",bestand_produktion_b[Status],"Storniert")-SUMIFS(bestand_produktion_b[Brutto-UE],bestand_produktion_b[Art],"2",bestand_produktion_b[Kategorie],"B-D",bestand_produktion_b[Status],"Storniert")-SUMIFS(bestand_produktion_b[Brutto-UE],bestand_produktion_b[Art],"2",bestand_produktion_b[Kategorie],"B",bestand_produktion_b[Status],"Storniert (in Haftung)")-SUMIFS(bestand_produktion_b[Brutto-UE],bestand_produktion_b[Art],"2",bestand_produktion_b[Kategorie],"B-D",bestand_produktion_b[Status],"Storniert (in Haftung)")-SUMIFS(bestand_produktion_b[Brutto-UE],bestand_produktion_b[Art],"2",bestand_produktion_b[Kategorie],"B",bestand_produktion_b[Status],"Antragsstorno")-SUMIFS(bestand_produktion_b[Brutto-UE],bestand_produktion_b[Art],"2",bestand_produktion_b[Kategorie],"B-D",bestand_produktion_b[Status],"Antragsstorno")-SUMIFS(bestand_produktion_b[Brutto-UE],bestand_produktion_b[Art],"2",bestand_produktion_b[Kategorie],"B",bestand_produktion_b[Status],"Abgang Makler")-SUMIFS(bestand_produktion_b[Brutto-UE],bestand_produktion_b[Art],"2",bestand_produktion_b[Kategorie],"B-D",bestand_produktion_b[Status],"Abgang Makler")-SUMIFS(bestand_produktion_b[Brutto-UE],bestand_produktion_b[Art],"2",bestand_produktion_b[Kategorie],"B",bestand_produktion_b[Status],"abgelaufen")-SUMIFS(bestand_produktion_b[Brutto-UE],bestand_produktion_b[Art],"2",bestand_produktion_b[Kategorie],"B-D",bestand_produktion_b[Status],"abgelaufen")</f>
        <v>0</v>
      </c>
      <c r="L11" s="46">
        <f>SUMIFS(bestand_produktion_b[Brutto-UE],bestand_produktion_b[Art],"2",bestand_produktion_b[Kategorie],"C")+SUMIFS(bestand_produktion_b[Brutto-UE],bestand_produktion_b[Art],"2",bestand_produktion_b[Kategorie],"C-D")-SUMIFS(bestand_produktion_b[Brutto-UE],bestand_produktion_b[Art],"2",bestand_produktion_b[Kategorie],"C",bestand_produktion_b[Status],"Storniert")-SUMIFS(bestand_produktion_b[Brutto-UE],bestand_produktion_b[Art],"2",bestand_produktion_b[Kategorie],"C-D",bestand_produktion_b[Status],"Storniert")-SUMIFS(bestand_produktion_b[Brutto-UE],bestand_produktion_b[Art],"2",bestand_produktion_b[Kategorie],"C",bestand_produktion_b[Status],"Storniert (in Haftung)")-SUMIFS(bestand_produktion_b[Brutto-UE],bestand_produktion_b[Art],"2",bestand_produktion_b[Kategorie],"C-D",bestand_produktion_b[Status],"Storniert (in Haftung)")-SUMIFS(bestand_produktion_b[Brutto-UE],bestand_produktion_b[Art],"2",bestand_produktion_b[Kategorie],"C",bestand_produktion_b[Status],"Antragsstorno")-SUMIFS(bestand_produktion_b[Brutto-UE],bestand_produktion_b[Art],"2",bestand_produktion_b[Kategorie],"C-D",bestand_produktion_b[Status],"Antragsstorno")-SUMIFS(bestand_produktion_b[Brutto-UE],bestand_produktion_b[Art],"2",bestand_produktion_b[Kategorie],"C",bestand_produktion_b[Status],"Abgang Makler")-SUMIFS(bestand_produktion_b[Brutto-UE],bestand_produktion_b[Art],"2",bestand_produktion_b[Kategorie],"C-D",bestand_produktion_b[Status],"Abgang Makler")-SUMIFS(bestand_produktion_b[Brutto-UE],bestand_produktion_b[Art],"2",bestand_produktion_b[Kategorie],"C",bestand_produktion_b[Status],"abgelaufen")-SUMIFS(bestand_produktion_b[Brutto-UE],bestand_produktion_b[Art],"2",bestand_produktion_b[Kategorie],"C-D",bestand_produktion_b[Status],"abgelaufen")</f>
        <v>0</v>
      </c>
      <c r="M11" s="46">
        <f>SUMIFS(bestand_produktion_b[Brutto-UE],bestand_produktion_b[Art],"2",bestand_produktion_b[Kategorie],"D")+SUMIFS(bestand_produktion_b[Brutto-UE],bestand_produktion_b[Art],"2",bestand_produktion_b[Kategorie],"D-D")-SUMIFS(bestand_produktion_b[Brutto-UE],bestand_produktion_b[Art],"2",bestand_produktion_b[Kategorie],"D",bestand_produktion_b[Status],"Storniert")-SUMIFS(bestand_produktion_b[Brutto-UE],bestand_produktion_b[Art],"2",bestand_produktion_b[Kategorie],"D-D",bestand_produktion_b[Status],"Storniert")-SUMIFS(bestand_produktion_b[Brutto-UE],bestand_produktion_b[Art],"2",bestand_produktion_b[Kategorie],"D",bestand_produktion_b[Status],"Storniert (in Haftung)")-SUMIFS(bestand_produktion_b[Brutto-UE],bestand_produktion_b[Art],"2",bestand_produktion_b[Kategorie],"D-D",bestand_produktion_b[Status],"Storniert (in Haftung)")-SUMIFS(bestand_produktion_b[Brutto-UE],bestand_produktion_b[Art],"2",bestand_produktion_b[Kategorie],"D",bestand_produktion_b[Status],"Antragsstorno")-SUMIFS(bestand_produktion_b[Brutto-UE],bestand_produktion_b[Art],"2",bestand_produktion_b[Kategorie],"D-D",bestand_produktion_b[Status],"Antragsstorno")-SUMIFS(bestand_produktion_b[Brutto-UE],bestand_produktion_b[Art],"2",bestand_produktion_b[Kategorie],"D",bestand_produktion_b[Status],"Abgang Makler")-SUMIFS(bestand_produktion_b[Brutto-UE],bestand_produktion_b[Art],"2",bestand_produktion_b[Kategorie],"D-D",bestand_produktion_b[Status],"Abgang Makler")-SUMIFS(bestand_produktion_b[Brutto-UE],bestand_produktion_b[Art],"2",bestand_produktion_b[Kategorie],"D",bestand_produktion_b[Status],"abgelaufen")-SUMIFS(bestand_produktion_b[Brutto-UE],bestand_produktion_b[Art],"2",bestand_produktion_b[Kategorie],"D-D",bestand_produktion_b[Status],"abgelaufen")+SUMIFS(bestand_produktion_b[Brutto-UE],bestand_produktion_b[Art],"2",bestand_produktion_b[Kategorie],"")-SUMIFS(bestand_produktion_b[Brutto-UE],bestand_produktion_b[Art],"2",bestand_produktion_b[Kategorie],"",bestand_produktion_b[Status],"Storniert")-SUMIFS(bestand_produktion_b[Brutto-UE],bestand_produktion_b[Art],"2",bestand_produktion_b[Kategorie],"",bestand_produktion_b[Status],"Storniert (in Haftung)")-SUMIFS(bestand_produktion_b[Brutto-UE],bestand_produktion_b[Art],"2",bestand_produktion_b[Kategorie],"",bestand_produktion_b[Status],"Antragsstorno")-SUMIFS(bestand_produktion_b[Brutto-UE],bestand_produktion_b[Art],"2",bestand_produktion_b[Kategorie],"",bestand_produktion_b[Status],"Abgang Makler")-SUMIFS(bestand_produktion_b[Brutto-UE],bestand_produktion_b[Art],"2",bestand_produktion_b[Kategorie],"",bestand_produktion_b[Status],"abgelaufen")</f>
        <v>0</v>
      </c>
      <c r="N11" s="32">
        <f>SUMIFS(bestand_produktion_b[Brutto-UE],bestand_produktion_b[Art],"2",bestand_produktion_b[Kategorie],"DSGVO!")-SUMIFS(bestand_produktion_b[Brutto-UE],bestand_produktion_b[Art],"2",bestand_produktion_b[Kategorie],"DSGVO!",bestand_produktion_b[Status],"Storniert")-SUMIFS(bestand_produktion_b[Brutto-UE],bestand_produktion_b[Art],"2",bestand_produktion_b[Kategorie],"DSGVO!",bestand_produktion_b[Status],"Storniert (in Haftung)")-SUMIFS(bestand_produktion_b[Brutto-UE],bestand_produktion_b[Art],"2",bestand_produktion_b[Kategorie],"DSGVO!",bestand_produktion_b[Status],"Antragsstorno")-SUMIFS(bestand_produktion_b[Brutto-UE],bestand_produktion_b[Art],"2",bestand_produktion_b[Kategorie],"DSGVO!",bestand_produktion_b[Status],"Abgang Makler")-SUMIFS(bestand_produktion_b[Brutto-UE],bestand_produktion_b[Art],"2",bestand_produktion_b[Kategorie],"DSGVO!",bestand_produktion_b[Status],"abgelaufen")</f>
        <v>0</v>
      </c>
      <c r="O11" s="40">
        <f>SUM(I11:N11)</f>
        <v>0</v>
      </c>
    </row>
    <row r="12" spans="1:15" ht="15" x14ac:dyDescent="0.2">
      <c r="G12" s="30" t="s">
        <v>37</v>
      </c>
      <c r="H12" s="44"/>
      <c r="I12" s="57">
        <f>I11*VLOOKUP(Kundenliste!$A$5,Daten!$A$10:$C$19,3)</f>
        <v>0</v>
      </c>
      <c r="J12" s="47">
        <f>J11*VLOOKUP(Kundenliste!$A$5,Daten!$A$10:$C$19,3)</f>
        <v>0</v>
      </c>
      <c r="K12" s="47">
        <f>K11*VLOOKUP(Kundenliste!$A$5,Daten!$A$10:$C$19,3)</f>
        <v>0</v>
      </c>
      <c r="L12" s="47">
        <f>L11*VLOOKUP(Kundenliste!$A$5,Daten!$A$10:$C$19,3)</f>
        <v>0</v>
      </c>
      <c r="M12" s="62">
        <f>M11*VLOOKUP(Kundenliste!$A$5,Daten!$A$10:$C$19,3)</f>
        <v>0</v>
      </c>
      <c r="N12" s="33">
        <f>N11*VLOOKUP(Kundenliste!$A$5,Daten!$A$10:$C$19,3)</f>
        <v>0</v>
      </c>
      <c r="O12" s="93">
        <f>SUM(I12:N12)</f>
        <v>0</v>
      </c>
    </row>
    <row r="13" spans="1:15" ht="15" x14ac:dyDescent="0.2">
      <c r="G13" s="30" t="s">
        <v>39</v>
      </c>
      <c r="H13" s="44"/>
      <c r="I13" s="58">
        <f>IF(I10&gt;0,I11/I10,0)</f>
        <v>0</v>
      </c>
      <c r="J13" s="48">
        <f t="shared" ref="J13:O13" si="1">IF(J10&gt;0,J11/J10,0)</f>
        <v>0</v>
      </c>
      <c r="K13" s="48">
        <f t="shared" si="1"/>
        <v>0</v>
      </c>
      <c r="L13" s="48">
        <f t="shared" si="1"/>
        <v>0</v>
      </c>
      <c r="M13" s="48">
        <f t="shared" si="1"/>
        <v>0</v>
      </c>
      <c r="N13" s="34">
        <f t="shared" si="1"/>
        <v>0</v>
      </c>
      <c r="O13" s="42">
        <f t="shared" si="1"/>
        <v>0</v>
      </c>
    </row>
    <row r="14" spans="1:15" ht="15.75" thickBot="1" x14ac:dyDescent="0.25">
      <c r="G14" s="35" t="s">
        <v>38</v>
      </c>
      <c r="H14" s="45"/>
      <c r="I14" s="59">
        <f>IF(I10&gt;0,$I$11/Kundenliste!$J$3,0)</f>
        <v>0</v>
      </c>
      <c r="J14" s="49">
        <f>IF(J10&gt;0,$J$11/Kundenliste!$J$4,0)</f>
        <v>0</v>
      </c>
      <c r="K14" s="49">
        <f>IF(K10&gt;0,$K$11/Kundenliste!$J$5,0)</f>
        <v>0</v>
      </c>
      <c r="L14" s="49">
        <f>IF(L10&gt;0,$L$11/Kundenliste!$J$6,0)</f>
        <v>0</v>
      </c>
      <c r="M14" s="49">
        <f>IF(M10&gt;0,$M$11/SUM(Kundenliste!$J$7,Kundenliste!$J$9),0)</f>
        <v>0</v>
      </c>
      <c r="N14" s="36">
        <f>IF(N10&gt;0,$N$11/Kundenliste!$J$10,0)</f>
        <v>0</v>
      </c>
      <c r="O14" s="43">
        <f>IF(O10&gt;0,$O$11/Kundenliste!$J$12,0)</f>
        <v>0</v>
      </c>
    </row>
    <row r="16" spans="1:15" s="4" customFormat="1" ht="25.5" x14ac:dyDescent="0.2">
      <c r="A16" s="4" t="s">
        <v>9</v>
      </c>
      <c r="B16" s="4" t="s">
        <v>0</v>
      </c>
      <c r="C16" s="4" t="s">
        <v>1</v>
      </c>
      <c r="D16" s="4" t="s">
        <v>10</v>
      </c>
      <c r="E16" s="4" t="s">
        <v>11</v>
      </c>
      <c r="F16" s="4" t="s">
        <v>77</v>
      </c>
      <c r="G16" s="4" t="s">
        <v>2</v>
      </c>
      <c r="H16" s="5" t="s">
        <v>14</v>
      </c>
      <c r="I16" s="5" t="s">
        <v>15</v>
      </c>
      <c r="J16" s="5" t="s">
        <v>16</v>
      </c>
      <c r="K16" s="4" t="s">
        <v>12</v>
      </c>
      <c r="L16" s="5" t="s">
        <v>33</v>
      </c>
      <c r="M16" s="8" t="s">
        <v>34</v>
      </c>
      <c r="N16" s="9" t="s">
        <v>22</v>
      </c>
      <c r="O16" s="4" t="s">
        <v>3</v>
      </c>
    </row>
    <row r="17" spans="1:15" x14ac:dyDescent="0.2">
      <c r="A17" s="19"/>
      <c r="B17" s="17"/>
      <c r="C17" s="17"/>
      <c r="D17" s="17"/>
      <c r="E17" s="17"/>
      <c r="F17" s="17"/>
      <c r="G17" s="17"/>
      <c r="H17" s="20"/>
      <c r="I17" s="20"/>
      <c r="J17" s="20"/>
      <c r="K17" s="17"/>
      <c r="L17" s="21"/>
      <c r="M17" s="21"/>
      <c r="N17" s="17"/>
      <c r="O17" s="17"/>
    </row>
    <row r="18" spans="1:15" x14ac:dyDescent="0.2">
      <c r="A18" s="19"/>
      <c r="B18" s="17"/>
      <c r="C18" s="17"/>
      <c r="D18" s="17"/>
      <c r="E18" s="17"/>
      <c r="F18" s="17"/>
      <c r="G18" s="17"/>
      <c r="H18" s="20"/>
      <c r="I18" s="20"/>
      <c r="J18" s="20"/>
      <c r="K18" s="17"/>
      <c r="L18" s="21"/>
      <c r="M18" s="21"/>
      <c r="N18" s="17"/>
      <c r="O18" s="17"/>
    </row>
    <row r="19" spans="1:15" x14ac:dyDescent="0.2">
      <c r="A19" s="19"/>
      <c r="B19" s="17"/>
      <c r="C19" s="17"/>
      <c r="D19" s="17"/>
      <c r="E19" s="17"/>
      <c r="F19" s="17"/>
      <c r="G19" s="17"/>
      <c r="H19" s="20"/>
      <c r="I19" s="20"/>
      <c r="J19" s="20"/>
      <c r="K19" s="17"/>
      <c r="L19" s="21"/>
      <c r="M19" s="21"/>
      <c r="N19" s="17"/>
      <c r="O19" s="17"/>
    </row>
    <row r="20" spans="1:15" x14ac:dyDescent="0.2">
      <c r="A20" s="19"/>
      <c r="B20" s="17"/>
      <c r="C20" s="17"/>
      <c r="D20" s="17"/>
      <c r="E20" s="17"/>
      <c r="F20" s="17"/>
      <c r="G20" s="17"/>
      <c r="H20" s="20"/>
      <c r="I20" s="20"/>
      <c r="J20" s="20"/>
      <c r="K20" s="17"/>
      <c r="L20" s="21"/>
      <c r="M20" s="21"/>
      <c r="N20" s="17"/>
      <c r="O20" s="17"/>
    </row>
    <row r="21" spans="1:15" x14ac:dyDescent="0.2">
      <c r="A21" s="19"/>
      <c r="B21" s="17"/>
      <c r="C21" s="17"/>
      <c r="D21" s="17"/>
      <c r="E21" s="17"/>
      <c r="F21" s="17"/>
      <c r="G21" s="17"/>
      <c r="H21" s="20"/>
      <c r="I21" s="20"/>
      <c r="J21" s="20"/>
      <c r="K21" s="17"/>
      <c r="L21" s="21"/>
      <c r="M21" s="21"/>
      <c r="N21" s="17"/>
      <c r="O21" s="17"/>
    </row>
    <row r="22" spans="1:15" x14ac:dyDescent="0.2">
      <c r="A22" s="19"/>
      <c r="B22" s="17"/>
      <c r="C22" s="17"/>
      <c r="D22" s="17"/>
      <c r="E22" s="17"/>
      <c r="F22" s="17"/>
      <c r="G22" s="17"/>
      <c r="H22" s="20"/>
      <c r="I22" s="20"/>
      <c r="J22" s="17"/>
      <c r="K22" s="17"/>
      <c r="L22" s="21"/>
      <c r="M22" s="21"/>
      <c r="N22" s="17"/>
      <c r="O22" s="17"/>
    </row>
    <row r="23" spans="1:15" x14ac:dyDescent="0.2">
      <c r="A23" s="19"/>
      <c r="B23" s="17"/>
      <c r="C23" s="17"/>
      <c r="D23" s="17"/>
      <c r="E23" s="17"/>
      <c r="F23" s="17"/>
      <c r="G23" s="17"/>
      <c r="H23" s="20"/>
      <c r="I23" s="20"/>
      <c r="J23" s="17"/>
      <c r="K23" s="17"/>
      <c r="L23" s="21"/>
      <c r="M23" s="21"/>
      <c r="N23" s="17"/>
      <c r="O23" s="17"/>
    </row>
    <row r="24" spans="1:15" x14ac:dyDescent="0.2">
      <c r="A24" s="19"/>
      <c r="B24" s="17"/>
      <c r="C24" s="17"/>
      <c r="D24" s="17"/>
      <c r="E24" s="17"/>
      <c r="F24" s="17"/>
      <c r="G24" s="17"/>
      <c r="H24" s="20"/>
      <c r="I24" s="20"/>
      <c r="J24" s="20"/>
      <c r="K24" s="17"/>
      <c r="L24" s="21"/>
      <c r="M24" s="21"/>
      <c r="N24" s="17"/>
      <c r="O24" s="17"/>
    </row>
    <row r="25" spans="1:15" x14ac:dyDescent="0.2">
      <c r="A25" s="19"/>
      <c r="B25" s="17"/>
      <c r="C25" s="17"/>
      <c r="D25" s="17"/>
      <c r="E25" s="17"/>
      <c r="F25" s="17"/>
      <c r="G25" s="17"/>
      <c r="H25" s="20"/>
      <c r="I25" s="20"/>
      <c r="J25" s="17"/>
      <c r="K25" s="17"/>
      <c r="L25" s="21"/>
      <c r="M25" s="21"/>
      <c r="N25" s="17"/>
      <c r="O25" s="17"/>
    </row>
    <row r="26" spans="1:15" x14ac:dyDescent="0.2">
      <c r="A26" s="19"/>
      <c r="B26" s="17"/>
      <c r="C26" s="17"/>
      <c r="D26" s="17"/>
      <c r="E26" s="17"/>
      <c r="F26" s="17"/>
      <c r="G26" s="17"/>
      <c r="H26" s="20"/>
      <c r="I26" s="20"/>
      <c r="J26" s="20"/>
      <c r="K26" s="17"/>
      <c r="L26" s="21"/>
      <c r="M26" s="21"/>
      <c r="N26" s="17"/>
      <c r="O26" s="17"/>
    </row>
    <row r="27" spans="1:15" x14ac:dyDescent="0.2">
      <c r="A27" s="19"/>
      <c r="B27" s="17"/>
      <c r="C27" s="17"/>
      <c r="D27" s="17"/>
      <c r="E27" s="17"/>
      <c r="F27" s="17"/>
      <c r="G27" s="17"/>
      <c r="H27" s="20"/>
      <c r="I27" s="20"/>
      <c r="J27" s="20"/>
      <c r="K27" s="17"/>
      <c r="L27" s="21"/>
      <c r="M27" s="21"/>
      <c r="N27" s="17"/>
      <c r="O27" s="17"/>
    </row>
    <row r="28" spans="1:15" x14ac:dyDescent="0.2">
      <c r="A28" s="19"/>
      <c r="B28" s="17"/>
      <c r="C28" s="17"/>
      <c r="D28" s="17"/>
      <c r="E28" s="17"/>
      <c r="F28" s="17"/>
      <c r="G28" s="17"/>
      <c r="H28" s="20"/>
      <c r="I28" s="20"/>
      <c r="J28" s="20"/>
      <c r="K28" s="17"/>
      <c r="L28" s="21"/>
      <c r="M28" s="21"/>
      <c r="N28" s="17"/>
      <c r="O28" s="17"/>
    </row>
    <row r="29" spans="1:15" x14ac:dyDescent="0.2">
      <c r="A29" s="19"/>
      <c r="B29" s="17"/>
      <c r="C29" s="17"/>
      <c r="D29" s="17"/>
      <c r="E29" s="17"/>
      <c r="F29" s="17"/>
      <c r="G29" s="17"/>
      <c r="H29" s="20"/>
      <c r="I29" s="20"/>
      <c r="J29" s="20"/>
      <c r="K29" s="17"/>
      <c r="L29" s="21"/>
      <c r="M29" s="21"/>
      <c r="N29" s="17"/>
      <c r="O29" s="17"/>
    </row>
    <row r="30" spans="1:15" x14ac:dyDescent="0.2">
      <c r="A30" s="19"/>
      <c r="B30" s="17"/>
      <c r="C30" s="17"/>
      <c r="D30" s="17"/>
      <c r="E30" s="17"/>
      <c r="F30" s="17"/>
      <c r="G30" s="17"/>
      <c r="H30" s="20"/>
      <c r="I30" s="20"/>
      <c r="J30" s="20"/>
      <c r="K30" s="17"/>
      <c r="L30" s="21"/>
      <c r="M30" s="21"/>
      <c r="N30" s="17"/>
      <c r="O30" s="17"/>
    </row>
    <row r="31" spans="1:15" x14ac:dyDescent="0.2">
      <c r="A31" s="19"/>
      <c r="B31" s="17"/>
      <c r="C31" s="17"/>
      <c r="D31" s="17"/>
      <c r="E31" s="17"/>
      <c r="F31" s="17"/>
      <c r="G31" s="17"/>
      <c r="H31" s="20"/>
      <c r="I31" s="20"/>
      <c r="J31" s="20"/>
      <c r="K31" s="17"/>
      <c r="L31" s="21"/>
      <c r="M31" s="21"/>
      <c r="N31" s="17"/>
      <c r="O31" s="17"/>
    </row>
    <row r="32" spans="1:15" x14ac:dyDescent="0.2">
      <c r="A32" s="19"/>
      <c r="B32" s="17"/>
      <c r="C32" s="17"/>
      <c r="D32" s="17"/>
      <c r="E32" s="17"/>
      <c r="F32" s="17"/>
      <c r="G32" s="17"/>
      <c r="H32" s="20"/>
      <c r="I32" s="20"/>
      <c r="J32" s="20"/>
      <c r="K32" s="17"/>
      <c r="L32" s="21"/>
      <c r="M32" s="21"/>
      <c r="N32" s="17"/>
      <c r="O32" s="17"/>
    </row>
    <row r="33" spans="1:15" x14ac:dyDescent="0.2">
      <c r="A33" s="19"/>
      <c r="B33" s="17"/>
      <c r="C33" s="17"/>
      <c r="D33" s="17"/>
      <c r="E33" s="17"/>
      <c r="F33" s="17"/>
      <c r="G33" s="17"/>
      <c r="H33" s="20"/>
      <c r="I33" s="20"/>
      <c r="J33" s="20"/>
      <c r="K33" s="17"/>
      <c r="L33" s="21"/>
      <c r="M33" s="21"/>
      <c r="N33" s="17"/>
      <c r="O33" s="17"/>
    </row>
    <row r="34" spans="1:15" x14ac:dyDescent="0.2">
      <c r="A34" s="19"/>
      <c r="B34" s="17"/>
      <c r="C34" s="17"/>
      <c r="D34" s="17"/>
      <c r="E34" s="17"/>
      <c r="F34" s="17"/>
      <c r="G34" s="17"/>
      <c r="H34" s="20"/>
      <c r="I34" s="20"/>
      <c r="J34" s="20"/>
      <c r="K34" s="17"/>
      <c r="L34" s="21"/>
      <c r="M34" s="21"/>
      <c r="N34" s="17"/>
      <c r="O34" s="17"/>
    </row>
    <row r="35" spans="1:15" x14ac:dyDescent="0.2">
      <c r="A35" s="19"/>
      <c r="B35" s="17"/>
      <c r="C35" s="17"/>
      <c r="D35" s="17"/>
      <c r="E35" s="17"/>
      <c r="F35" s="17"/>
      <c r="G35" s="17"/>
      <c r="H35" s="20"/>
      <c r="I35" s="20"/>
      <c r="J35" s="20"/>
      <c r="K35" s="17"/>
      <c r="L35" s="21"/>
      <c r="M35" s="21"/>
      <c r="N35" s="17"/>
      <c r="O35" s="17"/>
    </row>
    <row r="36" spans="1:15" x14ac:dyDescent="0.2">
      <c r="A36" s="19"/>
      <c r="B36" s="17"/>
      <c r="C36" s="17"/>
      <c r="D36" s="17"/>
      <c r="E36" s="17"/>
      <c r="F36" s="17"/>
      <c r="G36" s="17"/>
      <c r="H36" s="20"/>
      <c r="I36" s="20"/>
      <c r="J36" s="20"/>
      <c r="K36" s="17"/>
      <c r="L36" s="21"/>
      <c r="M36" s="21"/>
      <c r="N36" s="17"/>
      <c r="O36" s="17"/>
    </row>
    <row r="37" spans="1:15" x14ac:dyDescent="0.2">
      <c r="A37" s="19"/>
      <c r="B37" s="17"/>
      <c r="C37" s="17"/>
      <c r="D37" s="17"/>
      <c r="E37" s="17"/>
      <c r="F37" s="17"/>
      <c r="G37" s="17"/>
      <c r="H37" s="20"/>
      <c r="I37" s="20"/>
      <c r="J37" s="20"/>
      <c r="K37" s="17"/>
      <c r="L37" s="21"/>
      <c r="M37" s="21"/>
      <c r="N37" s="17"/>
      <c r="O37" s="17"/>
    </row>
    <row r="38" spans="1:15" x14ac:dyDescent="0.2">
      <c r="A38" s="19"/>
      <c r="B38" s="17"/>
      <c r="C38" s="17"/>
      <c r="D38" s="17"/>
      <c r="E38" s="17"/>
      <c r="F38" s="17"/>
      <c r="G38" s="17"/>
      <c r="H38" s="20"/>
      <c r="I38" s="20"/>
      <c r="J38" s="20"/>
      <c r="K38" s="17"/>
      <c r="L38" s="21"/>
      <c r="M38" s="21"/>
      <c r="N38" s="17"/>
      <c r="O38" s="17"/>
    </row>
    <row r="39" spans="1:15" x14ac:dyDescent="0.2">
      <c r="A39" s="19"/>
      <c r="B39" s="17"/>
      <c r="C39" s="17"/>
      <c r="D39" s="17"/>
      <c r="E39" s="17"/>
      <c r="F39" s="17"/>
      <c r="G39" s="17"/>
      <c r="H39" s="20"/>
      <c r="I39" s="20"/>
      <c r="J39" s="17"/>
      <c r="K39" s="17"/>
      <c r="L39" s="21"/>
      <c r="M39" s="21"/>
      <c r="N39" s="17"/>
      <c r="O39" s="17"/>
    </row>
  </sheetData>
  <mergeCells count="5">
    <mergeCell ref="A1:D2"/>
    <mergeCell ref="G2:H2"/>
    <mergeCell ref="G9:H9"/>
    <mergeCell ref="A3:D4"/>
    <mergeCell ref="A5:C6"/>
  </mergeCells>
  <conditionalFormatting sqref="O17:O39">
    <cfRule type="cellIs" dxfId="19" priority="1" stopIfTrue="1" operator="equal">
      <formula>"D-D"</formula>
    </cfRule>
    <cfRule type="cellIs" dxfId="18" priority="2" stopIfTrue="1" operator="equal">
      <formula>"C-D"</formula>
    </cfRule>
    <cfRule type="cellIs" dxfId="17" priority="3" stopIfTrue="1" operator="equal">
      <formula>"B-D"</formula>
    </cfRule>
    <cfRule type="cellIs" dxfId="16" priority="4" stopIfTrue="1" operator="equal">
      <formula>"A-D"</formula>
    </cfRule>
    <cfRule type="cellIs" dxfId="15" priority="5" stopIfTrue="1" operator="equal">
      <formula>"VIP-D"</formula>
    </cfRule>
    <cfRule type="cellIs" dxfId="14" priority="6" stopIfTrue="1" operator="equal">
      <formula>"VIP"</formula>
    </cfRule>
    <cfRule type="cellIs" dxfId="13" priority="7" stopIfTrue="1" operator="equal">
      <formula>"A"</formula>
    </cfRule>
    <cfRule type="cellIs" dxfId="12" priority="8" stopIfTrue="1" operator="equal">
      <formula>"B"</formula>
    </cfRule>
    <cfRule type="cellIs" dxfId="11" priority="9" stopIfTrue="1" operator="equal">
      <formula>"C"</formula>
    </cfRule>
    <cfRule type="cellIs" dxfId="10" priority="10" stopIfTrue="1" operator="equal">
      <formula>"D"</formula>
    </cfRule>
  </conditionalFormatting>
  <pageMargins left="0.78740157480314965" right="0.78740157480314965" top="0.98425196850393704" bottom="0.98425196850393704" header="0.51181102362204722" footer="0.51181102362204722"/>
  <pageSetup paperSize="9" scale="39" fitToHeight="100" orientation="landscape" verticalDpi="0" r:id="rId1"/>
  <headerFooter alignWithMargins="0">
    <oddHeader>&amp;C&amp;"Arial,Fett"&amp;12Bestandsstatistik mit Verträgen nur SHUK</oddHeader>
  </headerFooter>
  <ignoredErrors>
    <ignoredError sqref="I7" evalError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4F266-66B5-4DB3-A2C2-55210967A30B}">
  <sheetPr>
    <pageSetUpPr fitToPage="1"/>
  </sheetPr>
  <dimension ref="A1:T57"/>
  <sheetViews>
    <sheetView zoomScale="80" zoomScaleNormal="80" workbookViewId="0">
      <pane ySplit="16" topLeftCell="A17" activePane="bottomLeft" state="frozen"/>
      <selection pane="bottomLeft" activeCell="B10" sqref="B10"/>
    </sheetView>
  </sheetViews>
  <sheetFormatPr baseColWidth="10" defaultColWidth="11.42578125" defaultRowHeight="12.75" x14ac:dyDescent="0.2"/>
  <cols>
    <col min="1" max="1" width="7.7109375" style="2" bestFit="1" customWidth="1"/>
    <col min="2" max="2" width="23.5703125" style="2" customWidth="1"/>
    <col min="3" max="3" width="24.85546875" style="2" customWidth="1"/>
    <col min="4" max="4" width="49.85546875" style="2" bestFit="1" customWidth="1"/>
    <col min="5" max="5" width="31.7109375" style="2" bestFit="1" customWidth="1"/>
    <col min="6" max="6" width="31.7109375" style="2" customWidth="1"/>
    <col min="7" max="7" width="22" style="2" bestFit="1" customWidth="1"/>
    <col min="8" max="8" width="14" style="2" bestFit="1" customWidth="1"/>
    <col min="9" max="9" width="15.5703125" style="2" bestFit="1" customWidth="1"/>
    <col min="10" max="13" width="15.7109375" style="2" customWidth="1"/>
    <col min="14" max="14" width="17.42578125" style="2" bestFit="1" customWidth="1"/>
    <col min="15" max="15" width="14.140625" style="2" bestFit="1" customWidth="1"/>
    <col min="16" max="16" width="28.85546875" style="2" customWidth="1"/>
    <col min="17" max="17" width="19.5703125" style="2" customWidth="1"/>
    <col min="18" max="19" width="15.7109375" style="2" customWidth="1"/>
    <col min="20" max="20" width="45.7109375" style="2" customWidth="1"/>
    <col min="21" max="16384" width="11.42578125" style="2"/>
  </cols>
  <sheetData>
    <row r="1" spans="1:20" ht="12.75" customHeight="1" x14ac:dyDescent="0.2">
      <c r="A1" s="118" t="s">
        <v>81</v>
      </c>
      <c r="B1" s="118"/>
      <c r="C1" s="118"/>
      <c r="D1" s="119" t="s">
        <v>82</v>
      </c>
      <c r="E1" s="28" t="s">
        <v>17</v>
      </c>
      <c r="F1" s="28"/>
    </row>
    <row r="2" spans="1:20" ht="12.75" customHeight="1" x14ac:dyDescent="0.2">
      <c r="A2" s="118"/>
      <c r="B2" s="118"/>
      <c r="C2" s="118"/>
      <c r="D2" s="119"/>
      <c r="E2" s="29">
        <f>Kundenliste!$E$2</f>
        <v>0</v>
      </c>
      <c r="F2" s="29"/>
    </row>
    <row r="3" spans="1:20" ht="15" customHeight="1" x14ac:dyDescent="0.2">
      <c r="A3" s="114">
        <f>Kundenliste!$A$3</f>
        <v>0</v>
      </c>
      <c r="B3" s="114"/>
      <c r="C3" s="114"/>
      <c r="D3" s="114"/>
    </row>
    <row r="4" spans="1:20" ht="15" customHeight="1" x14ac:dyDescent="0.2">
      <c r="A4" s="114"/>
      <c r="B4" s="114"/>
      <c r="C4" s="114"/>
      <c r="D4" s="114"/>
    </row>
    <row r="5" spans="1:20" x14ac:dyDescent="0.2">
      <c r="A5" s="117" t="str">
        <f>VLOOKUP(Kundenliste!$A$5,Daten!$A$7:$C$19,2)</f>
        <v>Senior Berater I</v>
      </c>
      <c r="B5" s="117"/>
      <c r="C5" s="117"/>
    </row>
    <row r="6" spans="1:20" x14ac:dyDescent="0.2">
      <c r="A6" s="117"/>
      <c r="B6" s="117"/>
      <c r="C6" s="117"/>
      <c r="D6" s="1"/>
      <c r="E6" s="3"/>
      <c r="F6" s="3"/>
    </row>
    <row r="7" spans="1:20" x14ac:dyDescent="0.2">
      <c r="D7" s="1"/>
      <c r="E7" s="3"/>
      <c r="F7" s="3"/>
    </row>
    <row r="9" spans="1:20" x14ac:dyDescent="0.2">
      <c r="A9" s="94" t="s">
        <v>66</v>
      </c>
    </row>
    <row r="10" spans="1:20" x14ac:dyDescent="0.2">
      <c r="A10" s="15" t="s">
        <v>83</v>
      </c>
    </row>
    <row r="11" spans="1:20" x14ac:dyDescent="0.2">
      <c r="A11" s="15" t="s">
        <v>87</v>
      </c>
    </row>
    <row r="16" spans="1:20" s="95" customFormat="1" ht="37.5" customHeight="1" x14ac:dyDescent="0.2">
      <c r="A16" s="95" t="s">
        <v>9</v>
      </c>
      <c r="B16" s="95" t="s">
        <v>0</v>
      </c>
      <c r="C16" s="95" t="s">
        <v>1</v>
      </c>
      <c r="D16" s="95" t="s">
        <v>10</v>
      </c>
      <c r="E16" s="95" t="s">
        <v>11</v>
      </c>
      <c r="F16" s="95" t="s">
        <v>77</v>
      </c>
      <c r="G16" s="95" t="s">
        <v>2</v>
      </c>
      <c r="H16" s="96" t="s">
        <v>14</v>
      </c>
      <c r="I16" s="96" t="s">
        <v>15</v>
      </c>
      <c r="J16" s="96" t="s">
        <v>16</v>
      </c>
      <c r="K16" s="95" t="s">
        <v>12</v>
      </c>
      <c r="L16" s="96" t="s">
        <v>33</v>
      </c>
      <c r="M16" s="97" t="s">
        <v>34</v>
      </c>
      <c r="N16" s="98" t="s">
        <v>22</v>
      </c>
      <c r="O16" s="98" t="s">
        <v>3</v>
      </c>
      <c r="P16" s="98" t="s">
        <v>31</v>
      </c>
      <c r="Q16" s="97" t="s">
        <v>29</v>
      </c>
      <c r="R16" s="97" t="s">
        <v>84</v>
      </c>
      <c r="S16" s="97" t="s">
        <v>85</v>
      </c>
      <c r="T16" s="98" t="s">
        <v>86</v>
      </c>
    </row>
    <row r="17" spans="1:16" x14ac:dyDescent="0.2">
      <c r="A17" s="19"/>
      <c r="B17" s="17"/>
      <c r="C17" s="17"/>
      <c r="D17" s="17"/>
      <c r="E17" s="17"/>
      <c r="F17" s="17"/>
      <c r="G17" s="17"/>
      <c r="H17" s="20"/>
      <c r="I17" s="20"/>
      <c r="J17" s="20"/>
      <c r="K17" s="17"/>
      <c r="L17" s="21"/>
      <c r="M17" s="21"/>
      <c r="N17" s="17"/>
      <c r="O17" s="17"/>
      <c r="P17" s="17"/>
    </row>
    <row r="18" spans="1:16" x14ac:dyDescent="0.2">
      <c r="A18" s="19"/>
      <c r="B18" s="17"/>
      <c r="C18" s="17"/>
      <c r="D18" s="17"/>
      <c r="E18" s="17"/>
      <c r="F18" s="17"/>
      <c r="G18" s="17"/>
      <c r="H18" s="20"/>
      <c r="I18" s="20"/>
      <c r="J18" s="17"/>
      <c r="K18" s="17"/>
      <c r="L18" s="21"/>
      <c r="M18" s="21"/>
      <c r="N18" s="17"/>
      <c r="O18" s="99"/>
      <c r="P18" s="99"/>
    </row>
    <row r="19" spans="1:16" x14ac:dyDescent="0.2">
      <c r="A19" s="19"/>
      <c r="B19" s="17"/>
      <c r="C19" s="17"/>
      <c r="D19" s="17"/>
      <c r="E19" s="17"/>
      <c r="F19" s="17"/>
      <c r="G19" s="17"/>
      <c r="H19" s="20"/>
      <c r="I19" s="20"/>
      <c r="J19" s="20"/>
      <c r="K19" s="17"/>
      <c r="L19" s="21"/>
      <c r="M19" s="21"/>
      <c r="N19" s="17"/>
      <c r="O19" s="99"/>
      <c r="P19" s="99"/>
    </row>
    <row r="20" spans="1:16" x14ac:dyDescent="0.2">
      <c r="A20" s="19"/>
      <c r="B20" s="17"/>
      <c r="C20" s="17"/>
      <c r="D20" s="17"/>
      <c r="E20" s="17"/>
      <c r="F20" s="17"/>
      <c r="G20" s="17"/>
      <c r="H20" s="20"/>
      <c r="I20" s="20"/>
      <c r="J20" s="17"/>
      <c r="K20" s="17"/>
      <c r="L20" s="21"/>
      <c r="M20" s="21"/>
      <c r="N20" s="17"/>
      <c r="O20" s="99"/>
      <c r="P20" s="99"/>
    </row>
    <row r="21" spans="1:16" x14ac:dyDescent="0.2">
      <c r="A21" s="19"/>
      <c r="B21" s="17"/>
      <c r="C21" s="17"/>
      <c r="D21" s="17"/>
      <c r="E21" s="17"/>
      <c r="F21" s="17"/>
      <c r="G21" s="17"/>
      <c r="H21" s="20"/>
      <c r="I21" s="20"/>
      <c r="J21" s="20"/>
      <c r="K21" s="17"/>
      <c r="L21" s="21"/>
      <c r="M21" s="21"/>
      <c r="N21" s="17"/>
      <c r="O21" s="99"/>
      <c r="P21" s="99"/>
    </row>
    <row r="22" spans="1:16" x14ac:dyDescent="0.2">
      <c r="A22" s="19"/>
      <c r="B22" s="17"/>
      <c r="C22" s="17"/>
      <c r="D22" s="17"/>
      <c r="E22" s="17"/>
      <c r="F22" s="17"/>
      <c r="G22" s="17"/>
      <c r="H22" s="20"/>
      <c r="I22" s="20"/>
      <c r="J22" s="20"/>
      <c r="K22" s="17"/>
      <c r="L22" s="21"/>
      <c r="M22" s="21"/>
      <c r="N22" s="17"/>
      <c r="O22" s="99"/>
      <c r="P22" s="99"/>
    </row>
    <row r="23" spans="1:16" x14ac:dyDescent="0.2">
      <c r="A23" s="19"/>
      <c r="B23" s="17"/>
      <c r="C23" s="17"/>
      <c r="D23" s="17"/>
      <c r="E23" s="17"/>
      <c r="F23" s="17"/>
      <c r="G23" s="17"/>
      <c r="H23" s="20"/>
      <c r="I23" s="20"/>
      <c r="J23" s="17"/>
      <c r="K23" s="17"/>
      <c r="L23" s="21"/>
      <c r="M23" s="21"/>
      <c r="N23" s="17"/>
      <c r="O23" s="99"/>
      <c r="P23" s="99"/>
    </row>
    <row r="24" spans="1:16" x14ac:dyDescent="0.2">
      <c r="A24" s="19"/>
      <c r="B24" s="17"/>
      <c r="C24" s="17"/>
      <c r="D24" s="17"/>
      <c r="E24" s="17"/>
      <c r="F24" s="17"/>
      <c r="G24" s="17"/>
      <c r="H24" s="20"/>
      <c r="I24" s="20"/>
      <c r="J24" s="17"/>
      <c r="K24" s="17"/>
      <c r="L24" s="21"/>
      <c r="M24" s="21"/>
      <c r="N24" s="17"/>
      <c r="O24" s="99"/>
      <c r="P24" s="99"/>
    </row>
    <row r="25" spans="1:16" x14ac:dyDescent="0.2">
      <c r="A25" s="19"/>
      <c r="B25" s="17"/>
      <c r="C25" s="17"/>
      <c r="D25" s="17"/>
      <c r="E25" s="17"/>
      <c r="F25" s="17"/>
      <c r="G25" s="17"/>
      <c r="H25" s="20"/>
      <c r="I25" s="20"/>
      <c r="J25" s="20"/>
      <c r="K25" s="17"/>
      <c r="L25" s="21"/>
      <c r="M25" s="21"/>
      <c r="N25" s="17"/>
      <c r="O25" s="99"/>
      <c r="P25" s="99"/>
    </row>
    <row r="26" spans="1:16" x14ac:dyDescent="0.2">
      <c r="A26" s="19"/>
      <c r="B26" s="17"/>
      <c r="C26" s="17"/>
      <c r="D26" s="17"/>
      <c r="E26" s="17"/>
      <c r="F26" s="17"/>
      <c r="G26" s="17"/>
      <c r="H26" s="20"/>
      <c r="I26" s="20"/>
      <c r="J26" s="20"/>
      <c r="K26" s="17"/>
      <c r="L26" s="21"/>
      <c r="M26" s="21"/>
      <c r="N26" s="17"/>
      <c r="O26" s="99"/>
      <c r="P26" s="99"/>
    </row>
    <row r="27" spans="1:16" x14ac:dyDescent="0.2">
      <c r="A27" s="19"/>
      <c r="B27" s="17"/>
      <c r="C27" s="17"/>
      <c r="D27" s="17"/>
      <c r="E27" s="17"/>
      <c r="F27" s="17"/>
      <c r="G27" s="17"/>
      <c r="H27" s="20"/>
      <c r="I27" s="20"/>
      <c r="J27" s="17"/>
      <c r="K27" s="17"/>
      <c r="L27" s="21"/>
      <c r="M27" s="21"/>
      <c r="N27" s="17"/>
      <c r="O27" s="99"/>
      <c r="P27" s="99"/>
    </row>
    <row r="28" spans="1:16" x14ac:dyDescent="0.2">
      <c r="A28" s="19"/>
      <c r="B28" s="17"/>
      <c r="C28" s="17"/>
      <c r="D28" s="17"/>
      <c r="E28" s="17"/>
      <c r="F28" s="17"/>
      <c r="G28" s="17"/>
      <c r="H28" s="20"/>
      <c r="I28" s="20"/>
      <c r="J28" s="20"/>
      <c r="K28" s="17"/>
      <c r="L28" s="21"/>
      <c r="M28" s="21"/>
      <c r="N28" s="17"/>
      <c r="O28" s="99"/>
      <c r="P28" s="99"/>
    </row>
    <row r="29" spans="1:16" x14ac:dyDescent="0.2">
      <c r="A29" s="19"/>
      <c r="B29" s="17"/>
      <c r="C29" s="17"/>
      <c r="D29" s="17"/>
      <c r="E29" s="17"/>
      <c r="F29" s="17"/>
      <c r="G29" s="17"/>
      <c r="H29" s="20"/>
      <c r="I29" s="20"/>
      <c r="J29" s="20"/>
      <c r="K29" s="17"/>
      <c r="L29" s="21"/>
      <c r="M29" s="21"/>
      <c r="N29" s="17"/>
      <c r="O29" s="99"/>
      <c r="P29" s="99"/>
    </row>
    <row r="30" spans="1:16" x14ac:dyDescent="0.2">
      <c r="A30" s="19"/>
      <c r="B30" s="17"/>
      <c r="C30" s="17"/>
      <c r="D30" s="17"/>
      <c r="E30" s="17"/>
      <c r="F30" s="17"/>
      <c r="G30" s="17"/>
      <c r="H30" s="20"/>
      <c r="I30" s="20"/>
      <c r="J30" s="17"/>
      <c r="K30" s="17"/>
      <c r="L30" s="21"/>
      <c r="M30" s="21"/>
      <c r="N30" s="17"/>
      <c r="O30" s="99"/>
      <c r="P30" s="99"/>
    </row>
    <row r="31" spans="1:16" x14ac:dyDescent="0.2">
      <c r="A31" s="19"/>
      <c r="B31" s="17"/>
      <c r="C31" s="17"/>
      <c r="D31" s="17"/>
      <c r="E31" s="17"/>
      <c r="F31" s="17"/>
      <c r="G31" s="17"/>
      <c r="H31" s="20"/>
      <c r="I31" s="20"/>
      <c r="J31" s="20"/>
      <c r="K31" s="17"/>
      <c r="L31" s="21"/>
      <c r="M31" s="21"/>
      <c r="N31" s="17"/>
      <c r="O31" s="99"/>
      <c r="P31" s="99"/>
    </row>
    <row r="32" spans="1:16" x14ac:dyDescent="0.2">
      <c r="A32" s="19"/>
      <c r="B32" s="17"/>
      <c r="C32" s="17"/>
      <c r="D32" s="17"/>
      <c r="E32" s="17"/>
      <c r="F32" s="17"/>
      <c r="G32" s="17"/>
      <c r="H32" s="20"/>
      <c r="I32" s="20"/>
      <c r="J32" s="17"/>
      <c r="K32" s="17"/>
      <c r="L32" s="21"/>
      <c r="M32" s="21"/>
      <c r="N32" s="17"/>
      <c r="O32" s="99"/>
      <c r="P32" s="99"/>
    </row>
    <row r="33" spans="1:16" x14ac:dyDescent="0.2">
      <c r="A33" s="19"/>
      <c r="B33" s="17"/>
      <c r="C33" s="17"/>
      <c r="D33" s="17"/>
      <c r="E33" s="17"/>
      <c r="F33" s="17"/>
      <c r="G33" s="17"/>
      <c r="H33" s="20"/>
      <c r="I33" s="20"/>
      <c r="J33" s="17"/>
      <c r="K33" s="17"/>
      <c r="L33" s="21"/>
      <c r="M33" s="21"/>
      <c r="N33" s="17"/>
      <c r="O33" s="99"/>
      <c r="P33" s="99"/>
    </row>
    <row r="34" spans="1:16" x14ac:dyDescent="0.2">
      <c r="A34" s="19"/>
      <c r="B34" s="17"/>
      <c r="C34" s="17"/>
      <c r="D34" s="17"/>
      <c r="E34" s="17"/>
      <c r="F34" s="17"/>
      <c r="G34" s="17"/>
      <c r="H34" s="20"/>
      <c r="I34" s="20"/>
      <c r="J34" s="20"/>
      <c r="K34" s="17"/>
      <c r="L34" s="21"/>
      <c r="M34" s="21"/>
      <c r="N34" s="17"/>
      <c r="O34" s="99"/>
      <c r="P34" s="99"/>
    </row>
    <row r="35" spans="1:16" x14ac:dyDescent="0.2">
      <c r="A35" s="19"/>
      <c r="B35" s="17"/>
      <c r="C35" s="17"/>
      <c r="D35" s="17"/>
      <c r="E35" s="17"/>
      <c r="F35" s="17"/>
      <c r="G35" s="17"/>
      <c r="H35" s="20"/>
      <c r="I35" s="20"/>
      <c r="J35" s="20"/>
      <c r="K35" s="17"/>
      <c r="L35" s="21"/>
      <c r="M35" s="21"/>
      <c r="N35" s="17"/>
      <c r="O35" s="99"/>
      <c r="P35" s="99"/>
    </row>
    <row r="36" spans="1:16" x14ac:dyDescent="0.2">
      <c r="A36" s="19"/>
      <c r="B36" s="17"/>
      <c r="C36" s="17"/>
      <c r="D36" s="17"/>
      <c r="E36" s="17"/>
      <c r="F36" s="17"/>
      <c r="G36" s="17"/>
      <c r="H36" s="20"/>
      <c r="I36" s="20"/>
      <c r="J36" s="17"/>
      <c r="K36" s="17"/>
      <c r="L36" s="21"/>
      <c r="M36" s="21"/>
      <c r="N36" s="17"/>
      <c r="O36" s="99"/>
      <c r="P36" s="99"/>
    </row>
    <row r="37" spans="1:16" x14ac:dyDescent="0.2">
      <c r="A37" s="19"/>
      <c r="B37" s="17"/>
      <c r="C37" s="17"/>
      <c r="D37" s="17"/>
      <c r="E37" s="17"/>
      <c r="F37" s="17"/>
      <c r="G37" s="17"/>
      <c r="H37" s="20"/>
      <c r="I37" s="20"/>
      <c r="J37" s="20"/>
      <c r="K37" s="17"/>
      <c r="L37" s="21"/>
      <c r="M37" s="21"/>
      <c r="N37" s="17"/>
      <c r="O37" s="99"/>
      <c r="P37" s="99"/>
    </row>
    <row r="38" spans="1:16" x14ac:dyDescent="0.2">
      <c r="A38" s="19"/>
      <c r="B38" s="17"/>
      <c r="C38" s="17"/>
      <c r="D38" s="17"/>
      <c r="E38" s="17"/>
      <c r="F38" s="17"/>
      <c r="G38" s="17"/>
      <c r="H38" s="20"/>
      <c r="I38" s="20"/>
      <c r="J38" s="20"/>
      <c r="K38" s="17"/>
      <c r="L38" s="21"/>
      <c r="M38" s="21"/>
      <c r="N38" s="17"/>
      <c r="O38" s="99"/>
      <c r="P38" s="99"/>
    </row>
    <row r="39" spans="1:16" x14ac:dyDescent="0.2">
      <c r="A39" s="19"/>
      <c r="B39" s="17"/>
      <c r="C39" s="17"/>
      <c r="D39" s="17"/>
      <c r="E39" s="17"/>
      <c r="F39" s="17"/>
      <c r="G39" s="17"/>
      <c r="H39" s="20"/>
      <c r="I39" s="20"/>
      <c r="J39" s="20"/>
      <c r="K39" s="17"/>
      <c r="L39" s="21"/>
      <c r="M39" s="21"/>
      <c r="N39" s="17"/>
      <c r="O39" s="99"/>
      <c r="P39" s="99"/>
    </row>
    <row r="40" spans="1:16" x14ac:dyDescent="0.2">
      <c r="A40" s="19"/>
      <c r="B40" s="17"/>
      <c r="C40" s="17"/>
      <c r="D40" s="17"/>
      <c r="E40" s="17"/>
      <c r="F40" s="17"/>
      <c r="G40" s="17"/>
      <c r="H40" s="20"/>
      <c r="I40" s="20"/>
      <c r="J40" s="17"/>
      <c r="K40" s="17"/>
      <c r="L40" s="21"/>
      <c r="M40" s="21"/>
      <c r="N40" s="17"/>
      <c r="O40" s="99"/>
      <c r="P40" s="99"/>
    </row>
    <row r="41" spans="1:16" x14ac:dyDescent="0.2">
      <c r="A41" s="19"/>
      <c r="B41" s="17"/>
      <c r="C41" s="17"/>
      <c r="D41" s="17"/>
      <c r="E41" s="17"/>
      <c r="F41" s="17"/>
      <c r="G41" s="17"/>
      <c r="H41" s="20"/>
      <c r="I41" s="20"/>
      <c r="J41" s="17"/>
      <c r="K41" s="17"/>
      <c r="L41" s="21"/>
      <c r="M41" s="21"/>
      <c r="N41" s="17"/>
      <c r="O41" s="99"/>
      <c r="P41" s="99"/>
    </row>
    <row r="42" spans="1:16" x14ac:dyDescent="0.2">
      <c r="A42" s="19"/>
      <c r="B42" s="17"/>
      <c r="C42" s="17"/>
      <c r="D42" s="17"/>
      <c r="E42" s="17"/>
      <c r="F42" s="17"/>
      <c r="G42" s="17"/>
      <c r="H42" s="20"/>
      <c r="I42" s="20"/>
      <c r="J42" s="20"/>
      <c r="K42" s="17"/>
      <c r="L42" s="21"/>
      <c r="M42" s="21"/>
      <c r="N42" s="17"/>
      <c r="O42" s="99"/>
      <c r="P42" s="99"/>
    </row>
    <row r="43" spans="1:16" x14ac:dyDescent="0.2">
      <c r="A43" s="19"/>
      <c r="B43" s="17"/>
      <c r="C43" s="17"/>
      <c r="D43" s="17"/>
      <c r="E43" s="17"/>
      <c r="F43" s="17"/>
      <c r="G43" s="17"/>
      <c r="H43" s="20"/>
      <c r="I43" s="20"/>
      <c r="J43" s="17"/>
      <c r="K43" s="17"/>
      <c r="L43" s="21"/>
      <c r="M43" s="21"/>
      <c r="N43" s="17"/>
      <c r="O43" s="99"/>
      <c r="P43" s="99"/>
    </row>
    <row r="44" spans="1:16" x14ac:dyDescent="0.2">
      <c r="A44" s="19"/>
      <c r="B44" s="17"/>
      <c r="C44" s="17"/>
      <c r="D44" s="17"/>
      <c r="E44" s="17"/>
      <c r="F44" s="17"/>
      <c r="G44" s="17"/>
      <c r="H44" s="20"/>
      <c r="I44" s="20"/>
      <c r="J44" s="17"/>
      <c r="K44" s="17"/>
      <c r="L44" s="21"/>
      <c r="M44" s="21"/>
      <c r="N44" s="17"/>
      <c r="O44" s="99"/>
      <c r="P44" s="99"/>
    </row>
    <row r="45" spans="1:16" x14ac:dyDescent="0.2">
      <c r="A45" s="19"/>
      <c r="B45" s="17"/>
      <c r="C45" s="17"/>
      <c r="D45" s="17"/>
      <c r="E45" s="17"/>
      <c r="F45" s="17"/>
      <c r="G45" s="17"/>
      <c r="H45" s="20"/>
      <c r="I45" s="20"/>
      <c r="J45" s="17"/>
      <c r="K45" s="17"/>
      <c r="L45" s="21"/>
      <c r="M45" s="21"/>
      <c r="N45" s="17"/>
      <c r="O45" s="99"/>
      <c r="P45" s="99"/>
    </row>
    <row r="46" spans="1:16" x14ac:dyDescent="0.2">
      <c r="A46" s="19"/>
      <c r="B46" s="17"/>
      <c r="C46" s="17"/>
      <c r="D46" s="17"/>
      <c r="E46" s="17"/>
      <c r="F46" s="17"/>
      <c r="G46" s="17"/>
      <c r="H46" s="20"/>
      <c r="I46" s="20"/>
      <c r="J46" s="20"/>
      <c r="K46" s="17"/>
      <c r="L46" s="21"/>
      <c r="M46" s="21"/>
      <c r="N46" s="17"/>
      <c r="O46" s="99"/>
      <c r="P46" s="99"/>
    </row>
    <row r="47" spans="1:16" x14ac:dyDescent="0.2">
      <c r="A47" s="19"/>
      <c r="B47" s="17"/>
      <c r="C47" s="17"/>
      <c r="D47" s="17"/>
      <c r="E47" s="17"/>
      <c r="F47" s="17"/>
      <c r="G47" s="17"/>
      <c r="H47" s="20"/>
      <c r="I47" s="20"/>
      <c r="J47" s="17"/>
      <c r="K47" s="17"/>
      <c r="L47" s="21"/>
      <c r="M47" s="21"/>
      <c r="N47" s="17"/>
      <c r="O47" s="99"/>
      <c r="P47" s="99"/>
    </row>
    <row r="48" spans="1:16" x14ac:dyDescent="0.2">
      <c r="A48" s="100"/>
      <c r="B48" s="99"/>
      <c r="C48" s="99"/>
      <c r="D48" s="99"/>
      <c r="E48" s="99"/>
      <c r="F48" s="17"/>
      <c r="G48" s="101"/>
      <c r="H48" s="102"/>
      <c r="I48" s="102"/>
      <c r="J48" s="102"/>
      <c r="K48" s="99"/>
      <c r="L48" s="103"/>
      <c r="M48" s="103"/>
      <c r="N48" s="104"/>
      <c r="O48" s="99"/>
      <c r="P48" s="99"/>
    </row>
    <row r="49" spans="1:16" x14ac:dyDescent="0.2">
      <c r="A49" s="100"/>
      <c r="B49" s="99"/>
      <c r="C49" s="99"/>
      <c r="D49" s="99"/>
      <c r="E49" s="99"/>
      <c r="F49" s="17"/>
      <c r="G49" s="101"/>
      <c r="H49" s="102"/>
      <c r="I49" s="102"/>
      <c r="J49" s="102"/>
      <c r="K49" s="99"/>
      <c r="L49" s="103"/>
      <c r="M49" s="103"/>
      <c r="N49" s="104"/>
      <c r="O49" s="99"/>
      <c r="P49" s="99"/>
    </row>
    <row r="50" spans="1:16" x14ac:dyDescent="0.2">
      <c r="A50" s="100"/>
      <c r="B50" s="99"/>
      <c r="C50" s="99"/>
      <c r="D50" s="99"/>
      <c r="E50" s="99"/>
      <c r="F50" s="17"/>
      <c r="G50" s="101"/>
      <c r="H50" s="102"/>
      <c r="I50" s="102"/>
      <c r="J50" s="102"/>
      <c r="K50" s="99"/>
      <c r="L50" s="103"/>
      <c r="M50" s="103"/>
      <c r="N50" s="104"/>
      <c r="O50" s="99"/>
      <c r="P50" s="99"/>
    </row>
    <row r="51" spans="1:16" x14ac:dyDescent="0.2">
      <c r="A51" s="100"/>
      <c r="B51" s="99"/>
      <c r="C51" s="99"/>
      <c r="D51" s="99"/>
      <c r="E51" s="99"/>
      <c r="F51" s="17"/>
      <c r="G51" s="101"/>
      <c r="H51" s="102"/>
      <c r="I51" s="102"/>
      <c r="J51" s="102"/>
      <c r="K51" s="99"/>
      <c r="L51" s="103"/>
      <c r="M51" s="103"/>
      <c r="N51" s="104"/>
      <c r="O51" s="99"/>
      <c r="P51" s="99"/>
    </row>
    <row r="52" spans="1:16" x14ac:dyDescent="0.2">
      <c r="A52" s="100"/>
      <c r="B52" s="99"/>
      <c r="C52" s="99"/>
      <c r="D52" s="99"/>
      <c r="E52" s="99"/>
      <c r="F52" s="17"/>
      <c r="G52" s="101"/>
      <c r="H52" s="102"/>
      <c r="I52" s="102"/>
      <c r="J52" s="102"/>
      <c r="K52" s="99"/>
      <c r="L52" s="103"/>
      <c r="M52" s="103"/>
      <c r="N52" s="104"/>
      <c r="O52" s="99"/>
      <c r="P52" s="99"/>
    </row>
    <row r="53" spans="1:16" x14ac:dyDescent="0.2">
      <c r="A53" s="100"/>
      <c r="B53" s="99"/>
      <c r="C53" s="99"/>
      <c r="D53" s="99"/>
      <c r="E53" s="99"/>
      <c r="F53" s="17"/>
      <c r="G53" s="101"/>
      <c r="H53" s="102"/>
      <c r="I53" s="102"/>
      <c r="J53" s="102"/>
      <c r="K53" s="99"/>
      <c r="L53" s="103"/>
      <c r="M53" s="103"/>
      <c r="N53" s="104"/>
      <c r="O53" s="99"/>
      <c r="P53" s="99"/>
    </row>
    <row r="54" spans="1:16" x14ac:dyDescent="0.2">
      <c r="A54" s="100"/>
      <c r="B54" s="99"/>
      <c r="C54" s="99"/>
      <c r="D54" s="99"/>
      <c r="E54" s="99"/>
      <c r="F54" s="17"/>
      <c r="G54" s="101"/>
      <c r="H54" s="102"/>
      <c r="I54" s="102"/>
      <c r="J54" s="102"/>
      <c r="K54" s="99"/>
      <c r="L54" s="103"/>
      <c r="M54" s="103"/>
      <c r="N54" s="104"/>
      <c r="O54" s="99"/>
      <c r="P54" s="99"/>
    </row>
    <row r="55" spans="1:16" x14ac:dyDescent="0.2">
      <c r="A55" s="100"/>
      <c r="B55" s="99"/>
      <c r="C55" s="99"/>
      <c r="D55" s="99"/>
      <c r="E55" s="99"/>
      <c r="F55" s="17"/>
      <c r="G55" s="101"/>
      <c r="H55" s="102"/>
      <c r="I55" s="102"/>
      <c r="J55" s="102"/>
      <c r="K55" s="99"/>
      <c r="L55" s="103"/>
      <c r="M55" s="103"/>
      <c r="N55" s="104"/>
      <c r="O55" s="99"/>
      <c r="P55" s="99"/>
    </row>
    <row r="56" spans="1:16" x14ac:dyDescent="0.2">
      <c r="A56" s="100"/>
      <c r="B56" s="99"/>
      <c r="C56" s="99"/>
      <c r="D56" s="99"/>
      <c r="E56" s="99"/>
      <c r="F56" s="17"/>
      <c r="G56" s="101"/>
      <c r="H56" s="102"/>
      <c r="I56" s="102"/>
      <c r="J56" s="102"/>
      <c r="K56" s="99"/>
      <c r="L56" s="103"/>
      <c r="M56" s="103"/>
      <c r="N56" s="104"/>
      <c r="O56" s="99"/>
      <c r="P56" s="99"/>
    </row>
    <row r="57" spans="1:16" x14ac:dyDescent="0.2">
      <c r="A57" s="100"/>
      <c r="B57" s="99"/>
      <c r="C57" s="99"/>
      <c r="D57" s="99"/>
      <c r="E57" s="99"/>
      <c r="F57" s="17"/>
      <c r="G57" s="101"/>
      <c r="H57" s="102"/>
      <c r="I57" s="102"/>
      <c r="J57" s="102"/>
      <c r="K57" s="99"/>
      <c r="L57" s="103"/>
      <c r="M57" s="103"/>
      <c r="N57" s="104"/>
      <c r="O57" s="99"/>
      <c r="P57" s="99"/>
    </row>
  </sheetData>
  <mergeCells count="4">
    <mergeCell ref="A1:C2"/>
    <mergeCell ref="D1:D2"/>
    <mergeCell ref="A3:D4"/>
    <mergeCell ref="A5:C6"/>
  </mergeCells>
  <conditionalFormatting sqref="O17:P57">
    <cfRule type="cellIs" dxfId="9" priority="1" stopIfTrue="1" operator="equal">
      <formula>"D-D"</formula>
    </cfRule>
    <cfRule type="cellIs" dxfId="8" priority="2" stopIfTrue="1" operator="equal">
      <formula>"C-D"</formula>
    </cfRule>
    <cfRule type="cellIs" dxfId="7" priority="3" stopIfTrue="1" operator="equal">
      <formula>"B-D"</formula>
    </cfRule>
    <cfRule type="cellIs" dxfId="6" priority="4" stopIfTrue="1" operator="equal">
      <formula>"A-D"</formula>
    </cfRule>
    <cfRule type="cellIs" dxfId="5" priority="5" stopIfTrue="1" operator="equal">
      <formula>"VIP-D"</formula>
    </cfRule>
    <cfRule type="cellIs" dxfId="4" priority="6" stopIfTrue="1" operator="equal">
      <formula>"VIP"</formula>
    </cfRule>
    <cfRule type="cellIs" dxfId="3" priority="7" stopIfTrue="1" operator="equal">
      <formula>"A"</formula>
    </cfRule>
    <cfRule type="cellIs" dxfId="2" priority="8" stopIfTrue="1" operator="equal">
      <formula>"B"</formula>
    </cfRule>
    <cfRule type="cellIs" dxfId="1" priority="9" stopIfTrue="1" operator="equal">
      <formula>"C"</formula>
    </cfRule>
    <cfRule type="cellIs" dxfId="0" priority="10" stopIfTrue="1" operator="equal">
      <formula>"D"</formula>
    </cfRule>
  </conditionalFormatting>
  <pageMargins left="0.78740157480314965" right="0.78740157480314965" top="0.98425196850393704" bottom="0.98425196850393704" header="0.51181102362204722" footer="0.51181102362204722"/>
  <pageSetup paperSize="9" scale="39" fitToHeight="100" orientation="landscape" verticalDpi="0" r:id="rId1"/>
  <headerFooter alignWithMargins="0">
    <oddHeader>&amp;C&amp;"Arial,Fett"&amp;12Bestandsstatistik mit Verträgen nur SHUK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Daten</vt:lpstr>
      <vt:lpstr>Kundenliste</vt:lpstr>
      <vt:lpstr>SUHK | 2017-2025</vt:lpstr>
      <vt:lpstr>Prod. 2017-2025 | gesamt</vt:lpstr>
      <vt:lpstr>Prod. 2017-2025 | bereinigt</vt:lpstr>
      <vt:lpstr>Bestandsaktion</vt:lpstr>
      <vt:lpstr>Bestandsaktion!Drucktitel</vt:lpstr>
      <vt:lpstr>Kundenliste!Drucktitel</vt:lpstr>
      <vt:lpstr>'Prod. 2017-2025 | bereinigt'!Drucktitel</vt:lpstr>
      <vt:lpstr>'Prod. 2017-2025 | gesamt'!Drucktitel</vt:lpstr>
      <vt:lpstr>'SUHK | 2017-2025'!Drucktitel</vt:lpstr>
    </vt:vector>
  </TitlesOfParts>
  <Company>afm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Blech</dc:creator>
  <cp:lastModifiedBy>Carsten Blech</cp:lastModifiedBy>
  <cp:lastPrinted>2024-01-08T08:00:34Z</cp:lastPrinted>
  <dcterms:created xsi:type="dcterms:W3CDTF">2006-02-03T07:35:28Z</dcterms:created>
  <dcterms:modified xsi:type="dcterms:W3CDTF">2025-02-10T10:19:16Z</dcterms:modified>
</cp:coreProperties>
</file>