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Vertriebssupport\Privatversicherungen\Marktanalyse\Leistungsvergleiche\Unfall\"/>
    </mc:Choice>
  </mc:AlternateContent>
  <workbookProtection workbookPassword="98DB" lockStructure="1"/>
  <bookViews>
    <workbookView xWindow="5010" yWindow="45" windowWidth="11580" windowHeight="8580"/>
  </bookViews>
  <sheets>
    <sheet name="UV-Druck" sheetId="6" r:id="rId1"/>
    <sheet name="UV-Daten" sheetId="5" state="hidden" r:id="rId2"/>
    <sheet name="Archiv ab 2022" sheetId="15" state="hidden" r:id="rId3"/>
    <sheet name="Archiv Alt" sheetId="8" state="hidden" r:id="rId4"/>
    <sheet name="UMBAU" sheetId="10" state="hidden" r:id="rId5"/>
    <sheet name="Archiv UV-Daten bis Umbau" sheetId="12" state="hidden" r:id="rId6"/>
    <sheet name="Aufnahmealter " sheetId="11" state="hidden" r:id="rId7"/>
  </sheets>
  <definedNames>
    <definedName name="Auswahl1" localSheetId="5">'Archiv UV-Daten bis Umbau'!$BU$4</definedName>
    <definedName name="Auswahl1">'UV-Daten'!$AA$4</definedName>
    <definedName name="Auswahl2" localSheetId="5">'Archiv UV-Daten bis Umbau'!$BV$4</definedName>
    <definedName name="Auswahl2">'UV-Daten'!$AB$4</definedName>
    <definedName name="Auswahl3" localSheetId="5">'Archiv UV-Daten bis Umbau'!$BW$4</definedName>
    <definedName name="Auswahl3">'UV-Daten'!$AC$4</definedName>
    <definedName name="AuswMatrix" localSheetId="5">'Archiv UV-Daten bis Umbau'!$BR$2:$BS$67</definedName>
    <definedName name="AuswMatrix">'UV-Daten'!$X$2:$Y$21</definedName>
    <definedName name="_xlnm.Print_Area" localSheetId="5">'Archiv UV-Daten bis Umbau'!$A$1:$BO$221</definedName>
    <definedName name="_xlnm.Print_Area" localSheetId="1">'UV-Daten'!$A:$A</definedName>
    <definedName name="_xlnm.Print_Titles" localSheetId="5">'Archiv UV-Daten bis Umbau'!$A:$A</definedName>
    <definedName name="_xlnm.Print_Titles" localSheetId="1">'UV-Daten'!#REF!</definedName>
    <definedName name="GesMatrix" localSheetId="5">'Archiv UV-Daten bis Umbau'!$BS$2:$BS$67</definedName>
    <definedName name="GesMatrix">'UV-Daten'!$Y$2:$Y$21</definedName>
    <definedName name="VergleichMatrix" localSheetId="5">'Archiv UV-Daten bis Umbau'!$B$1:$BO$221</definedName>
    <definedName name="VergleichMatrix">'UV-Daten'!$C$1:$U$325</definedName>
  </definedNames>
  <calcPr calcId="152511"/>
</workbook>
</file>

<file path=xl/calcChain.xml><?xml version="1.0" encoding="utf-8"?>
<calcChain xmlns="http://schemas.openxmlformats.org/spreadsheetml/2006/main">
  <c r="D319" i="15" l="1"/>
  <c r="D313" i="15"/>
  <c r="D309" i="15"/>
  <c r="D295" i="15"/>
  <c r="D287" i="15"/>
  <c r="D233" i="15"/>
  <c r="D219" i="15"/>
  <c r="D203" i="15"/>
  <c r="D197" i="15"/>
  <c r="D191" i="15"/>
  <c r="D173" i="15"/>
  <c r="D161" i="15"/>
  <c r="D151" i="15"/>
  <c r="D125" i="15"/>
  <c r="D124" i="15"/>
  <c r="D115" i="15"/>
  <c r="D69" i="15"/>
  <c r="D51" i="15"/>
  <c r="D11" i="15"/>
  <c r="D91" i="15" s="1"/>
  <c r="C319" i="15"/>
  <c r="B319" i="15"/>
  <c r="C313" i="15"/>
  <c r="B313" i="15"/>
  <c r="C309" i="15"/>
  <c r="B309" i="15"/>
  <c r="C295" i="15"/>
  <c r="B295" i="15"/>
  <c r="C287" i="15"/>
  <c r="B287" i="15"/>
  <c r="C233" i="15"/>
  <c r="B233" i="15"/>
  <c r="C219" i="15"/>
  <c r="B219" i="15"/>
  <c r="C203" i="15"/>
  <c r="B203" i="15"/>
  <c r="C197" i="15"/>
  <c r="B197" i="15"/>
  <c r="C191" i="15"/>
  <c r="B191" i="15"/>
  <c r="C173" i="15"/>
  <c r="B173" i="15"/>
  <c r="C161" i="15"/>
  <c r="B161" i="15"/>
  <c r="C151" i="15"/>
  <c r="B151" i="15"/>
  <c r="C125" i="15"/>
  <c r="B125" i="15"/>
  <c r="C124" i="15"/>
  <c r="B124" i="15"/>
  <c r="C115" i="15"/>
  <c r="B115" i="15"/>
  <c r="C69" i="15"/>
  <c r="B69" i="15"/>
  <c r="C51" i="15"/>
  <c r="B51" i="15"/>
  <c r="C11" i="15"/>
  <c r="C91" i="15" s="1"/>
  <c r="B11" i="15"/>
  <c r="B91" i="15" s="1"/>
  <c r="BT319" i="15"/>
  <c r="BS319" i="15"/>
  <c r="BR319" i="15"/>
  <c r="BQ319" i="15"/>
  <c r="BP319" i="15"/>
  <c r="BO319" i="15"/>
  <c r="BN319" i="15"/>
  <c r="BM319" i="15"/>
  <c r="BL319" i="15"/>
  <c r="BK319" i="15"/>
  <c r="BJ319" i="15"/>
  <c r="BI319" i="15"/>
  <c r="BH319" i="15"/>
  <c r="BG319" i="15"/>
  <c r="BF319" i="15"/>
  <c r="BE319" i="15"/>
  <c r="BD319" i="15"/>
  <c r="BC319" i="15"/>
  <c r="BB319" i="15"/>
  <c r="BA319" i="15"/>
  <c r="AZ319" i="15"/>
  <c r="AY319" i="15"/>
  <c r="AX319" i="15"/>
  <c r="AW319" i="15"/>
  <c r="AV319" i="15"/>
  <c r="AU319" i="15"/>
  <c r="AT319" i="15"/>
  <c r="AS319" i="15"/>
  <c r="AR319" i="15"/>
  <c r="AQ319" i="15"/>
  <c r="AP319" i="15"/>
  <c r="AO319" i="15"/>
  <c r="AN319" i="15"/>
  <c r="AM319" i="15"/>
  <c r="AL319" i="15"/>
  <c r="AK319" i="15"/>
  <c r="AJ319" i="15"/>
  <c r="AI319" i="15"/>
  <c r="AH319" i="15"/>
  <c r="AG319" i="15"/>
  <c r="AF319" i="15"/>
  <c r="AE319" i="15"/>
  <c r="AD319" i="15"/>
  <c r="AC319" i="15"/>
  <c r="AB319" i="15"/>
  <c r="AA319" i="15"/>
  <c r="Z319" i="15"/>
  <c r="Y319" i="15"/>
  <c r="X319" i="15"/>
  <c r="W319" i="15"/>
  <c r="V319" i="15"/>
  <c r="U319" i="15"/>
  <c r="T319" i="15"/>
  <c r="S319" i="15"/>
  <c r="R319" i="15"/>
  <c r="Q319" i="15"/>
  <c r="P319" i="15"/>
  <c r="O319" i="15"/>
  <c r="N319" i="15"/>
  <c r="M319" i="15"/>
  <c r="L319" i="15"/>
  <c r="K319" i="15"/>
  <c r="J319" i="15"/>
  <c r="I319" i="15"/>
  <c r="H319" i="15"/>
  <c r="G319" i="15"/>
  <c r="M124" i="15"/>
  <c r="L124" i="15"/>
  <c r="K124" i="15"/>
  <c r="J124" i="15"/>
  <c r="I124" i="15"/>
  <c r="H124" i="15"/>
  <c r="G124" i="15"/>
  <c r="BT91" i="15"/>
  <c r="BS91" i="15"/>
  <c r="BR91" i="15"/>
  <c r="BQ91" i="15"/>
  <c r="BP91" i="15"/>
  <c r="BO91" i="15"/>
  <c r="BN91" i="15"/>
  <c r="BM91" i="15"/>
  <c r="BL91" i="15"/>
  <c r="BK91" i="15"/>
  <c r="BJ91" i="15"/>
  <c r="BI91" i="15"/>
  <c r="BH91" i="15"/>
  <c r="BG91" i="15"/>
  <c r="BF91" i="15"/>
  <c r="BE91" i="15"/>
  <c r="BD91" i="15"/>
  <c r="BC91" i="15"/>
  <c r="BB91" i="15"/>
  <c r="BA91" i="15"/>
  <c r="AZ91" i="15"/>
  <c r="AY91" i="15"/>
  <c r="AX91" i="15"/>
  <c r="AW91" i="15"/>
  <c r="AV91" i="15"/>
  <c r="AU91" i="15"/>
  <c r="AT91" i="15"/>
  <c r="AS91" i="15"/>
  <c r="AR91" i="15"/>
  <c r="AQ91" i="15"/>
  <c r="AP91" i="15"/>
  <c r="AO91" i="15"/>
  <c r="AN91" i="15"/>
  <c r="AM91" i="15"/>
  <c r="AL91" i="15"/>
  <c r="AK91" i="15"/>
  <c r="AJ91" i="15"/>
  <c r="AI91" i="15"/>
  <c r="AH91" i="15"/>
  <c r="AG91" i="15"/>
  <c r="AF91" i="15"/>
  <c r="AE91" i="15"/>
  <c r="AD91" i="15"/>
  <c r="AC91" i="15"/>
  <c r="AB91" i="15"/>
  <c r="AA91" i="15"/>
  <c r="Z91" i="15"/>
  <c r="Y91" i="15"/>
  <c r="X91" i="15"/>
  <c r="W91" i="15"/>
  <c r="V91" i="15"/>
  <c r="U91" i="15"/>
  <c r="T91" i="15"/>
  <c r="S91" i="15"/>
  <c r="R91" i="15"/>
  <c r="Q91" i="15"/>
  <c r="P91" i="15"/>
  <c r="O91" i="15"/>
  <c r="N91" i="15"/>
  <c r="M91" i="15"/>
  <c r="L91" i="15"/>
  <c r="K91" i="15"/>
  <c r="J91" i="15"/>
  <c r="I91" i="15"/>
  <c r="H91" i="15"/>
  <c r="G91" i="15"/>
  <c r="BT11" i="15"/>
  <c r="BS11" i="15"/>
  <c r="BR11" i="15"/>
  <c r="BQ11" i="15"/>
  <c r="BP11" i="15"/>
  <c r="BO11" i="15"/>
  <c r="BN11" i="15"/>
  <c r="BM11" i="15"/>
  <c r="BL11" i="15"/>
  <c r="BK11" i="15"/>
  <c r="BJ11" i="15"/>
  <c r="BI11" i="15"/>
  <c r="BH11" i="15"/>
  <c r="BG11" i="15"/>
  <c r="BF11" i="15"/>
  <c r="BE11" i="15"/>
  <c r="BD11" i="15"/>
  <c r="BC11" i="15"/>
  <c r="BB11" i="15"/>
  <c r="BA11" i="15"/>
  <c r="AZ11" i="15"/>
  <c r="AY11" i="15"/>
  <c r="AX11" i="15"/>
  <c r="AW11" i="15"/>
  <c r="AV11" i="15"/>
  <c r="AU11" i="15"/>
  <c r="AT11" i="15"/>
  <c r="AS11" i="15"/>
  <c r="AR11" i="15"/>
  <c r="AQ11" i="15"/>
  <c r="AP11" i="15"/>
  <c r="AO11" i="15"/>
  <c r="AN11" i="15"/>
  <c r="AM11" i="15"/>
  <c r="AL11" i="15"/>
  <c r="AK11" i="15"/>
  <c r="AJ11" i="15"/>
  <c r="AI11" i="15"/>
  <c r="AH11" i="15"/>
  <c r="AG11" i="15"/>
  <c r="AF11" i="15"/>
  <c r="AE11" i="15"/>
  <c r="AD11" i="15"/>
  <c r="AC11" i="15"/>
  <c r="AB11" i="15"/>
  <c r="AA11" i="15"/>
  <c r="Z11" i="15"/>
  <c r="Y11" i="15"/>
  <c r="X11" i="15"/>
  <c r="W11" i="15"/>
  <c r="V11" i="15"/>
  <c r="U11" i="15"/>
  <c r="T11" i="15"/>
  <c r="S11" i="15"/>
  <c r="R11" i="15"/>
  <c r="Q11" i="15"/>
  <c r="P11" i="15"/>
  <c r="O11" i="15"/>
  <c r="N11" i="15"/>
  <c r="M11" i="15"/>
  <c r="L11" i="15"/>
  <c r="K11" i="15"/>
  <c r="J11" i="15"/>
  <c r="I11" i="15"/>
  <c r="H11" i="15"/>
  <c r="G11" i="15"/>
  <c r="N319" i="5"/>
  <c r="N313" i="5"/>
  <c r="N309" i="5"/>
  <c r="N295" i="5"/>
  <c r="N287" i="5"/>
  <c r="N233" i="5"/>
  <c r="N219" i="5"/>
  <c r="N203" i="5"/>
  <c r="N197" i="5"/>
  <c r="N191" i="5"/>
  <c r="N173" i="5"/>
  <c r="N161" i="5"/>
  <c r="N151" i="5"/>
  <c r="N125" i="5"/>
  <c r="N115" i="5"/>
  <c r="N69" i="5"/>
  <c r="N51" i="5"/>
  <c r="N11" i="5"/>
  <c r="N91" i="5" s="1"/>
  <c r="M319" i="5" l="1"/>
  <c r="L319" i="5"/>
  <c r="O319" i="5"/>
  <c r="M203" i="5"/>
  <c r="M295" i="5"/>
  <c r="M309" i="5"/>
  <c r="L309" i="5"/>
  <c r="O309" i="5"/>
  <c r="L203" i="5" l="1"/>
  <c r="O203" i="5"/>
  <c r="L295" i="5" l="1"/>
  <c r="O295" i="5"/>
  <c r="M313" i="5"/>
  <c r="L313" i="5"/>
  <c r="O313" i="5"/>
  <c r="M197" i="5"/>
  <c r="L197" i="5"/>
  <c r="O197" i="5"/>
  <c r="K197" i="5"/>
  <c r="M219" i="5" l="1"/>
  <c r="L219" i="5"/>
  <c r="O219" i="5"/>
  <c r="M115" i="5"/>
  <c r="L115" i="5"/>
  <c r="O115" i="5"/>
  <c r="M125" i="5"/>
  <c r="L125" i="5"/>
  <c r="O125" i="5"/>
  <c r="M161" i="5"/>
  <c r="L161" i="5"/>
  <c r="O161" i="5"/>
  <c r="M191" i="5"/>
  <c r="L191" i="5"/>
  <c r="O191" i="5"/>
  <c r="M173" i="5"/>
  <c r="L173" i="5"/>
  <c r="O173" i="5"/>
  <c r="M151" i="5" l="1"/>
  <c r="L151" i="5"/>
  <c r="O151" i="5"/>
  <c r="M233" i="5"/>
  <c r="L233" i="5"/>
  <c r="O233" i="5"/>
  <c r="M287" i="5"/>
  <c r="L287" i="5"/>
  <c r="O287" i="5"/>
  <c r="M69" i="5"/>
  <c r="L69" i="5"/>
  <c r="O69" i="5"/>
  <c r="M51" i="5"/>
  <c r="L51" i="5"/>
  <c r="O51" i="5"/>
  <c r="M11" i="5"/>
  <c r="M91" i="5" s="1"/>
  <c r="L11" i="5"/>
  <c r="L91" i="5" s="1"/>
  <c r="O11" i="5"/>
  <c r="O91" i="5" s="1"/>
  <c r="E205" i="6" l="1"/>
  <c r="E169" i="6"/>
  <c r="E94" i="6"/>
  <c r="E45" i="6"/>
  <c r="E21" i="6"/>
  <c r="P319" i="5" l="1"/>
  <c r="P313" i="5"/>
  <c r="P309" i="5"/>
  <c r="P295" i="5"/>
  <c r="U287" i="5"/>
  <c r="S287" i="5"/>
  <c r="R287" i="5"/>
  <c r="Q287" i="5"/>
  <c r="T287" i="5"/>
  <c r="P287" i="5"/>
  <c r="J287" i="5"/>
  <c r="I287" i="5"/>
  <c r="K287" i="5"/>
  <c r="H287" i="5"/>
  <c r="F287" i="5"/>
  <c r="G287" i="5"/>
  <c r="D287" i="5"/>
  <c r="C287" i="5"/>
  <c r="E287" i="5"/>
  <c r="P233" i="5"/>
  <c r="P219" i="5"/>
  <c r="P203" i="5"/>
  <c r="P197" i="5"/>
  <c r="P191" i="5"/>
  <c r="P173" i="5"/>
  <c r="P161" i="5"/>
  <c r="P151" i="5"/>
  <c r="P125" i="5"/>
  <c r="P115" i="5"/>
  <c r="P69" i="5"/>
  <c r="P51" i="5"/>
  <c r="P11" i="5"/>
  <c r="P91" i="5" s="1"/>
  <c r="E125" i="6"/>
  <c r="E129" i="6"/>
  <c r="E133" i="6"/>
  <c r="E208" i="6"/>
  <c r="E201" i="6"/>
  <c r="E184" i="6"/>
  <c r="E189" i="6"/>
  <c r="E114" i="6"/>
  <c r="E100" i="6"/>
  <c r="E76" i="6"/>
  <c r="E62" i="6"/>
  <c r="E49" i="6"/>
  <c r="E37" i="6"/>
  <c r="E13" i="6"/>
  <c r="E7" i="6"/>
  <c r="E197" i="6"/>
  <c r="H319" i="5" l="1"/>
  <c r="F319" i="5"/>
  <c r="G319" i="5"/>
  <c r="S51" i="5" l="1"/>
  <c r="R51" i="5"/>
  <c r="Q51" i="5"/>
  <c r="T51" i="5"/>
  <c r="J51" i="5"/>
  <c r="I51" i="5"/>
  <c r="K51" i="5"/>
  <c r="H51" i="5"/>
  <c r="F51" i="5"/>
  <c r="G51" i="5"/>
  <c r="D51" i="5"/>
  <c r="C51" i="5"/>
  <c r="E51" i="5"/>
  <c r="H69" i="5"/>
  <c r="F69" i="5"/>
  <c r="H313" i="5" l="1"/>
  <c r="F313" i="5"/>
  <c r="G313" i="5"/>
  <c r="H125" i="5"/>
  <c r="F125" i="5"/>
  <c r="G125" i="5"/>
  <c r="H309" i="5"/>
  <c r="F309" i="5"/>
  <c r="G309" i="5"/>
  <c r="H295" i="5"/>
  <c r="F295" i="5"/>
  <c r="G295" i="5"/>
  <c r="H203" i="5" l="1"/>
  <c r="F203" i="5"/>
  <c r="G203" i="5"/>
  <c r="H161" i="5"/>
  <c r="F161" i="5"/>
  <c r="G161" i="5"/>
  <c r="H173" i="5"/>
  <c r="F173" i="5"/>
  <c r="G173" i="5"/>
  <c r="H197" i="5"/>
  <c r="F197" i="5"/>
  <c r="G197" i="5"/>
  <c r="H191" i="5"/>
  <c r="F191" i="5"/>
  <c r="G191" i="5"/>
  <c r="H115" i="5"/>
  <c r="F115" i="5"/>
  <c r="G115" i="5"/>
  <c r="H151" i="5"/>
  <c r="F151" i="5"/>
  <c r="G151" i="5"/>
  <c r="H233" i="5"/>
  <c r="F233" i="5"/>
  <c r="G233" i="5"/>
  <c r="H219" i="5"/>
  <c r="F219" i="5"/>
  <c r="G219" i="5"/>
  <c r="G69" i="5"/>
  <c r="H11" i="5" l="1"/>
  <c r="H91" i="5" s="1"/>
  <c r="F11" i="5"/>
  <c r="F91" i="5" s="1"/>
  <c r="G11" i="5"/>
  <c r="G91" i="5" s="1"/>
  <c r="T313" i="5" l="1"/>
  <c r="T309" i="5"/>
  <c r="T295" i="5"/>
  <c r="T233" i="5"/>
  <c r="T219" i="5"/>
  <c r="T197" i="5"/>
  <c r="T191" i="5"/>
  <c r="T173" i="5"/>
  <c r="T161" i="5"/>
  <c r="T151" i="5"/>
  <c r="T125" i="5"/>
  <c r="T203" i="5"/>
  <c r="T115" i="5"/>
  <c r="T69" i="5"/>
  <c r="T11" i="5"/>
  <c r="T91" i="5" s="1"/>
  <c r="S319" i="5"/>
  <c r="R319" i="5"/>
  <c r="Q319" i="5"/>
  <c r="T319" i="5"/>
  <c r="S313" i="5"/>
  <c r="S309" i="5"/>
  <c r="S295" i="5"/>
  <c r="S233" i="5"/>
  <c r="S219" i="5"/>
  <c r="S197" i="5"/>
  <c r="S191" i="5"/>
  <c r="S173" i="5"/>
  <c r="S161" i="5"/>
  <c r="S151" i="5"/>
  <c r="S125" i="5"/>
  <c r="S203" i="5"/>
  <c r="S115" i="5"/>
  <c r="S69" i="5"/>
  <c r="S11" i="5"/>
  <c r="S91" i="5" s="1"/>
  <c r="R161" i="5" l="1"/>
  <c r="R115" i="5"/>
  <c r="R295" i="5" l="1"/>
  <c r="Q295" i="5"/>
  <c r="R309" i="5"/>
  <c r="Q309" i="5"/>
  <c r="R313" i="5"/>
  <c r="Q313" i="5"/>
  <c r="R125" i="5"/>
  <c r="Q125" i="5"/>
  <c r="R203" i="5"/>
  <c r="Q203" i="5"/>
  <c r="Q161" i="5"/>
  <c r="R173" i="5"/>
  <c r="Q173" i="5"/>
  <c r="R151" i="5"/>
  <c r="Q151" i="5"/>
  <c r="R233" i="5" l="1"/>
  <c r="Q233" i="5"/>
  <c r="R191" i="5"/>
  <c r="Q191" i="5"/>
  <c r="R197" i="5"/>
  <c r="Q197" i="5"/>
  <c r="R219" i="5"/>
  <c r="Q219" i="5"/>
  <c r="Q115" i="5" l="1"/>
  <c r="R69" i="5"/>
  <c r="Q69" i="5" l="1"/>
  <c r="R11" i="5"/>
  <c r="R91" i="5" s="1"/>
  <c r="Q11" i="5" l="1"/>
  <c r="Q91" i="5" s="1"/>
  <c r="D319" i="5" l="1"/>
  <c r="D313" i="5"/>
  <c r="D309" i="5"/>
  <c r="D295" i="5"/>
  <c r="D233" i="5"/>
  <c r="D219" i="5"/>
  <c r="D197" i="5"/>
  <c r="D191" i="5"/>
  <c r="D173" i="5"/>
  <c r="D161" i="5"/>
  <c r="D151" i="5"/>
  <c r="D125" i="5"/>
  <c r="D203" i="5"/>
  <c r="D115" i="5"/>
  <c r="D69" i="5"/>
  <c r="D11" i="5"/>
  <c r="D91" i="5" s="1"/>
  <c r="B295" i="5" l="1"/>
  <c r="E295" i="5"/>
  <c r="C295" i="5"/>
  <c r="K295" i="5"/>
  <c r="I295" i="5"/>
  <c r="J295" i="5"/>
  <c r="C219" i="5" l="1"/>
  <c r="E219" i="5"/>
  <c r="B173" i="5"/>
  <c r="E173" i="5"/>
  <c r="C173" i="5"/>
  <c r="K173" i="5"/>
  <c r="I173" i="5"/>
  <c r="J173" i="5"/>
  <c r="C233" i="5"/>
  <c r="E233" i="5"/>
  <c r="C125" i="5" l="1"/>
  <c r="E125" i="5"/>
  <c r="C203" i="5"/>
  <c r="E203" i="5"/>
  <c r="C309" i="5" l="1"/>
  <c r="E309" i="5"/>
  <c r="C313" i="5"/>
  <c r="E313" i="5"/>
  <c r="C161" i="5" l="1"/>
  <c r="E161" i="5"/>
  <c r="C151" i="5"/>
  <c r="E151" i="5"/>
  <c r="C197" i="5"/>
  <c r="E197" i="5"/>
  <c r="C191" i="5" l="1"/>
  <c r="E191" i="5"/>
  <c r="C115" i="5"/>
  <c r="E115" i="5"/>
  <c r="C69" i="5" l="1"/>
  <c r="E69" i="5"/>
  <c r="C319" i="5"/>
  <c r="E319" i="5"/>
  <c r="C11" i="5"/>
  <c r="C91" i="5" s="1"/>
  <c r="E11" i="5"/>
  <c r="E91" i="5" s="1"/>
  <c r="J319" i="5" l="1"/>
  <c r="J313" i="5"/>
  <c r="J309" i="5"/>
  <c r="J233" i="5"/>
  <c r="J219" i="5"/>
  <c r="J197" i="5"/>
  <c r="J191" i="5"/>
  <c r="J161" i="5"/>
  <c r="J151" i="5"/>
  <c r="J125" i="5"/>
  <c r="J203" i="5"/>
  <c r="J124" i="5"/>
  <c r="J115" i="5"/>
  <c r="J69" i="5"/>
  <c r="J11" i="5"/>
  <c r="J91" i="5" s="1"/>
  <c r="I319" i="5" l="1"/>
  <c r="I313" i="5" l="1"/>
  <c r="I219" i="5"/>
  <c r="I197" i="5"/>
  <c r="I125" i="5"/>
  <c r="I203" i="5" l="1"/>
  <c r="I124" i="5" l="1"/>
  <c r="K124" i="5"/>
  <c r="B124" i="5"/>
  <c r="I11" i="5" l="1"/>
  <c r="I91" i="5" s="1"/>
  <c r="I309" i="5"/>
  <c r="I69" i="5" l="1"/>
  <c r="I161" i="5"/>
  <c r="I191" i="5"/>
  <c r="I115" i="5"/>
  <c r="I151" i="5"/>
  <c r="I233" i="5"/>
  <c r="K319" i="5" l="1"/>
  <c r="K313" i="5"/>
  <c r="K309" i="5"/>
  <c r="K233" i="5"/>
  <c r="K219" i="5"/>
  <c r="K191" i="5"/>
  <c r="K161" i="5"/>
  <c r="K151" i="5"/>
  <c r="K125" i="5"/>
  <c r="K203" i="5"/>
  <c r="K115" i="5"/>
  <c r="K69" i="5"/>
  <c r="K11" i="5"/>
  <c r="K91" i="5" s="1"/>
  <c r="B319" i="5"/>
  <c r="B309" i="5"/>
  <c r="B313" i="5"/>
  <c r="B161" i="5"/>
  <c r="B151" i="5" l="1"/>
  <c r="B69" i="5"/>
  <c r="B203" i="5"/>
  <c r="B115" i="5" l="1"/>
  <c r="B125" i="5"/>
  <c r="B191" i="5" l="1"/>
  <c r="B233" i="5" l="1"/>
  <c r="B219" i="5"/>
  <c r="B197" i="5"/>
  <c r="B11" i="5"/>
  <c r="B91" i="5" s="1"/>
  <c r="AL35" i="8" l="1"/>
  <c r="AL67" i="8"/>
  <c r="AL103" i="8"/>
  <c r="AL115" i="8"/>
  <c r="AL125" i="8"/>
  <c r="AL143" i="8"/>
  <c r="AL157" i="8"/>
  <c r="AL215" i="8"/>
  <c r="F220" i="8"/>
  <c r="E220" i="8"/>
  <c r="F215" i="8"/>
  <c r="E215" i="8"/>
  <c r="F157" i="8"/>
  <c r="E157" i="8"/>
  <c r="F143" i="8"/>
  <c r="E143" i="8"/>
  <c r="F125" i="8"/>
  <c r="E125" i="8"/>
  <c r="F115" i="8"/>
  <c r="E115" i="8"/>
  <c r="F103" i="8"/>
  <c r="E103" i="8"/>
  <c r="F67" i="8"/>
  <c r="E67" i="8"/>
  <c r="F35" i="8"/>
  <c r="E35" i="8"/>
  <c r="M35" i="8"/>
  <c r="M67" i="8"/>
  <c r="M103" i="8"/>
  <c r="M115" i="8"/>
  <c r="M125" i="8"/>
  <c r="M143" i="8"/>
  <c r="M157" i="8"/>
  <c r="M215" i="8"/>
  <c r="M220" i="8"/>
  <c r="B220" i="8"/>
  <c r="B215" i="8"/>
  <c r="B157" i="8"/>
  <c r="B143" i="8"/>
  <c r="B125" i="8"/>
  <c r="B115" i="8"/>
  <c r="B103" i="8"/>
  <c r="B67" i="8"/>
  <c r="B35" i="8"/>
  <c r="G35" i="8"/>
  <c r="G67" i="8"/>
  <c r="G103" i="8"/>
  <c r="G115" i="8"/>
  <c r="G125" i="8"/>
  <c r="G143" i="8"/>
  <c r="G157" i="8"/>
  <c r="G215" i="8"/>
  <c r="G220" i="8"/>
  <c r="BO218" i="12"/>
  <c r="BN218" i="12"/>
  <c r="BM218" i="12"/>
  <c r="BL218" i="12"/>
  <c r="BK218" i="12"/>
  <c r="BJ218" i="12"/>
  <c r="BI218" i="12"/>
  <c r="BH218" i="12"/>
  <c r="BG218" i="12"/>
  <c r="BF218" i="12"/>
  <c r="BE218" i="12"/>
  <c r="BD218" i="12"/>
  <c r="BC218" i="12"/>
  <c r="BB218" i="12"/>
  <c r="BA218" i="12"/>
  <c r="AZ218" i="12"/>
  <c r="AY218" i="12"/>
  <c r="AX218"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A218" i="12"/>
  <c r="Z218" i="12"/>
  <c r="Y218" i="12"/>
  <c r="X218" i="12"/>
  <c r="W218" i="12"/>
  <c r="V218" i="12"/>
  <c r="U218" i="12"/>
  <c r="T218" i="12"/>
  <c r="S218" i="12"/>
  <c r="R218" i="12"/>
  <c r="Q218" i="12"/>
  <c r="P218" i="12"/>
  <c r="O218" i="12"/>
  <c r="N218" i="12"/>
  <c r="M218" i="12"/>
  <c r="L218" i="12"/>
  <c r="K218" i="12"/>
  <c r="J218" i="12"/>
  <c r="I218" i="12"/>
  <c r="H218" i="12"/>
  <c r="G218" i="12"/>
  <c r="F218" i="12"/>
  <c r="E218" i="12"/>
  <c r="D218" i="12"/>
  <c r="C218" i="12"/>
  <c r="B218" i="12"/>
  <c r="BO213" i="12"/>
  <c r="BN213" i="12"/>
  <c r="BM213" i="12"/>
  <c r="BL213" i="12"/>
  <c r="BK213" i="12"/>
  <c r="BJ213" i="12"/>
  <c r="BI213" i="12"/>
  <c r="BH213" i="12"/>
  <c r="BG213" i="12"/>
  <c r="BF213" i="12"/>
  <c r="BE213" i="12"/>
  <c r="BD213" i="12"/>
  <c r="BC213" i="12"/>
  <c r="BB213" i="12"/>
  <c r="BA213" i="12"/>
  <c r="AZ213" i="12"/>
  <c r="AX213"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A213" i="12"/>
  <c r="Z213" i="12"/>
  <c r="Y213" i="12"/>
  <c r="X213" i="12"/>
  <c r="W213" i="12"/>
  <c r="V213" i="12"/>
  <c r="U213" i="12"/>
  <c r="T213" i="12"/>
  <c r="S213" i="12"/>
  <c r="R213" i="12"/>
  <c r="Q213" i="12"/>
  <c r="P213" i="12"/>
  <c r="O213" i="12"/>
  <c r="N213" i="12"/>
  <c r="M213" i="12"/>
  <c r="L213" i="12"/>
  <c r="K213" i="12"/>
  <c r="J213" i="12"/>
  <c r="I213" i="12"/>
  <c r="H213" i="12"/>
  <c r="G213" i="12"/>
  <c r="F213" i="12"/>
  <c r="E213" i="12"/>
  <c r="D213" i="12"/>
  <c r="C213" i="12"/>
  <c r="B213" i="12"/>
  <c r="BO155" i="12"/>
  <c r="BN155" i="12"/>
  <c r="BM155" i="12"/>
  <c r="BL155" i="12"/>
  <c r="BK155" i="12"/>
  <c r="BJ155" i="12"/>
  <c r="BI155" i="12"/>
  <c r="BH155" i="12"/>
  <c r="BG155" i="12"/>
  <c r="BF155" i="12"/>
  <c r="BE155" i="12"/>
  <c r="BD155" i="12"/>
  <c r="BC155" i="12"/>
  <c r="BB155" i="12"/>
  <c r="BA155" i="12"/>
  <c r="AZ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A155" i="12"/>
  <c r="Z155" i="12"/>
  <c r="Y155" i="12"/>
  <c r="X155" i="12"/>
  <c r="W155" i="12"/>
  <c r="V155" i="12"/>
  <c r="U155" i="12"/>
  <c r="T155" i="12"/>
  <c r="S155" i="12"/>
  <c r="R155" i="12"/>
  <c r="Q155" i="12"/>
  <c r="P155" i="12"/>
  <c r="O155" i="12"/>
  <c r="N155" i="12"/>
  <c r="M155" i="12"/>
  <c r="L155" i="12"/>
  <c r="K155" i="12"/>
  <c r="J155" i="12"/>
  <c r="I155" i="12"/>
  <c r="H155" i="12"/>
  <c r="G155" i="12"/>
  <c r="F155" i="12"/>
  <c r="E155" i="12"/>
  <c r="D155" i="12"/>
  <c r="C155" i="12"/>
  <c r="B155" i="12"/>
  <c r="BO142" i="12"/>
  <c r="BN142" i="12"/>
  <c r="BM142" i="12"/>
  <c r="BL142" i="12"/>
  <c r="BK142" i="12"/>
  <c r="BJ142" i="12"/>
  <c r="BI142" i="12"/>
  <c r="BH142" i="12"/>
  <c r="BG142" i="12"/>
  <c r="BF142" i="12"/>
  <c r="BE142" i="12"/>
  <c r="BD142" i="12"/>
  <c r="BC142" i="12"/>
  <c r="BB142" i="12"/>
  <c r="BA142" i="12"/>
  <c r="AZ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A142" i="12"/>
  <c r="Z142" i="12"/>
  <c r="Y142" i="12"/>
  <c r="X142" i="12"/>
  <c r="W142" i="12"/>
  <c r="V142" i="12"/>
  <c r="U142" i="12"/>
  <c r="T142" i="12"/>
  <c r="S142" i="12"/>
  <c r="R142" i="12"/>
  <c r="Q142" i="12"/>
  <c r="P142" i="12"/>
  <c r="O142" i="12"/>
  <c r="N142" i="12"/>
  <c r="M142" i="12"/>
  <c r="L142" i="12"/>
  <c r="K142" i="12"/>
  <c r="J142" i="12"/>
  <c r="I142" i="12"/>
  <c r="H142" i="12"/>
  <c r="G142" i="12"/>
  <c r="F142" i="12"/>
  <c r="E142" i="12"/>
  <c r="D142" i="12"/>
  <c r="C142" i="12"/>
  <c r="B142" i="12"/>
  <c r="BO124" i="12"/>
  <c r="BN124" i="12"/>
  <c r="BM124" i="12"/>
  <c r="BL124" i="12"/>
  <c r="BK124" i="12"/>
  <c r="BJ124" i="12"/>
  <c r="BI124" i="12"/>
  <c r="BH124" i="12"/>
  <c r="BG124" i="12"/>
  <c r="BF124" i="12"/>
  <c r="BE124" i="12"/>
  <c r="BD124" i="12"/>
  <c r="BC124" i="12"/>
  <c r="BB124" i="12"/>
  <c r="BA124" i="12"/>
  <c r="AZ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C124" i="12"/>
  <c r="B124" i="12"/>
  <c r="BO114" i="12"/>
  <c r="BN114" i="12"/>
  <c r="BM114" i="12"/>
  <c r="BL114" i="12"/>
  <c r="BK114" i="12"/>
  <c r="BJ114" i="12"/>
  <c r="BI114" i="12"/>
  <c r="BH114" i="12"/>
  <c r="BG114" i="12"/>
  <c r="BF114" i="12"/>
  <c r="BE114" i="12"/>
  <c r="BD114" i="12"/>
  <c r="BC114" i="12"/>
  <c r="BB114" i="12"/>
  <c r="BA114" i="12"/>
  <c r="AZ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C114" i="12"/>
  <c r="B114" i="12"/>
  <c r="BO103" i="12"/>
  <c r="BN103" i="12"/>
  <c r="BM103" i="12"/>
  <c r="BL103" i="12"/>
  <c r="BK103" i="12"/>
  <c r="BJ103" i="12"/>
  <c r="BI103" i="12"/>
  <c r="BH103" i="12"/>
  <c r="BG103" i="12"/>
  <c r="BF103" i="12"/>
  <c r="BE103" i="12"/>
  <c r="BD103" i="12"/>
  <c r="BC103" i="12"/>
  <c r="BB103" i="12"/>
  <c r="BA103" i="12"/>
  <c r="AZ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C103" i="12"/>
  <c r="B103" i="12"/>
  <c r="BO67" i="12"/>
  <c r="BN67" i="12"/>
  <c r="BM67" i="12"/>
  <c r="BL67" i="12"/>
  <c r="BK67" i="12"/>
  <c r="BJ67" i="12"/>
  <c r="BI67" i="12"/>
  <c r="BH67" i="12"/>
  <c r="BG67" i="12"/>
  <c r="BF67" i="12"/>
  <c r="BE67" i="12"/>
  <c r="BD67" i="12"/>
  <c r="BC67" i="12"/>
  <c r="BB67" i="12"/>
  <c r="BA67" i="12"/>
  <c r="AZ67" i="12"/>
  <c r="AX67" i="12"/>
  <c r="AW67" i="12"/>
  <c r="AV67" i="12"/>
  <c r="AU67" i="12"/>
  <c r="AT67" i="12"/>
  <c r="AS67" i="12"/>
  <c r="AR67" i="12"/>
  <c r="AQ67" i="12"/>
  <c r="AP67" i="12"/>
  <c r="AO67" i="12"/>
  <c r="AN67" i="12"/>
  <c r="AM67" i="12"/>
  <c r="AL67" i="12"/>
  <c r="AK67" i="12"/>
  <c r="AJ67" i="12"/>
  <c r="AI67" i="12"/>
  <c r="AH67" i="12"/>
  <c r="AG67" i="12"/>
  <c r="AF67" i="12"/>
  <c r="AE67" i="12"/>
  <c r="AD67" i="12"/>
  <c r="AC67" i="12"/>
  <c r="AA67" i="12"/>
  <c r="Z67" i="12"/>
  <c r="Y67" i="12"/>
  <c r="X67" i="12"/>
  <c r="W67" i="12"/>
  <c r="V67" i="12"/>
  <c r="U67" i="12"/>
  <c r="T67" i="12"/>
  <c r="S67" i="12"/>
  <c r="R67" i="12"/>
  <c r="Q67" i="12"/>
  <c r="P67" i="12"/>
  <c r="O67" i="12"/>
  <c r="N67" i="12"/>
  <c r="M67" i="12"/>
  <c r="L67" i="12"/>
  <c r="K67" i="12"/>
  <c r="J67" i="12"/>
  <c r="I67" i="12"/>
  <c r="H67" i="12"/>
  <c r="G67" i="12"/>
  <c r="F67" i="12"/>
  <c r="E67" i="12"/>
  <c r="D67" i="12"/>
  <c r="C67" i="12"/>
  <c r="B67" i="12"/>
  <c r="BO35" i="12"/>
  <c r="BN35" i="12"/>
  <c r="BM35" i="12"/>
  <c r="BL35" i="12"/>
  <c r="BK35" i="12"/>
  <c r="BJ35" i="12"/>
  <c r="BI35" i="12"/>
  <c r="BH35" i="12"/>
  <c r="BG35" i="12"/>
  <c r="BF35" i="12"/>
  <c r="BE35" i="12"/>
  <c r="BD35" i="12"/>
  <c r="BC35" i="12"/>
  <c r="BB35" i="12"/>
  <c r="BA35" i="12"/>
  <c r="AZ35" i="12"/>
  <c r="AX35" i="12"/>
  <c r="AW35" i="12"/>
  <c r="AV35" i="12"/>
  <c r="AU35" i="12"/>
  <c r="AT35" i="12"/>
  <c r="AS35" i="12"/>
  <c r="AR35" i="12"/>
  <c r="AQ35" i="12"/>
  <c r="AP35" i="12"/>
  <c r="AO35" i="12"/>
  <c r="AN35" i="12"/>
  <c r="AM35" i="12"/>
  <c r="AL35" i="12"/>
  <c r="AK35" i="12"/>
  <c r="AJ35" i="12"/>
  <c r="AI35" i="12"/>
  <c r="AH35" i="12"/>
  <c r="AG35" i="12"/>
  <c r="AF35" i="12"/>
  <c r="AE35" i="12"/>
  <c r="AD35" i="12"/>
  <c r="AC35" i="12"/>
  <c r="AA35" i="12"/>
  <c r="Z35" i="12"/>
  <c r="Y35" i="12"/>
  <c r="X35" i="12"/>
  <c r="W35" i="12"/>
  <c r="V35" i="12"/>
  <c r="U35" i="12"/>
  <c r="T35" i="12"/>
  <c r="S35" i="12"/>
  <c r="R35" i="12"/>
  <c r="Q35" i="12"/>
  <c r="P35" i="12"/>
  <c r="O35" i="12"/>
  <c r="N35" i="12"/>
  <c r="M35" i="12"/>
  <c r="L35" i="12"/>
  <c r="K35" i="12"/>
  <c r="J35" i="12"/>
  <c r="I35" i="12"/>
  <c r="H35" i="12"/>
  <c r="G35" i="12"/>
  <c r="F35" i="12"/>
  <c r="E35" i="12"/>
  <c r="D35" i="12"/>
  <c r="C35" i="12"/>
  <c r="B35" i="12"/>
  <c r="BW4" i="12"/>
  <c r="BV4" i="12"/>
  <c r="BU4" i="12"/>
  <c r="R220" i="8" l="1"/>
  <c r="R215" i="8"/>
  <c r="R157" i="8"/>
  <c r="R143" i="8"/>
  <c r="R125" i="8"/>
  <c r="R115" i="8"/>
  <c r="R103" i="8"/>
  <c r="R67" i="8"/>
  <c r="R35" i="8"/>
  <c r="J215" i="8"/>
  <c r="J220" i="8"/>
  <c r="J157" i="8"/>
  <c r="J143" i="8"/>
  <c r="J125" i="8"/>
  <c r="J115" i="8"/>
  <c r="J103" i="8"/>
  <c r="J67" i="8"/>
  <c r="J35" i="8"/>
  <c r="V35" i="8"/>
  <c r="W35" i="8"/>
  <c r="X35" i="8"/>
  <c r="V67" i="8"/>
  <c r="W67" i="8"/>
  <c r="X67" i="8"/>
  <c r="V103" i="8"/>
  <c r="W103" i="8"/>
  <c r="X103" i="8"/>
  <c r="V115" i="8"/>
  <c r="W115" i="8"/>
  <c r="X115" i="8"/>
  <c r="V125" i="8"/>
  <c r="W125" i="8"/>
  <c r="X125" i="8"/>
  <c r="V143" i="8"/>
  <c r="W143" i="8"/>
  <c r="X143" i="8"/>
  <c r="V157" i="8"/>
  <c r="W157" i="8"/>
  <c r="X157" i="8"/>
  <c r="V215" i="8"/>
  <c r="W215" i="8"/>
  <c r="X215" i="8"/>
  <c r="V220" i="8"/>
  <c r="W220" i="8"/>
  <c r="X220" i="8"/>
  <c r="U220" i="8"/>
  <c r="U215" i="8"/>
  <c r="U157" i="8"/>
  <c r="U143" i="8"/>
  <c r="U125" i="8"/>
  <c r="U115" i="8"/>
  <c r="U103" i="8"/>
  <c r="U67" i="8"/>
  <c r="U35" i="8"/>
  <c r="AE220" i="8"/>
  <c r="AE215" i="8"/>
  <c r="AE157" i="8"/>
  <c r="AE143" i="8"/>
  <c r="AE125" i="8"/>
  <c r="AE115" i="8"/>
  <c r="AE103" i="8"/>
  <c r="AE67" i="8"/>
  <c r="AE35" i="8"/>
  <c r="T220" i="8"/>
  <c r="T215" i="8"/>
  <c r="T157" i="8"/>
  <c r="T143" i="8"/>
  <c r="T125" i="8"/>
  <c r="T115" i="8"/>
  <c r="T103" i="8"/>
  <c r="T67" i="8"/>
  <c r="T35" i="8"/>
  <c r="BA220" i="8"/>
  <c r="AZ220" i="8"/>
  <c r="BA215" i="8"/>
  <c r="AZ215" i="8"/>
  <c r="BA157" i="8"/>
  <c r="AZ157" i="8"/>
  <c r="BA143" i="8"/>
  <c r="AZ143" i="8"/>
  <c r="BA125" i="8"/>
  <c r="AZ125" i="8"/>
  <c r="BA115" i="8"/>
  <c r="AZ115" i="8"/>
  <c r="BA103" i="8"/>
  <c r="AZ103" i="8"/>
  <c r="BA67" i="8"/>
  <c r="AZ67" i="8"/>
  <c r="BA35" i="8"/>
  <c r="AZ35" i="8"/>
  <c r="AO220" i="8"/>
  <c r="AN220" i="8"/>
  <c r="AO215" i="8"/>
  <c r="AN215" i="8"/>
  <c r="AO157" i="8"/>
  <c r="AN157" i="8"/>
  <c r="AO143" i="8"/>
  <c r="AN143" i="8"/>
  <c r="AO125" i="8"/>
  <c r="AN125" i="8"/>
  <c r="AO115" i="8"/>
  <c r="AN115" i="8"/>
  <c r="AO103" i="8"/>
  <c r="AN103" i="8"/>
  <c r="AO67" i="8"/>
  <c r="AN67" i="8"/>
  <c r="AO35" i="8"/>
  <c r="AN35" i="8"/>
  <c r="AF220" i="8"/>
  <c r="AD220" i="8"/>
  <c r="AC220" i="8"/>
  <c r="AF215" i="8"/>
  <c r="AD215" i="8"/>
  <c r="AC215" i="8"/>
  <c r="AF157" i="8"/>
  <c r="AD157" i="8"/>
  <c r="AC157" i="8"/>
  <c r="AF143" i="8"/>
  <c r="AD143" i="8"/>
  <c r="AC143" i="8"/>
  <c r="AF125" i="8"/>
  <c r="AD125" i="8"/>
  <c r="AC125" i="8"/>
  <c r="AF115" i="8"/>
  <c r="AD115" i="8"/>
  <c r="AC115" i="8"/>
  <c r="AF103" i="8"/>
  <c r="AD103" i="8"/>
  <c r="AC103" i="8"/>
  <c r="AF67" i="8"/>
  <c r="AD67" i="8"/>
  <c r="AC67" i="8"/>
  <c r="AF35" i="8"/>
  <c r="AD35" i="8"/>
  <c r="AC35" i="8"/>
  <c r="BC35" i="8"/>
  <c r="BC67" i="8"/>
  <c r="BC103" i="8"/>
  <c r="BC115" i="8"/>
  <c r="BC125" i="8"/>
  <c r="BC143" i="8"/>
  <c r="BC157" i="8"/>
  <c r="BC215" i="8"/>
  <c r="BC220" i="8"/>
  <c r="AS220" i="8"/>
  <c r="AS215" i="8"/>
  <c r="AS157" i="8"/>
  <c r="AS143" i="8"/>
  <c r="AS125" i="8"/>
  <c r="AS115" i="8"/>
  <c r="AS103" i="8"/>
  <c r="AS67" i="8"/>
  <c r="AS35" i="8"/>
  <c r="AW220" i="8"/>
  <c r="AV220" i="8"/>
  <c r="AW215" i="8"/>
  <c r="AV215" i="8"/>
  <c r="AW157" i="8"/>
  <c r="AV157" i="8"/>
  <c r="AW143" i="8"/>
  <c r="AV143" i="8"/>
  <c r="AW125" i="8"/>
  <c r="AV125" i="8"/>
  <c r="AW115" i="8"/>
  <c r="AV115" i="8"/>
  <c r="AW103" i="8"/>
  <c r="AV103" i="8"/>
  <c r="AW67" i="8"/>
  <c r="AV67" i="8"/>
  <c r="AW35" i="8"/>
  <c r="AV35" i="8"/>
  <c r="P220" i="8"/>
  <c r="P215" i="8"/>
  <c r="P157" i="8"/>
  <c r="P143" i="8"/>
  <c r="P125" i="8"/>
  <c r="P115" i="8"/>
  <c r="P103" i="8"/>
  <c r="P67" i="8"/>
  <c r="P35" i="8"/>
  <c r="Q220" i="8"/>
  <c r="Q215" i="8"/>
  <c r="Q157" i="8"/>
  <c r="Q143" i="8"/>
  <c r="Q125" i="8"/>
  <c r="Q115" i="8"/>
  <c r="Q103" i="8"/>
  <c r="Q67" i="8"/>
  <c r="Q35" i="8"/>
  <c r="N220" i="8"/>
  <c r="N215" i="8"/>
  <c r="N157" i="8"/>
  <c r="N143" i="8"/>
  <c r="N125" i="8"/>
  <c r="N115" i="8"/>
  <c r="N103" i="8"/>
  <c r="N67" i="8"/>
  <c r="N35" i="8"/>
  <c r="L220" i="8"/>
  <c r="L215" i="8"/>
  <c r="L157" i="8"/>
  <c r="L143" i="8"/>
  <c r="L125" i="8"/>
  <c r="L115" i="8"/>
  <c r="L103" i="8"/>
  <c r="L67" i="8"/>
  <c r="L35" i="8"/>
  <c r="I220" i="8"/>
  <c r="I215" i="8"/>
  <c r="I157" i="8"/>
  <c r="I143" i="8"/>
  <c r="I125" i="8"/>
  <c r="I115" i="8"/>
  <c r="I103" i="8"/>
  <c r="I67" i="8"/>
  <c r="I35" i="8"/>
  <c r="AP220" i="8"/>
  <c r="AP215" i="8"/>
  <c r="AP157" i="8"/>
  <c r="AP143" i="8"/>
  <c r="AP125" i="8"/>
  <c r="AP115" i="8"/>
  <c r="AP103" i="8"/>
  <c r="AP67" i="8"/>
  <c r="AP35" i="8"/>
  <c r="Z35" i="8"/>
  <c r="Z67" i="8"/>
  <c r="Z103" i="8"/>
  <c r="Z115" i="8"/>
  <c r="Z125" i="8"/>
  <c r="Z143" i="8"/>
  <c r="Z157" i="8"/>
  <c r="Z215" i="8"/>
  <c r="Z220" i="8"/>
  <c r="AB220" i="8"/>
  <c r="AB215" i="8"/>
  <c r="AB157" i="8"/>
  <c r="AB143" i="8"/>
  <c r="AB125" i="8"/>
  <c r="AB115" i="8"/>
  <c r="AB103" i="8"/>
  <c r="AB67" i="8"/>
  <c r="AB35" i="8"/>
  <c r="Y220" i="8"/>
  <c r="Y215" i="8"/>
  <c r="Y157" i="8"/>
  <c r="Y143" i="8"/>
  <c r="Y125" i="8"/>
  <c r="Y115" i="8"/>
  <c r="Y103" i="8"/>
  <c r="Y67" i="8"/>
  <c r="Y35" i="8"/>
  <c r="BD220" i="8"/>
  <c r="BD215" i="8"/>
  <c r="BD157" i="8"/>
  <c r="BD143" i="8"/>
  <c r="BD125" i="8"/>
  <c r="BD115" i="8"/>
  <c r="BD103" i="8"/>
  <c r="BD67" i="8"/>
  <c r="BD35" i="8"/>
  <c r="H35" i="8"/>
  <c r="H67" i="8"/>
  <c r="H103" i="8"/>
  <c r="H115" i="8"/>
  <c r="H125" i="8"/>
  <c r="H143" i="8"/>
  <c r="H157" i="8"/>
  <c r="H215" i="8"/>
  <c r="H220" i="8"/>
  <c r="O220" i="8"/>
  <c r="O215" i="8"/>
  <c r="O157" i="8"/>
  <c r="O143" i="8"/>
  <c r="O125" i="8"/>
  <c r="O115" i="8"/>
  <c r="O103" i="8"/>
  <c r="O67" i="8"/>
  <c r="O35" i="8"/>
  <c r="AM220" i="8"/>
  <c r="AK220" i="8"/>
  <c r="AM215" i="8"/>
  <c r="AK215" i="8"/>
  <c r="AM157" i="8"/>
  <c r="AK157" i="8"/>
  <c r="AM143" i="8"/>
  <c r="AK143" i="8"/>
  <c r="AM125" i="8"/>
  <c r="AK125" i="8"/>
  <c r="AM115" i="8"/>
  <c r="AK115" i="8"/>
  <c r="AM103" i="8"/>
  <c r="AK103" i="8"/>
  <c r="AM67" i="8"/>
  <c r="AK67" i="8"/>
  <c r="AM35" i="8"/>
  <c r="AK35" i="8"/>
  <c r="BG220" i="8"/>
  <c r="BG215" i="8"/>
  <c r="BG157" i="8"/>
  <c r="BG143" i="8"/>
  <c r="BG125" i="8"/>
  <c r="BG115" i="8"/>
  <c r="BG103" i="8"/>
  <c r="BG67" i="8"/>
  <c r="BG35" i="8"/>
  <c r="AR35" i="8"/>
  <c r="AR67" i="8"/>
  <c r="AR103" i="8"/>
  <c r="AR115" i="8"/>
  <c r="AR125" i="8"/>
  <c r="AR143" i="8"/>
  <c r="AR157" i="8"/>
  <c r="AR215" i="8"/>
  <c r="AR220" i="8"/>
  <c r="S220" i="8"/>
  <c r="S215" i="8"/>
  <c r="S157" i="8"/>
  <c r="S143" i="8"/>
  <c r="S125" i="8"/>
  <c r="S115" i="8"/>
  <c r="S103" i="8"/>
  <c r="S67" i="8"/>
  <c r="S35" i="8"/>
  <c r="BF220" i="8"/>
  <c r="BF215" i="8"/>
  <c r="BF157" i="8"/>
  <c r="BF143" i="8"/>
  <c r="BF125" i="8"/>
  <c r="BF115" i="8"/>
  <c r="BF103" i="8"/>
  <c r="BF67" i="8"/>
  <c r="BF35" i="8"/>
  <c r="BE35" i="8"/>
  <c r="BE67" i="8"/>
  <c r="BE103" i="8"/>
  <c r="BE115" i="8"/>
  <c r="BE125" i="8"/>
  <c r="BE143" i="8"/>
  <c r="BE157" i="8"/>
  <c r="BE215" i="8"/>
  <c r="BE220" i="8"/>
  <c r="K220" i="8"/>
  <c r="K215" i="8"/>
  <c r="K157" i="8"/>
  <c r="K143" i="8"/>
  <c r="K125" i="8"/>
  <c r="K115" i="8"/>
  <c r="K103" i="8"/>
  <c r="K67" i="8"/>
  <c r="K35" i="8"/>
  <c r="AJ220" i="8"/>
  <c r="AI220" i="8"/>
  <c r="AJ215" i="8"/>
  <c r="AI215" i="8"/>
  <c r="AJ157" i="8"/>
  <c r="AI157" i="8"/>
  <c r="AJ143" i="8"/>
  <c r="AI143" i="8"/>
  <c r="AJ125" i="8"/>
  <c r="AI125" i="8"/>
  <c r="AJ115" i="8"/>
  <c r="AI115" i="8"/>
  <c r="AJ103" i="8"/>
  <c r="AI103" i="8"/>
  <c r="AJ67" i="8"/>
  <c r="AI67" i="8"/>
  <c r="AJ35" i="8"/>
  <c r="AI35" i="8"/>
  <c r="E152" i="6"/>
  <c r="E107" i="6"/>
  <c r="E83" i="6"/>
  <c r="E143" i="6"/>
  <c r="AY220" i="8"/>
  <c r="AX220" i="8"/>
  <c r="AY215" i="8"/>
  <c r="AX215" i="8"/>
  <c r="AY157" i="8"/>
  <c r="AX157" i="8"/>
  <c r="AY143" i="8"/>
  <c r="AX143" i="8"/>
  <c r="AY125" i="8"/>
  <c r="AX125" i="8"/>
  <c r="AY115" i="8"/>
  <c r="AX115" i="8"/>
  <c r="AY103" i="8"/>
  <c r="AX103" i="8"/>
  <c r="AY67" i="8"/>
  <c r="AX67" i="8"/>
  <c r="AY35" i="8"/>
  <c r="AX35" i="8"/>
  <c r="AU220" i="8"/>
  <c r="AU215" i="8"/>
  <c r="AU157" i="8"/>
  <c r="AU143" i="8"/>
  <c r="AU125" i="8"/>
  <c r="AU115" i="8"/>
  <c r="AU103" i="8"/>
  <c r="AU67" i="8"/>
  <c r="AU35" i="8"/>
  <c r="BB220" i="8"/>
  <c r="BB215" i="8"/>
  <c r="BB157" i="8"/>
  <c r="BB143" i="8"/>
  <c r="BB125" i="8"/>
  <c r="BB115" i="8"/>
  <c r="BB103" i="8"/>
  <c r="BB67" i="8"/>
  <c r="BB35" i="8"/>
  <c r="AQ35" i="8"/>
  <c r="AQ67" i="8"/>
  <c r="AQ103" i="8"/>
  <c r="AQ115" i="8"/>
  <c r="AQ125" i="8"/>
  <c r="AQ143" i="8"/>
  <c r="AQ157" i="8"/>
  <c r="AQ215" i="8"/>
  <c r="AQ220" i="8"/>
  <c r="AH220" i="8"/>
  <c r="AG220" i="8"/>
  <c r="AH215" i="8"/>
  <c r="AG215" i="8"/>
  <c r="AH157" i="8"/>
  <c r="AG157" i="8"/>
  <c r="AH143" i="8"/>
  <c r="AG143" i="8"/>
  <c r="AH125" i="8"/>
  <c r="AG125" i="8"/>
  <c r="AH115" i="8"/>
  <c r="AG115" i="8"/>
  <c r="AH103" i="8"/>
  <c r="AG103" i="8"/>
  <c r="AH67" i="8"/>
  <c r="AG67" i="8"/>
  <c r="AH35" i="8"/>
  <c r="AG35" i="8"/>
  <c r="AA220" i="8"/>
  <c r="AA215" i="8"/>
  <c r="AA157" i="8"/>
  <c r="AA143" i="8"/>
  <c r="AA125" i="8"/>
  <c r="AA115" i="8"/>
  <c r="AA103" i="8"/>
  <c r="AA67" i="8"/>
  <c r="AA35" i="8"/>
  <c r="AT220" i="8"/>
  <c r="AT215" i="8"/>
  <c r="AT157" i="8"/>
  <c r="AT143" i="8"/>
  <c r="AT125" i="8"/>
  <c r="AT115" i="8"/>
  <c r="AT103" i="8"/>
  <c r="AT67" i="8"/>
  <c r="AT35" i="8"/>
  <c r="AA4" i="5"/>
  <c r="AB4" i="5"/>
  <c r="AC4" i="5"/>
  <c r="D122" i="6" l="1"/>
  <c r="D118" i="6"/>
  <c r="D121" i="6"/>
  <c r="D117" i="6"/>
  <c r="D115" i="6"/>
  <c r="D120" i="6"/>
  <c r="D116" i="6"/>
  <c r="D119" i="6"/>
  <c r="C120" i="6"/>
  <c r="C118" i="6"/>
  <c r="C115" i="6"/>
  <c r="C122" i="6"/>
  <c r="C116" i="6"/>
  <c r="C121" i="6"/>
  <c r="C119" i="6"/>
  <c r="C117" i="6"/>
  <c r="B120" i="6"/>
  <c r="B116" i="6"/>
  <c r="B119" i="6"/>
  <c r="B121" i="6"/>
  <c r="B117" i="6"/>
  <c r="B118" i="6"/>
  <c r="B115" i="6"/>
  <c r="B122" i="6"/>
  <c r="C94" i="6"/>
  <c r="C205" i="6"/>
  <c r="C169" i="6"/>
  <c r="D169" i="6"/>
  <c r="D205" i="6"/>
  <c r="D94" i="6"/>
  <c r="B169" i="6"/>
  <c r="B94" i="6"/>
  <c r="B205" i="6"/>
  <c r="B206" i="6"/>
  <c r="B194" i="6"/>
  <c r="B190" i="6"/>
  <c r="B181" i="6"/>
  <c r="B209" i="6"/>
  <c r="B195" i="6"/>
  <c r="B191" i="6"/>
  <c r="B185" i="6"/>
  <c r="B202" i="6"/>
  <c r="B193" i="6"/>
  <c r="B210" i="6"/>
  <c r="B198" i="6"/>
  <c r="B192" i="6"/>
  <c r="B186" i="6"/>
  <c r="B187" i="6"/>
  <c r="B180" i="6"/>
  <c r="C209" i="6"/>
  <c r="C195" i="6"/>
  <c r="C191" i="6"/>
  <c r="C185" i="6"/>
  <c r="C206" i="6"/>
  <c r="C194" i="6"/>
  <c r="C190" i="6"/>
  <c r="C181" i="6"/>
  <c r="C210" i="6"/>
  <c r="C198" i="6"/>
  <c r="C192" i="6"/>
  <c r="C186" i="6"/>
  <c r="C202" i="6"/>
  <c r="C193" i="6"/>
  <c r="C187" i="6"/>
  <c r="C180" i="6"/>
  <c r="D210" i="6"/>
  <c r="D198" i="6"/>
  <c r="D192" i="6"/>
  <c r="D186" i="6"/>
  <c r="D202" i="6"/>
  <c r="D193" i="6"/>
  <c r="D187" i="6"/>
  <c r="D180" i="6"/>
  <c r="D185" i="6"/>
  <c r="D206" i="6"/>
  <c r="D194" i="6"/>
  <c r="D190" i="6"/>
  <c r="D181" i="6"/>
  <c r="D209" i="6"/>
  <c r="D195" i="6"/>
  <c r="D191" i="6"/>
  <c r="B179" i="6"/>
  <c r="B175" i="6"/>
  <c r="B171" i="6"/>
  <c r="B164" i="6"/>
  <c r="B160" i="6"/>
  <c r="B156" i="6"/>
  <c r="B149" i="6"/>
  <c r="B145" i="6"/>
  <c r="B152" i="6"/>
  <c r="B136" i="6"/>
  <c r="B130" i="6"/>
  <c r="B112" i="6"/>
  <c r="B108" i="6"/>
  <c r="B101" i="6"/>
  <c r="B95" i="6"/>
  <c r="B88" i="6"/>
  <c r="B84" i="6"/>
  <c r="B77" i="6"/>
  <c r="B73" i="6"/>
  <c r="B66" i="6"/>
  <c r="B59" i="6"/>
  <c r="B55" i="6"/>
  <c r="B51" i="6"/>
  <c r="B43" i="6"/>
  <c r="B39" i="6"/>
  <c r="B176" i="6"/>
  <c r="B172" i="6"/>
  <c r="B165" i="6"/>
  <c r="B161" i="6"/>
  <c r="B157" i="6"/>
  <c r="B153" i="6"/>
  <c r="B146" i="6"/>
  <c r="B138" i="6"/>
  <c r="B143" i="6"/>
  <c r="B137" i="6"/>
  <c r="B131" i="6"/>
  <c r="B109" i="6"/>
  <c r="B102" i="6"/>
  <c r="B96" i="6"/>
  <c r="B89" i="6"/>
  <c r="B85" i="6"/>
  <c r="B78" i="6"/>
  <c r="B68" i="6"/>
  <c r="B67" i="6"/>
  <c r="B63" i="6"/>
  <c r="B56" i="6"/>
  <c r="B52" i="6"/>
  <c r="B46" i="6"/>
  <c r="B40" i="6"/>
  <c r="B178" i="6"/>
  <c r="B177" i="6"/>
  <c r="B173" i="6"/>
  <c r="B166" i="6"/>
  <c r="B162" i="6"/>
  <c r="B158" i="6"/>
  <c r="B154" i="6"/>
  <c r="B147" i="6"/>
  <c r="B140" i="6"/>
  <c r="B139" i="6"/>
  <c r="B134" i="6"/>
  <c r="B126" i="6"/>
  <c r="B110" i="6"/>
  <c r="B103" i="6"/>
  <c r="B97" i="6"/>
  <c r="B90" i="6"/>
  <c r="B86" i="6"/>
  <c r="B79" i="6"/>
  <c r="B69" i="6"/>
  <c r="B71" i="6"/>
  <c r="B64" i="6"/>
  <c r="B57" i="6"/>
  <c r="B53" i="6"/>
  <c r="B47" i="6"/>
  <c r="B41" i="6"/>
  <c r="B174" i="6"/>
  <c r="B170" i="6"/>
  <c r="B148" i="6"/>
  <c r="B127" i="6"/>
  <c r="B104" i="6"/>
  <c r="B80" i="6"/>
  <c r="B58" i="6"/>
  <c r="B38" i="6"/>
  <c r="B91" i="6"/>
  <c r="B50" i="6"/>
  <c r="B163" i="6"/>
  <c r="B70" i="6"/>
  <c r="B155" i="6"/>
  <c r="B135" i="6"/>
  <c r="B111" i="6"/>
  <c r="B87" i="6"/>
  <c r="B65" i="6"/>
  <c r="B42" i="6"/>
  <c r="B159" i="6"/>
  <c r="B72" i="6"/>
  <c r="B144" i="6"/>
  <c r="B98" i="6"/>
  <c r="B54" i="6"/>
  <c r="C176" i="6"/>
  <c r="C172" i="6"/>
  <c r="C165" i="6"/>
  <c r="C161" i="6"/>
  <c r="C157" i="6"/>
  <c r="C153" i="6"/>
  <c r="C146" i="6"/>
  <c r="C138" i="6"/>
  <c r="C137" i="6"/>
  <c r="C131" i="6"/>
  <c r="C109" i="6"/>
  <c r="C96" i="6"/>
  <c r="C89" i="6"/>
  <c r="C85" i="6"/>
  <c r="C78" i="6"/>
  <c r="C68" i="6"/>
  <c r="C67" i="6"/>
  <c r="C63" i="6"/>
  <c r="C56" i="6"/>
  <c r="C52" i="6"/>
  <c r="C46" i="6"/>
  <c r="C40" i="6"/>
  <c r="C177" i="6"/>
  <c r="C173" i="6"/>
  <c r="C166" i="6"/>
  <c r="C162" i="6"/>
  <c r="C158" i="6"/>
  <c r="C154" i="6"/>
  <c r="C147" i="6"/>
  <c r="C140" i="6"/>
  <c r="C152" i="6"/>
  <c r="C134" i="6"/>
  <c r="C126" i="6"/>
  <c r="C110" i="6"/>
  <c r="C103" i="6"/>
  <c r="C97" i="6"/>
  <c r="C90" i="6"/>
  <c r="C86" i="6"/>
  <c r="C79" i="6"/>
  <c r="C69" i="6"/>
  <c r="C71" i="6"/>
  <c r="C64" i="6"/>
  <c r="C57" i="6"/>
  <c r="C53" i="6"/>
  <c r="C47" i="6"/>
  <c r="C41" i="6"/>
  <c r="C175" i="6"/>
  <c r="C178" i="6"/>
  <c r="C174" i="6"/>
  <c r="C170" i="6"/>
  <c r="C163" i="6"/>
  <c r="C159" i="6"/>
  <c r="C155" i="6"/>
  <c r="C148" i="6"/>
  <c r="C144" i="6"/>
  <c r="C143" i="6"/>
  <c r="C135" i="6"/>
  <c r="C127" i="6"/>
  <c r="C111" i="6"/>
  <c r="C104" i="6"/>
  <c r="C98" i="6"/>
  <c r="C91" i="6"/>
  <c r="C87" i="6"/>
  <c r="C80" i="6"/>
  <c r="C70" i="6"/>
  <c r="C72" i="6"/>
  <c r="C65" i="6"/>
  <c r="C58" i="6"/>
  <c r="C54" i="6"/>
  <c r="C50" i="6"/>
  <c r="C42" i="6"/>
  <c r="C38" i="6"/>
  <c r="C179" i="6"/>
  <c r="C171" i="6"/>
  <c r="C156" i="6"/>
  <c r="C136" i="6"/>
  <c r="C112" i="6"/>
  <c r="C88" i="6"/>
  <c r="C66" i="6"/>
  <c r="C43" i="6"/>
  <c r="C145" i="6"/>
  <c r="C77" i="6"/>
  <c r="C149" i="6"/>
  <c r="C108" i="6"/>
  <c r="C59" i="6"/>
  <c r="C160" i="6"/>
  <c r="C139" i="6"/>
  <c r="C102" i="6"/>
  <c r="C95" i="6"/>
  <c r="C73" i="6"/>
  <c r="C51" i="6"/>
  <c r="C164" i="6"/>
  <c r="C101" i="6"/>
  <c r="C55" i="6"/>
  <c r="C130" i="6"/>
  <c r="C84" i="6"/>
  <c r="C39" i="6"/>
  <c r="D177" i="6"/>
  <c r="D173" i="6"/>
  <c r="D166" i="6"/>
  <c r="D162" i="6"/>
  <c r="D158" i="6"/>
  <c r="D154" i="6"/>
  <c r="D147" i="6"/>
  <c r="D140" i="6"/>
  <c r="D139" i="6"/>
  <c r="D134" i="6"/>
  <c r="D126" i="6"/>
  <c r="D110" i="6"/>
  <c r="D103" i="6"/>
  <c r="D102" i="6"/>
  <c r="D97" i="6"/>
  <c r="D90" i="6"/>
  <c r="D86" i="6"/>
  <c r="D79" i="6"/>
  <c r="D69" i="6"/>
  <c r="D71" i="6"/>
  <c r="D64" i="6"/>
  <c r="D57" i="6"/>
  <c r="D53" i="6"/>
  <c r="D47" i="6"/>
  <c r="D41" i="6"/>
  <c r="D178" i="6"/>
  <c r="D174" i="6"/>
  <c r="D170" i="6"/>
  <c r="D163" i="6"/>
  <c r="D159" i="6"/>
  <c r="D155" i="6"/>
  <c r="D148" i="6"/>
  <c r="D144" i="6"/>
  <c r="D135" i="6"/>
  <c r="D127" i="6"/>
  <c r="D111" i="6"/>
  <c r="D104" i="6"/>
  <c r="D98" i="6"/>
  <c r="D91" i="6"/>
  <c r="D87" i="6"/>
  <c r="D80" i="6"/>
  <c r="D70" i="6"/>
  <c r="D72" i="6"/>
  <c r="D65" i="6"/>
  <c r="D58" i="6"/>
  <c r="D54" i="6"/>
  <c r="D50" i="6"/>
  <c r="D42" i="6"/>
  <c r="D38" i="6"/>
  <c r="D172" i="6"/>
  <c r="D179" i="6"/>
  <c r="D175" i="6"/>
  <c r="D171" i="6"/>
  <c r="D164" i="6"/>
  <c r="D160" i="6"/>
  <c r="D156" i="6"/>
  <c r="D149" i="6"/>
  <c r="D145" i="6"/>
  <c r="D152" i="6"/>
  <c r="D136" i="6"/>
  <c r="D130" i="6"/>
  <c r="D112" i="6"/>
  <c r="D108" i="6"/>
  <c r="D101" i="6"/>
  <c r="D95" i="6"/>
  <c r="D88" i="6"/>
  <c r="D84" i="6"/>
  <c r="D77" i="6"/>
  <c r="D73" i="6"/>
  <c r="D66" i="6"/>
  <c r="D59" i="6"/>
  <c r="D55" i="6"/>
  <c r="D51" i="6"/>
  <c r="D43" i="6"/>
  <c r="D39" i="6"/>
  <c r="D176" i="6"/>
  <c r="D161" i="6"/>
  <c r="D138" i="6"/>
  <c r="D96" i="6"/>
  <c r="D68" i="6"/>
  <c r="D52" i="6"/>
  <c r="D109" i="6"/>
  <c r="D63" i="6"/>
  <c r="D137" i="6"/>
  <c r="D89" i="6"/>
  <c r="D46" i="6"/>
  <c r="D165" i="6"/>
  <c r="D146" i="6"/>
  <c r="D78" i="6"/>
  <c r="D56" i="6"/>
  <c r="D153" i="6"/>
  <c r="D143" i="6"/>
  <c r="D131" i="6"/>
  <c r="D85" i="6"/>
  <c r="D40" i="6"/>
  <c r="D157" i="6"/>
  <c r="D67" i="6"/>
  <c r="B33" i="6"/>
  <c r="B29" i="6"/>
  <c r="B24" i="6"/>
  <c r="B18" i="6"/>
  <c r="B14" i="6"/>
  <c r="B8" i="6"/>
  <c r="B129" i="6"/>
  <c r="B83" i="6"/>
  <c r="B125" i="6"/>
  <c r="B100" i="6"/>
  <c r="B208" i="6"/>
  <c r="B34" i="6"/>
  <c r="B30" i="6"/>
  <c r="B25" i="6"/>
  <c r="B19" i="6"/>
  <c r="B15" i="6"/>
  <c r="B9" i="6"/>
  <c r="B133" i="6"/>
  <c r="B189" i="6"/>
  <c r="B28" i="6"/>
  <c r="B17" i="6"/>
  <c r="B11" i="6"/>
  <c r="B114" i="6"/>
  <c r="B27" i="6"/>
  <c r="B31" i="6"/>
  <c r="B26" i="6"/>
  <c r="B22" i="6"/>
  <c r="B16" i="6"/>
  <c r="B10" i="6"/>
  <c r="B184" i="6"/>
  <c r="B201" i="6"/>
  <c r="B197" i="6"/>
  <c r="B32" i="6"/>
  <c r="B23" i="6"/>
  <c r="C107" i="6"/>
  <c r="C34" i="6"/>
  <c r="C30" i="6"/>
  <c r="C25" i="6"/>
  <c r="C19" i="6"/>
  <c r="C15" i="6"/>
  <c r="C9" i="6"/>
  <c r="C133" i="6"/>
  <c r="C189" i="6"/>
  <c r="C24" i="6"/>
  <c r="C8" i="6"/>
  <c r="C27" i="6"/>
  <c r="C31" i="6"/>
  <c r="C26" i="6"/>
  <c r="C22" i="6"/>
  <c r="C16" i="6"/>
  <c r="C10" i="6"/>
  <c r="C184" i="6"/>
  <c r="C201" i="6"/>
  <c r="C197" i="6"/>
  <c r="C32" i="6"/>
  <c r="C28" i="6"/>
  <c r="C23" i="6"/>
  <c r="C17" i="6"/>
  <c r="C11" i="6"/>
  <c r="C125" i="6"/>
  <c r="C114" i="6"/>
  <c r="C100" i="6"/>
  <c r="C208" i="6"/>
  <c r="C33" i="6"/>
  <c r="C29" i="6"/>
  <c r="C18" i="6"/>
  <c r="C14" i="6"/>
  <c r="C129" i="6"/>
  <c r="D27" i="6"/>
  <c r="D31" i="6"/>
  <c r="D26" i="6"/>
  <c r="D22" i="6"/>
  <c r="D16" i="6"/>
  <c r="D10" i="6"/>
  <c r="D184" i="6"/>
  <c r="D201" i="6"/>
  <c r="D197" i="6"/>
  <c r="D30" i="6"/>
  <c r="D19" i="6"/>
  <c r="D15" i="6"/>
  <c r="D133" i="6"/>
  <c r="D32" i="6"/>
  <c r="D28" i="6"/>
  <c r="D23" i="6"/>
  <c r="D17" i="6"/>
  <c r="D11" i="6"/>
  <c r="D125" i="6"/>
  <c r="D114" i="6"/>
  <c r="D100" i="6"/>
  <c r="D208" i="6"/>
  <c r="D33" i="6"/>
  <c r="D29" i="6"/>
  <c r="D24" i="6"/>
  <c r="D18" i="6"/>
  <c r="D14" i="6"/>
  <c r="D8" i="6"/>
  <c r="D129" i="6"/>
  <c r="D34" i="6"/>
  <c r="D25" i="6"/>
  <c r="D9" i="6"/>
  <c r="D189" i="6"/>
  <c r="D107" i="6"/>
  <c r="D4" i="6"/>
  <c r="D83" i="6"/>
  <c r="C83" i="6"/>
  <c r="C4" i="6"/>
  <c r="B4" i="6"/>
  <c r="B107" i="6"/>
  <c r="C21" i="6" l="1"/>
  <c r="C45" i="6"/>
  <c r="B21" i="6"/>
  <c r="B45" i="6"/>
  <c r="D21" i="6"/>
  <c r="D45" i="6"/>
  <c r="D76" i="6"/>
  <c r="D62" i="6"/>
  <c r="D49" i="6"/>
  <c r="D37" i="6"/>
  <c r="D13" i="6"/>
  <c r="D7" i="6"/>
  <c r="B76" i="6"/>
  <c r="B62" i="6"/>
  <c r="B49" i="6"/>
  <c r="B37" i="6"/>
  <c r="B13" i="6"/>
  <c r="B7" i="6"/>
  <c r="C13" i="6"/>
  <c r="C62" i="6"/>
  <c r="C76" i="6"/>
  <c r="C49" i="6"/>
  <c r="C37" i="6"/>
  <c r="C7" i="6"/>
</calcChain>
</file>

<file path=xl/sharedStrings.xml><?xml version="1.0" encoding="utf-8"?>
<sst xmlns="http://schemas.openxmlformats.org/spreadsheetml/2006/main" count="38201" uniqueCount="6356">
  <si>
    <t>Rettung von Menschenleben oder Sachen</t>
  </si>
  <si>
    <t>Tauchtypische Gesundheitsschädigungen</t>
  </si>
  <si>
    <t>Verbesserte Gliedertaxe</t>
  </si>
  <si>
    <t>Krankenhaustagegeld in gemischten Instituten</t>
  </si>
  <si>
    <t xml:space="preserve">Krankenhaustagegeld bis </t>
  </si>
  <si>
    <t>Weiterführung der Kinderunfall bei Tod des VN</t>
  </si>
  <si>
    <t>Arm oberhalb Ellenbogen</t>
  </si>
  <si>
    <t>Arm unterhalb Ellenbogen</t>
  </si>
  <si>
    <t>Hand im Handgelenk</t>
  </si>
  <si>
    <t>Daumen</t>
  </si>
  <si>
    <t>Zeigefinger</t>
  </si>
  <si>
    <t>anderer Finger</t>
  </si>
  <si>
    <t>Bein oberhalb Mitte Oberschenkel     </t>
  </si>
  <si>
    <t>Bein bis Mitte Oberschenkel</t>
  </si>
  <si>
    <t>Bein bis Mitte Unterschenkel</t>
  </si>
  <si>
    <t>Fuß im Fußgelenk</t>
  </si>
  <si>
    <t>große Zehe</t>
  </si>
  <si>
    <t>andere Zehe</t>
  </si>
  <si>
    <t>ein Auge</t>
  </si>
  <si>
    <t>Gehör auf einem Ohr</t>
  </si>
  <si>
    <t>Geruch</t>
  </si>
  <si>
    <t>Geschmack</t>
  </si>
  <si>
    <t>Verdoppelung des Krankenhaustagegeldes im Ausland</t>
  </si>
  <si>
    <t>2 Jahre nach Unfallereignis</t>
  </si>
  <si>
    <t>25 € pro Tag
max. 500 €</t>
  </si>
  <si>
    <t>bis 6.000 €</t>
  </si>
  <si>
    <t>Bergungskosten</t>
  </si>
  <si>
    <t>Kosmetische Operationen</t>
  </si>
  <si>
    <t>Stimme</t>
  </si>
  <si>
    <t>sämtliche Finger einer Hand höchstens</t>
  </si>
  <si>
    <t>Unfälle als Folge von Herz- oder Schlaganfall</t>
  </si>
  <si>
    <t>Impfschäden</t>
  </si>
  <si>
    <t>Nahrungsmittelvergiftungen</t>
  </si>
  <si>
    <t>bis 3.000 €</t>
  </si>
  <si>
    <t>auch Tiere</t>
  </si>
  <si>
    <t>Fortführungsoption des VN bei Pflegebedürftigkeit</t>
  </si>
  <si>
    <t xml:space="preserve">Mitwirkung von Vorerkrankungen </t>
  </si>
  <si>
    <t>ab 40%</t>
  </si>
  <si>
    <t>ab 50%</t>
  </si>
  <si>
    <t>-</t>
  </si>
  <si>
    <t>Interlloyd Premium</t>
  </si>
  <si>
    <t>ja</t>
  </si>
  <si>
    <t>bis 15.000 €</t>
  </si>
  <si>
    <t>ja
(Führen von Kfz bis 1,3 ‰)</t>
  </si>
  <si>
    <t>ja
(Führen von Kfz bis 1,1 ‰)</t>
  </si>
  <si>
    <t>bis max. 24 Monate</t>
  </si>
  <si>
    <t>bis max. 6 Monate</t>
  </si>
  <si>
    <t>18 Monate</t>
  </si>
  <si>
    <t>24 Monate</t>
  </si>
  <si>
    <t xml:space="preserve">Erweiterte Anzeigefristen für die Invalidität auf </t>
  </si>
  <si>
    <t>zusätzlich versicherbar</t>
  </si>
  <si>
    <t>Haushaltshilfegeld</t>
  </si>
  <si>
    <t>Kurkostenbeihilfe</t>
  </si>
  <si>
    <t>bis 1.500 €</t>
  </si>
  <si>
    <t>Lebensretterschutz</t>
  </si>
  <si>
    <t>25 € 1.-10. Tag, dann 12,50 €
max. 1.000 €</t>
  </si>
  <si>
    <t>Beitragsfreistellung bei Unfalltod des VN auch für den versicherten Partner</t>
  </si>
  <si>
    <t>bis zum Ablauf des 2. VJ</t>
  </si>
  <si>
    <t>3 Jahre nach Unfallereignis</t>
  </si>
  <si>
    <t>Mehrleistung (sofern keine Progression vereinbart ist)</t>
  </si>
  <si>
    <t>Beitragsfreistellung bei unverschuldeter Arbeitslosigkeit</t>
  </si>
  <si>
    <t>bis 5.000 €</t>
  </si>
  <si>
    <t>ja, für Kinder bis 13 Jahre</t>
  </si>
  <si>
    <t>Erstattung Krankenhausselbstbehalt</t>
  </si>
  <si>
    <t>bis 25.000 €</t>
  </si>
  <si>
    <t>bis 10.000 €</t>
  </si>
  <si>
    <t>Behinderungsbedingte Kosten (z.B. behinderungsgerechter Umbau des PKW, Umbau der Wohnung/Umzug, Umschulung)</t>
  </si>
  <si>
    <t>Erfrieren</t>
  </si>
  <si>
    <t>Erweiteter Unfallbegriff</t>
  </si>
  <si>
    <t>Zusatzleistungen</t>
  </si>
  <si>
    <t>Leistungsart Invalidität</t>
  </si>
  <si>
    <t>Leistungsart Tod</t>
  </si>
  <si>
    <t>Leistungsart UKHT/GG</t>
  </si>
  <si>
    <t>Sonstiges</t>
  </si>
  <si>
    <t>Medizinische Hilfsmittel</t>
  </si>
  <si>
    <t>Telefonische Serviceleistungen</t>
  </si>
  <si>
    <t>Erweiterte Meldefrist im Todesfall</t>
  </si>
  <si>
    <t>Unfälle als Folge von Bewußtseinsstörungen durch Alkohol</t>
  </si>
  <si>
    <t>bis 14 Tage</t>
  </si>
  <si>
    <t>bis 7 Tage</t>
  </si>
  <si>
    <t>Unfälle in Folge innerer Unruhen (passives Kriegsrisiko)</t>
  </si>
  <si>
    <t>bis 21 Tage</t>
  </si>
  <si>
    <t>Nur Kapitalleistung (keine Verrentung)</t>
  </si>
  <si>
    <t>Gesundheitsschädigungen durch Strahlen</t>
  </si>
  <si>
    <t>Interlloyd Protect</t>
  </si>
  <si>
    <t>bis 1 Jahr
Inv. bis 30.000 €</t>
  </si>
  <si>
    <t>bis 1 Jahr
Inv. bis 40.000 €
Tod bis 10.000 €</t>
  </si>
  <si>
    <t>bis max. 3 Jahre</t>
  </si>
  <si>
    <t>Condor Comfort</t>
  </si>
  <si>
    <t>5 Jahre nach Unfallereignis</t>
  </si>
  <si>
    <t>bis 20 Tage</t>
  </si>
  <si>
    <t>bis zu 2 Tagessätze</t>
  </si>
  <si>
    <t>bis zu 3 Tagessätze
+ 150 €</t>
  </si>
  <si>
    <t>25 € pro Übernachtung
max. 100 Übernachtungen</t>
  </si>
  <si>
    <t>ja, für Kinder bis 14 Jahre</t>
  </si>
  <si>
    <t>Schulausfallgeld</t>
  </si>
  <si>
    <t>Erhöhung der Invaliditätsleistung bei Fahrradunfällen mit Helm</t>
  </si>
  <si>
    <t>Spezielle Zusatzleistungen für Kinder</t>
  </si>
  <si>
    <t>Vergiftungen infolge Einnahme fester oder Flüssiger Stoffe durch den Schlund</t>
  </si>
  <si>
    <t>Kostenloser Schutz für Neugeborene</t>
  </si>
  <si>
    <t>bis 1 Jahr
Inv. bis 25.000 €</t>
  </si>
  <si>
    <t>10%
max. 50.000 €</t>
  </si>
  <si>
    <t>bis 2.000 €</t>
  </si>
  <si>
    <t>bis 2.500 €</t>
  </si>
  <si>
    <t>Janitos Balance</t>
  </si>
  <si>
    <t>Arm im Schultergelenk</t>
  </si>
  <si>
    <t>bis 10.000 €
(auch Zahnersatz)</t>
  </si>
  <si>
    <t>Update-Garantie</t>
  </si>
  <si>
    <t>21 Monate</t>
  </si>
  <si>
    <t>ja
(Führen von Kfz bis 1,5 ‰)</t>
  </si>
  <si>
    <t>Niere</t>
  </si>
  <si>
    <t>beide Nieren (oder eine Niere, wenn die andere bereits verloren war)</t>
  </si>
  <si>
    <t>Milz</t>
  </si>
  <si>
    <t>Milz bei Kindern vor Vollendung des 14. Lebensjahres</t>
  </si>
  <si>
    <t>Gallenblase</t>
  </si>
  <si>
    <t>Magen</t>
  </si>
  <si>
    <t>Zwölffinger-, Dünn-, Dick- oder Enddarm jeweils</t>
  </si>
  <si>
    <t>ein Lungenflügel</t>
  </si>
  <si>
    <t>bis zu 3 Tagessätze</t>
  </si>
  <si>
    <t>keine Anzeigefrist</t>
  </si>
  <si>
    <t>bis max. 12 Monate</t>
  </si>
  <si>
    <t>bis 4 Wochen</t>
  </si>
  <si>
    <t>Flüssigkeits-, Nahrungs-, Sauerstoffentzug</t>
  </si>
  <si>
    <t>Ertrinken, Ersticken unter Wasser</t>
  </si>
  <si>
    <t>Druckkammerkosten</t>
  </si>
  <si>
    <t>4 Jahre nach Unfallereignis 
max. 1.000 Tage</t>
  </si>
  <si>
    <t>bis 3 Wochen</t>
  </si>
  <si>
    <t>ab 8. Tag 100 € je Woche
max. 12 Wochen</t>
  </si>
  <si>
    <t>Genesungsgeld</t>
  </si>
  <si>
    <t>bis 100 Tage</t>
  </si>
  <si>
    <t>bis 500 Tage</t>
  </si>
  <si>
    <t xml:space="preserve">Koma- oder </t>
  </si>
  <si>
    <t>Pflegegeld</t>
  </si>
  <si>
    <t>Pflegestufe II
15 € pro Tag, max. 1 Jahr</t>
  </si>
  <si>
    <t>Verdoppelung der Todesfallsumme bei Vollwaisen</t>
  </si>
  <si>
    <t>Verdoppelung der Todesfallsumme bei der Nutzung öffentlicher Verkehrsmittel</t>
  </si>
  <si>
    <t>bis 50.000 €</t>
  </si>
  <si>
    <t>Beitragsfreier Einschluss des dritten und jeden weiteren Kindes</t>
  </si>
  <si>
    <t>bis 20.000 €</t>
  </si>
  <si>
    <t>Soforthilfe bei Knochenbrüchen</t>
  </si>
  <si>
    <t>Sonnenbrand/Sonnenstich</t>
  </si>
  <si>
    <t>Nachhilfegeld</t>
  </si>
  <si>
    <t>Kindergartenausfallgeld</t>
  </si>
  <si>
    <t>Erhöhung der Invaliditätsleistung bei Reitunfällen mit Helm</t>
  </si>
  <si>
    <t>Erhöhung der Invaliditätsleistung bei Inline-/Skateboardunfällen mit Schützern und Helm)</t>
  </si>
  <si>
    <t>Erweiterung Kinderkrankheiten</t>
  </si>
  <si>
    <t>Verätzungen</t>
  </si>
  <si>
    <t>Kunde:</t>
  </si>
  <si>
    <t>Datum:</t>
  </si>
  <si>
    <t>Auswahl 1</t>
  </si>
  <si>
    <t>Auswahl 2</t>
  </si>
  <si>
    <t>Auswahl 3</t>
  </si>
  <si>
    <t>Keine</t>
  </si>
  <si>
    <t>Erweiterung Vergiftungsklausel 
(z. B. Medikamente, Tabak, Alkohol …)</t>
  </si>
  <si>
    <t xml:space="preserve">Rooming-In Leistungen 
(pro Übernachtung) </t>
  </si>
  <si>
    <t>Bedingungswerk</t>
  </si>
  <si>
    <t>erweiterte Meldeform bei geringfügigen Verletzungen für den 
Invaliditätsfall</t>
  </si>
  <si>
    <t>Interlloyd AUB 2000</t>
  </si>
  <si>
    <t>AUB 2007 Protect</t>
  </si>
  <si>
    <t>ja, soweit in Kausalität mit versichertem Unfall</t>
  </si>
  <si>
    <t>bis 10.000 DM</t>
  </si>
  <si>
    <t>nur im Ausland bis 14 Tage,
soweit unvorhergesehen</t>
  </si>
  <si>
    <t>Bis zur Höhe der Bahn-/ Flugkosten, Taxi bis 100 DM</t>
  </si>
  <si>
    <t>bis 5.000 DM,
mind. 3 Wochen Kurdauer</t>
  </si>
  <si>
    <t>bis 3.000 DM</t>
  </si>
  <si>
    <t>50 DM pro Tag
max. 1.000 DM</t>
  </si>
  <si>
    <t>bis 1 Jahr
Inv. bis 50.000 DM</t>
  </si>
  <si>
    <t>ab 90 % Invalidität,
max. 300.000 DM</t>
  </si>
  <si>
    <t>max. 75.000 DM, 
soweit Kind &lt; 14 Jahre</t>
  </si>
  <si>
    <t>Bein bis unterhalb Knie</t>
  </si>
  <si>
    <t>AUB 2000</t>
  </si>
  <si>
    <t>30 € pro Tag, max. 1 Jahr</t>
  </si>
  <si>
    <t>Pflegestufe I
30 € pro Tag, max. 1 Jahr</t>
  </si>
  <si>
    <t>Unfälle aufgrund Eigenbewegungen</t>
  </si>
  <si>
    <t>Kostenloser Schutz für Lebenspartner</t>
  </si>
  <si>
    <t xml:space="preserve">bis 20.000 € </t>
  </si>
  <si>
    <t>pauschal 2.500 € oder
nachgewiesen bis 10.000 €</t>
  </si>
  <si>
    <t>Sofortleistung bei Schwerstverletzung</t>
  </si>
  <si>
    <t>Rehabilitationskosten</t>
  </si>
  <si>
    <t>ja 
(auch Erwachsene)</t>
  </si>
  <si>
    <t>Beitragsfreie Unfall-Todesfallleistung</t>
  </si>
  <si>
    <t>25%
max. 75.000 €</t>
  </si>
  <si>
    <t>Erhöhung der Invaliditätsleistung nach einem Unfall mit öffentlichen Verkehrsmitteln</t>
  </si>
  <si>
    <t>50%
max. 150.000 €</t>
  </si>
  <si>
    <t>ab 21. Tag 30 € pro Tag 
max. 3.000 €</t>
  </si>
  <si>
    <t>20 €
max. 20 Tage</t>
  </si>
  <si>
    <t>50 € pro Tag
max.3.000 €</t>
  </si>
  <si>
    <t>Keine Anrechnung von Vorerkrankungen</t>
  </si>
  <si>
    <t>ab 90% Invalidität
max. 150.000 €</t>
  </si>
  <si>
    <t>ab 25%</t>
  </si>
  <si>
    <t>bis 30.000 €</t>
  </si>
  <si>
    <t>bei Mitwirkungsanteil &lt; 25%</t>
  </si>
  <si>
    <t>bis 500 € für Kinder bis zum vollendeten 14. Lebensjahr</t>
  </si>
  <si>
    <t>Höhe Krankenhaustagegeld,
max. 30 Übernachtungen</t>
  </si>
  <si>
    <t>21 Tage</t>
  </si>
  <si>
    <t>max. 40.000 €, 
soweit Kind &lt; 14 Jahre</t>
  </si>
  <si>
    <t>bis 1 Mio. €</t>
  </si>
  <si>
    <t>10%, 
max. 10.000 €</t>
  </si>
  <si>
    <t>ab 90% Invalidität, 
max. 150.000 €</t>
  </si>
  <si>
    <t xml:space="preserve">bis zur Vollendung des 18. LJ. des jüngsten Kindes </t>
  </si>
  <si>
    <t>ja, für Kinder bis 10 Jahre</t>
  </si>
  <si>
    <t>Besonderheiten</t>
  </si>
  <si>
    <t>individuell</t>
  </si>
  <si>
    <t>ja
(Führen von Kfz bis 1,2 ‰)</t>
  </si>
  <si>
    <t>bis 365 Tage</t>
  </si>
  <si>
    <t>bis 750 Tage</t>
  </si>
  <si>
    <t>SLP Primus</t>
  </si>
  <si>
    <t>SLP Primus Plus</t>
  </si>
  <si>
    <t>100 €, 
sofern UKHT vereinbart</t>
  </si>
  <si>
    <t>200 €,
sofern UKHT vereinbart</t>
  </si>
  <si>
    <t>bis 200.000 €</t>
  </si>
  <si>
    <t>bis 10.000 €
(inkl. Zahnersatz)</t>
  </si>
  <si>
    <t>bis 50.000 €
(inkl. Zahnersatz)</t>
  </si>
  <si>
    <t>bis 1.000 €</t>
  </si>
  <si>
    <t>bis 750 €</t>
  </si>
  <si>
    <t>ja,
auch Tiere</t>
  </si>
  <si>
    <t>20 € pro Tag, 
max. 140 Tage</t>
  </si>
  <si>
    <t>30 € pro Tag, 
max. 160 Tage</t>
  </si>
  <si>
    <t>bis 3 Monate ab Heirat
Inv. bis 50.000 €</t>
  </si>
  <si>
    <t>max. 20.000 €</t>
  </si>
  <si>
    <t>bis 500 €</t>
  </si>
  <si>
    <t>Generali Komfort Plus</t>
  </si>
  <si>
    <t>ab 45%</t>
  </si>
  <si>
    <t xml:space="preserve">bis zur Vollendung des 18. LJ. des Kindes </t>
  </si>
  <si>
    <t>kombiniert mit Rooming-In
40 € pro Tag</t>
  </si>
  <si>
    <t>kombiniert mit Schulausfallgeld
40 € pro Tag</t>
  </si>
  <si>
    <t>mind. 3 Tagessätze</t>
  </si>
  <si>
    <t>bis zur nächsten HF
Inv. bis 25.000 €
Tod bis 5.000 €
UKTG bis 10 €</t>
  </si>
  <si>
    <t>15 Monate</t>
  </si>
  <si>
    <t>bis 3 Monate (+3 Monate bei Mitteilung) ab Geburt
mit Versicherungssummen 
des VN</t>
  </si>
  <si>
    <t xml:space="preserve"> nur Zeckenbisse - 
Meningitis, Borreliose</t>
  </si>
  <si>
    <t>-
Ausschluss Trunkenheit</t>
  </si>
  <si>
    <t>nur im Ausland bis 7 Tage,
soweit unvorhergesehen</t>
  </si>
  <si>
    <t>ab zwei VP 10% Nachlass,
ab drei VP 15% Nachlass</t>
  </si>
  <si>
    <t>bei Teilverlust gilt entsprechender Anteil des jeweiligen Prozentsatzes</t>
  </si>
  <si>
    <t>max. 12.000 €,
bis zum 21. Lebensjahr</t>
  </si>
  <si>
    <t>das doppelte versicherte
Krankenhaustagegeld</t>
  </si>
  <si>
    <t>bei Mitwirkungsanteil &lt; 40%</t>
  </si>
  <si>
    <t>Gäste u. Besucherschutz
Inv. 10.000 €, Tod 5.000 €</t>
  </si>
  <si>
    <t>bis 15.000 €, auch 
Arbeitsplatzumbaukosten</t>
  </si>
  <si>
    <t>ab 70% Invalidität
Leistung von 100%</t>
  </si>
  <si>
    <t>ja (auch durch Medikamente)
(Führen von Kfz bis 1,3 ‰)</t>
  </si>
  <si>
    <t>48 h</t>
  </si>
  <si>
    <t>96 h</t>
  </si>
  <si>
    <t>das dreifache versicherte
Krankenhaustagegeld</t>
  </si>
  <si>
    <t>25 € pro Tag,
max. 1.000 €</t>
  </si>
  <si>
    <t>ja (auch passives Kriegsrisiko bis 7 Tage)</t>
  </si>
  <si>
    <t>ja (auch passives Kriegsrisiko bis 28 Tage)</t>
  </si>
  <si>
    <t>bis zur nächsten HF
Inv. bis 50.000 €
Tod bis 5.000 €
UKTG bis 10 €</t>
  </si>
  <si>
    <t>nur Zeckenbisse</t>
  </si>
  <si>
    <t>ja,
bis 10 m Tauchtiefe</t>
  </si>
  <si>
    <t>AUB 2008
Stand 07-2010</t>
  </si>
  <si>
    <t>AUB 2009
Stand 04-2009</t>
  </si>
  <si>
    <t>AUB 2008 Ideal
Stand 01-2008</t>
  </si>
  <si>
    <t>AUB 2008 Basis-Plus
Stand 01-2008</t>
  </si>
  <si>
    <t>AUB 2008 Stand 07-2008
afm-Sonderbedingungen</t>
  </si>
  <si>
    <t>AUB 2008
Stand 04-2010</t>
  </si>
  <si>
    <t>AUB 2008
Stand 01-2009</t>
  </si>
  <si>
    <t>AUB 2008
Stand 03-2010</t>
  </si>
  <si>
    <t>bis zu 7 Tagessätze</t>
  </si>
  <si>
    <t>ab 25 %</t>
  </si>
  <si>
    <t>Nürnberger</t>
  </si>
  <si>
    <t>20%
Kinder unter 16 Jahre</t>
  </si>
  <si>
    <t xml:space="preserve">ab 40% </t>
  </si>
  <si>
    <t>7 Tage</t>
  </si>
  <si>
    <t>bis max. 50% des
Krankenhaustagegeldes</t>
  </si>
  <si>
    <t>bis 10.000 €
(auch für Zahnersatz)</t>
  </si>
  <si>
    <t>im Rahmen der 
Bergungskosten</t>
  </si>
  <si>
    <t>in Höhe KHTG Kind,
max. 30 Tage</t>
  </si>
  <si>
    <t>50% d. Todesfallsumme der Eltern, max. 10.000 €</t>
  </si>
  <si>
    <t>AUB 2008
Stand 01-2011</t>
  </si>
  <si>
    <t>Impfungen gegen versicherte
Infektionskrankheiten</t>
  </si>
  <si>
    <t>ja,
bis zum vollendeten 10. LJ</t>
  </si>
  <si>
    <t>bis 12 Monate ab Eheschließung 
50% d. Invaliditätssumme des VNs, max. 30.000 €</t>
  </si>
  <si>
    <t>bis 12 Monate ab Geburt
50% d. Invaliditätssumme des VNs, max. 30.000 €</t>
  </si>
  <si>
    <t>Bei Oberschenkelhalsbruch 
10% der VS, max. 5.000 €</t>
  </si>
  <si>
    <t>50% der VS für verbesserte Übergangsleitung, max. 3.000 €</t>
  </si>
  <si>
    <t>ab 22. Tag 20-faches KHTG Kind,
max. 500 €</t>
  </si>
  <si>
    <t>keine Bauch-, Unterleibs- oder 
Leistenbrüche</t>
  </si>
  <si>
    <t>nur Vermittlung, über den Baustein
"Hilfe und Pflege"</t>
  </si>
  <si>
    <t>zusätzlich versicherbar über Baustein "Hilfe und Pflege"</t>
  </si>
  <si>
    <t>ab 50% Invalidität 
(Option AL50)</t>
  </si>
  <si>
    <t>AUB 2009
Stand 01-2009</t>
  </si>
  <si>
    <t>ja, 
max. 21 Tage</t>
  </si>
  <si>
    <t>ja,
Leistung ab 20% Invalidität</t>
  </si>
  <si>
    <t>nur im Seniorentarif</t>
  </si>
  <si>
    <t>AUB 2008
Stand 04-2011</t>
  </si>
  <si>
    <t>zusätzliche Todesfallleistung
von 10.000 €</t>
  </si>
  <si>
    <t>Umschulungskosten 
bis 5.000 €</t>
  </si>
  <si>
    <t>nur Vermittlung, über den Baustein
"Unfall-HILFE"</t>
  </si>
  <si>
    <t>bis 3 Monate ab Eheschließung
Inv. - 30.000 €
Vollinv. - 105.000 €
Tod - 10.000 €
KHTG/GG - 20 €</t>
  </si>
  <si>
    <t>zusätzlich versicherbar über Baustein "Unfall-HILFE"</t>
  </si>
  <si>
    <t>ab 75% Invalidität; 
5-fache Inv.-leistung, max. 150.000 €</t>
  </si>
  <si>
    <t>bis zur Vollendung des 
18. Lebensjahres</t>
  </si>
  <si>
    <t>3 Jahre nach Unfallereignis
(innerhalb von 5 Jahren)</t>
  </si>
  <si>
    <t>ab 30%</t>
  </si>
  <si>
    <t>bis 3 Monate ab Geburt
Inv. - 30.000 €
Vollinv. - 105.000 €
Tod - 10.000 €
KHTG/GG - 20 €</t>
  </si>
  <si>
    <t>ja, Leistung erst ab 20% Invalidität
außer bei Zeckenbiss</t>
  </si>
  <si>
    <t>bis 10.000 € (auch Zahnersatz für Schneide-/ Eckzähne)</t>
  </si>
  <si>
    <t>10% der VS, 
max. 20.000 €</t>
  </si>
  <si>
    <t>bis 10.000 € (auch Kosten für Überführung in Wahl-KH bis 1.000 €)</t>
  </si>
  <si>
    <t>bis 100 Tage (100% d. KHTG);
ab dem 101. Tag 50% d. KHTG</t>
  </si>
  <si>
    <t>bis 15.000 € (zusätzlich Mehrkosten für Einzelzimmerunterbringung)</t>
  </si>
  <si>
    <t>bei Mitwirkungsanteil &lt; 30%</t>
  </si>
  <si>
    <t>bis 750 Tage,
wahlweise gestaffelt</t>
  </si>
  <si>
    <t>60 € pro Übernachtung,
keine zeitliche Begrenzung</t>
  </si>
  <si>
    <t>ja
(außer Kernenergie)</t>
  </si>
  <si>
    <t>ja (auch Knochenbrüche und Meniskusschädigungen)</t>
  </si>
  <si>
    <t>Interrisk XXL (Maxi-Taxe)</t>
  </si>
  <si>
    <t>ja, soweit Schädlichkeit der Person nicht bekannt war</t>
  </si>
  <si>
    <t>50 € je Tag, max. 2.500 €, nur wenn Kind im Haushalt lebt</t>
  </si>
  <si>
    <t xml:space="preserve">30% der VS </t>
  </si>
  <si>
    <t>ja
(keine Kernenergie)</t>
  </si>
  <si>
    <t>ab 50% Invaliditätsgrad
bis 10.000 €</t>
  </si>
  <si>
    <t>bis zur nächsten Hauptfälligkeit</t>
  </si>
  <si>
    <t>bis zur nächsten Hauptfälligkeit
Inv. - 30.000 €</t>
  </si>
  <si>
    <t>bis 10 Übernachtungen: 30 €,
ab 11. Übernachtung: 15 €</t>
  </si>
  <si>
    <t>ja,
max. 50.000 €</t>
  </si>
  <si>
    <t>Gipsgeld
(3-facher Satz KHTG)</t>
  </si>
  <si>
    <t>nur bei Notfalleinweisung</t>
  </si>
  <si>
    <t>AUB 2011
Stand 01-2011</t>
  </si>
  <si>
    <t>max. 40.000 €
soweit Kind &lt; 14 Jahre</t>
  </si>
  <si>
    <t>max. 41.000 €
soweit Kind &lt; 14 Jahre</t>
  </si>
  <si>
    <t>max. 41.000 €
(nicht Luftfahrt)</t>
  </si>
  <si>
    <t>65 € pro Tag, max. 30 Tage</t>
  </si>
  <si>
    <t>bis 3.000 €
Umschulung bis 5.000 €</t>
  </si>
  <si>
    <t>Lebensmittel</t>
  </si>
  <si>
    <t>15.000 €</t>
  </si>
  <si>
    <t>5.000 €</t>
  </si>
  <si>
    <t>ja (ohne Schutzimpfung gegen ent-sprechende Infektion 50% Leistung)</t>
  </si>
  <si>
    <t>bis 14 Tage+7 Tage, falls schnelleres Verlassen nicht möglich war</t>
  </si>
  <si>
    <t>AUB 
Stand 10-2010</t>
  </si>
  <si>
    <t>bis 50.000 € (Zahnersatz, 5% d. VS je Zahn und Brustkrebs bis 10.000 €)</t>
  </si>
  <si>
    <t>div. Körperteile zusätzl. versicherbar über "Schmerzensgeld Premium"</t>
  </si>
  <si>
    <t>Reha-Geld (50% des KHTG)</t>
  </si>
  <si>
    <t>ja, bei Tod der Eltern durch ein und dasselbe Unfallereignis</t>
  </si>
  <si>
    <t>max. 1 Jahr ab Geburt
Inv. - 60.000 €
Tod - 10.000 €
KHTG - 20 €
kosm. OP/ Bergung bis 10.000 €</t>
  </si>
  <si>
    <t>max. 1 Jahr ab Heirat
Inv. - 60.000 €
Tod - 10.000 €
KHTG - 20 €
kosm. OP/ Bergung bis 10.000 €</t>
  </si>
  <si>
    <t>ab 50% Invalidität,
max. 615.000 €</t>
  </si>
  <si>
    <t>ja (auf Wunsch auch Verrentung, sofern VP &gt; 65 Jahre)</t>
  </si>
  <si>
    <t>24 Monate + 3 Monate</t>
  </si>
  <si>
    <t>bei Koma &gt; 5 Tage: KHTG + 50%,
max. 100 Tage</t>
  </si>
  <si>
    <t>50% des KHTG (Reha-Geld)</t>
  </si>
  <si>
    <t>50% der Gesamtkosten,
max. 10.000 €</t>
  </si>
  <si>
    <t>bei Mitwirkungsanteil &lt; 50%</t>
  </si>
  <si>
    <t>50 € je Übernachtung</t>
  </si>
  <si>
    <t>ab dem 6. Tag 50 €,
max. 20 Fehltage</t>
  </si>
  <si>
    <t>-Nur 50% Leistung bei Infektionen, für die keine Schutzimpfung besteht
-Schmerzensgeld versicherbar
-Kosmetische OP auch bei Brustkrebs (max. 10.000 €)
-Zahlung Todesfallsumme auch im 2. Jahr nach Unfall</t>
  </si>
  <si>
    <t>sofern Schädlichkeit der vers. Person nicht bewusst war</t>
  </si>
  <si>
    <t>nur Kinder &lt; 18 Jahre</t>
  </si>
  <si>
    <t>bis max. 24 Monate
(12 Monate Wartezeit)</t>
  </si>
  <si>
    <t>bis zur Höhe der vereinbarten Versicherungssumme</t>
  </si>
  <si>
    <t>bis 25.000 €
(Mehrkosten)</t>
  </si>
  <si>
    <t>nur Vermittlung, über den Baustein 
"Pflege-Rente"</t>
  </si>
  <si>
    <t xml:space="preserve">bis 6 Monate ab Geburt (wenn Kind darauffolgend bei d. AXA versichert wird) Inv. - 45.000 €; Tod - 10.000 €; Übergangsleistung - 1.250 €; 
KHTG / GG (28 Tage) - 15 € </t>
  </si>
  <si>
    <t xml:space="preserve">nur für Kinder bis zur Vollendung des 18. LJ. des Kindes </t>
  </si>
  <si>
    <t>zusätzlich versicherbar, über den Baustein "Pflege-Rente"</t>
  </si>
  <si>
    <t>21.-40. Tag 1-fache Höhe; 41.-70. Tag doppelte Höhe; 71.-100. Tag 4-fach</t>
  </si>
  <si>
    <t>drei Mehrleistungsmodelle wählbar;
ab 50% Invalidität, max. 400.000 €</t>
  </si>
  <si>
    <t>zusätzlich versicherbar über Baustein "Pflege-Rente"</t>
  </si>
  <si>
    <t>ja (nur bei Beachtung d. Richtlinien des Verbands Dt. Sporttaucher</t>
  </si>
  <si>
    <t>ja (keine Kernenergie und Ultraviolette Strahlung)</t>
  </si>
  <si>
    <t>ja (15 Tage Wartezeit)</t>
  </si>
  <si>
    <t>ja (3 Monate Wartezeit)</t>
  </si>
  <si>
    <t>ja (bei Impfungen gegen versicherte Infektionen)</t>
  </si>
  <si>
    <t>ja (max. 7 Tage unabwendbare Einwirkung auf versicherte Person)</t>
  </si>
  <si>
    <t>-aktive Teilnahme an lizensfreien
 Motorsportveranstaltungen                                                                                                                                                                                                                                                                mitversichert (Rennen)</t>
  </si>
  <si>
    <t>KHTG bis zu 7 Tagessätze</t>
  </si>
  <si>
    <t>bis 21 Tage (Kriegsereignisse);
Innere Unruhen unbegrenzte Dauer</t>
  </si>
  <si>
    <t>in Höhe von KHTG pro Tag,
max. 5 Jahre</t>
  </si>
  <si>
    <t>ja, in Höhe der vereinbarten Übergangsleistung</t>
  </si>
  <si>
    <t>Eintritt: max. 15 Monate nach Unfall
Anzeige: max. 21 Monate n. Unfall</t>
  </si>
  <si>
    <t>ja, soweit 18. LJ. noch nicht vollendet wurde</t>
  </si>
  <si>
    <t>ja, sämtliche Kosten f. ärztl. Bescheinigungen und Berichte</t>
  </si>
  <si>
    <t>max. 12 Monate ab Geburt
Inv. - 25.000 € (voll - 62.500 €)
Tod/ kosm. OP - 1.250 €
KHTG -12,50 €
Bergungs-/Rettungskosten - 5.000 €</t>
  </si>
  <si>
    <t>max. 12 Monate ab Hochzeit
Inv. - 25.000 € (voll - 62.500 €)
Tod/ kosm. OP - 1.250 €
KHTG -12,50 €
Bergungs-/Rettungskosten - 5.000 €</t>
  </si>
  <si>
    <t>bis 55.000 €</t>
  </si>
  <si>
    <t>Mehrkosten zusätzlich versicherbar bis 3.000 € über Aktiv-SchadenHilfe</t>
  </si>
  <si>
    <t>Meldefrist beginnt ab Kenntnis-nahme d. Unfalltodes, dann 21 Tage</t>
  </si>
  <si>
    <t>zusätzlich versicherbar
über Familien-SchutzBrief</t>
  </si>
  <si>
    <t>bis 100 Tage (KHT plus)</t>
  </si>
  <si>
    <t>ja, auch Ersticken (Einwirkung unausweichlich max. mehrere Std.)</t>
  </si>
  <si>
    <t>Eintritt: 1 Jahr nach Unfall
Anzeige: 18 Monate nach Unfall</t>
  </si>
  <si>
    <t>3 Jahre nach Unfall</t>
  </si>
  <si>
    <t>nur bei Noteinweisung</t>
  </si>
  <si>
    <t>6 Monate (bei Anzeige 12 Monate) ab Geburt
Inv. - 50.000 €; Tod - 5.000 €; 
Unfall-Service - 10.000 €; KHTG/ KHTG Plus- 10 €; KHTG Extra -1.000 €</t>
  </si>
  <si>
    <t>1/10 der Inv.-Grundsumme + 10-fache vereinb. Unfall-Rente, max. 12.000 €</t>
  </si>
  <si>
    <t>Infektionen durch Zeckenbiss und Wundinfektionen</t>
  </si>
  <si>
    <t>im Rahmen der Bergungskosten</t>
  </si>
  <si>
    <t>nur in der Kinderunfall;
12-fache vereinbarte Rente</t>
  </si>
  <si>
    <t xml:space="preserve">bei Mitwirkungsanteil &lt; 25% </t>
  </si>
  <si>
    <t>Mehrheitsnachlass in Abhängigkeit von der Anzahl der vers. Personen</t>
  </si>
  <si>
    <t>ab 70% Invalidität oder
verbesserte Mehrleistung ab 50%</t>
  </si>
  <si>
    <t xml:space="preserve">2 Jahre (KHTG plus) </t>
  </si>
  <si>
    <t>nur bei Pflegestufe I</t>
  </si>
  <si>
    <t>Signal Iduna Exklusiv</t>
  </si>
  <si>
    <t>5 Tagessätze</t>
  </si>
  <si>
    <t>bis 3 Jahre nach Unfallereignis; für Kinder doppelte Höhe ab 8. Tag</t>
  </si>
  <si>
    <t>max. 40 € pro Tag, max. 1.000 €;
max. 3 Jahre ab Unfalltag</t>
  </si>
  <si>
    <t>18. Lebensjahr noch nicht vollendet,
ab 15. Tag 30 € je Tag, max. 600 €</t>
  </si>
  <si>
    <t>ab 50% dauerhafter Invalidität,
max. 8.000 € (Für Umbau Beratung)</t>
  </si>
  <si>
    <t>nachgewiesene Nutzungskosten, einschließlich Fahrtkosten</t>
  </si>
  <si>
    <t>max. 24 Monate, 6 Monate Warte-zeit (optional: Beitragsreduzierung)</t>
  </si>
  <si>
    <t>Röntgen-/ Laserstrahlen, künstliche erzeugte ultraviolette Strahlung</t>
  </si>
  <si>
    <t>Schäden durch künstliche erzeugte ultraviolette Strahlung</t>
  </si>
  <si>
    <t>Infektionen durch Zeckenstiche,
Tollwut, Wundstarrkrampf</t>
  </si>
  <si>
    <t>bis 1,3‰
(Führen von Kfz bis 0,8‰)</t>
  </si>
  <si>
    <t>Infektion durch die Ausübung des Berufs</t>
  </si>
  <si>
    <t>ja (Einwirkung max. mehrere Std., soweit kein Entziehen möglich)</t>
  </si>
  <si>
    <t>max. 7 Tage</t>
  </si>
  <si>
    <t>bis 10.000 € (Zahnersatz f. Eck-/ Schneidezähne bis 5.000 €)</t>
  </si>
  <si>
    <t>kein kostenloser Schutz für Partner, aber 3 Monate beitragsfrei 20% Erhöhung von Inv./ Tod/ Unfallrente/ Gipsgeld/ KHTG/ GG/ Sofortleistung/ TG für VN</t>
  </si>
  <si>
    <t>AUB 2008
Stand 11-2009</t>
  </si>
  <si>
    <t>frei wählbar,
max. 1.000 €</t>
  </si>
  <si>
    <t>frei wählbar,
max. 30.000 €</t>
  </si>
  <si>
    <t>bis 3 Jahre nach Unfallereignis</t>
  </si>
  <si>
    <t>Kostenübernahme einer Grundpflege zusätzlich versicherbar</t>
  </si>
  <si>
    <t>Kostenübernahme bis 10.000 € zusätzlich versicherbar</t>
  </si>
  <si>
    <t>alle ärztlichen Gebühren zur Begründung d. Leistungspflicht</t>
  </si>
  <si>
    <t>150 € pro Woche,
max. 2 Jahre</t>
  </si>
  <si>
    <t>ja
(auch Staubwolken und Säuren)</t>
  </si>
  <si>
    <t>ja, auch an Bandscheiben soweit keine Vorschädigung vorliegt</t>
  </si>
  <si>
    <t xml:space="preserve">zusätzliche Leistung in Höhe von
10.000 € </t>
  </si>
  <si>
    <t>doppelter Tagesatz,
max. 150 Tage</t>
  </si>
  <si>
    <t>dreifacher Tagessatz,
max. 250 €</t>
  </si>
  <si>
    <t>bei Notfalleinweisung, o. anschließ-end an stationäre Behandlung</t>
  </si>
  <si>
    <t>bis 16.000 €</t>
  </si>
  <si>
    <t>Gebühren für vom VR beauftragte Atteste</t>
  </si>
  <si>
    <t>bis 4.000 €</t>
  </si>
  <si>
    <t>bis 16.000 €  (auch Zahnersatz für Schneide-/ Eckzähne)</t>
  </si>
  <si>
    <t>1 Monat Weiterführung zum gleichen Beitrag, danach Kürzung d. VS</t>
  </si>
  <si>
    <t>max. 6 Monate ab Heirat
Inv. - 50.000 €
Tod - 5.000 €
Bergungskosten - 6.000 €
KHTG - 10 €</t>
  </si>
  <si>
    <t>max. 6 Monate ab Geburt
Inv. - 50.000 €
Tod - 5.000 €
Bergungskosten - 6.000 €
KHTG - 10 €</t>
  </si>
  <si>
    <t>ab 90% Invalidität,
max. 600.000 €</t>
  </si>
  <si>
    <t>Zurich Makler Top-Schutz</t>
  </si>
  <si>
    <t>AUB 2004
Stand 04-2011</t>
  </si>
  <si>
    <t>ja, auch durch Medikamente 
(Führen von Kfz 1,3‰)</t>
  </si>
  <si>
    <t>25 € pro Tag,
max. 100 Tage</t>
  </si>
  <si>
    <t>ja, bei Schutzimpfungen gegen versicherte Infektionen</t>
  </si>
  <si>
    <t>für Kinder unter 14 Jahren,
max. 50.000 €</t>
  </si>
  <si>
    <t>14 Tage + 7 Tage (wenn Verlassen des Gebiets nicht möglich war)</t>
  </si>
  <si>
    <t>Erhöhung um 20.000 €</t>
  </si>
  <si>
    <t>-unfallbedingte Fehlgeburt bis 1.000 €
-Raubüberfall/Geiselnahme ohnne körperliche Verletzungen bis 3.000 €
-keine Nachteile bei Berufsausübung nach Unfall</t>
  </si>
  <si>
    <t>48 h nach Kenntnisnahme des Unfalltodes</t>
  </si>
  <si>
    <t>5 Jahre nach Unfallereignis; für Kinder (bis 12 J.) doppeltes KHTG</t>
  </si>
  <si>
    <t xml:space="preserve">Für Kinder unter 16 Jahren + Begleitperson bis 2.500 € </t>
  </si>
  <si>
    <t>Höhe: KHTG , max. 30 Übernacht-ungen; Ausland: 50€, max. 14 Tage</t>
  </si>
  <si>
    <t>50 € pro Tag, max. 30 Tage; während KH-Aufenthalt und Kind &lt;14 J.</t>
  </si>
  <si>
    <t>max. Pflegestufe I</t>
  </si>
  <si>
    <t>ja (Gesundheitsschädigungen durch Säuren sind mitversichert)</t>
  </si>
  <si>
    <t>AUB 2000 PLUS
Stand 05-2001</t>
  </si>
  <si>
    <t>max. 6 Monate ab Geburt
Inv. - 60.000 € (Progression 400)
Tod - 5.000 €
Bergungskosten/kosm. OP - 5.000 €
KHTG - 20 €</t>
  </si>
  <si>
    <t>Zusatzleistung 100.000 € (bei Tod beider Eltern d. gleiches Ereignis)</t>
  </si>
  <si>
    <t>Zusatzleistung 200.000 € (bei Tod beider Eltern d. gleiches Ereignis)</t>
  </si>
  <si>
    <t>max. 20 € pro Tag, max. 500 €;
max. 3 Jahre ab Unfalltag</t>
  </si>
  <si>
    <t>ja (Einwirkung max. mehrere Std.)</t>
  </si>
  <si>
    <t>bis 3 Jahre nach Unfallereignis,
max. 365 Tage</t>
  </si>
  <si>
    <t>nicht für dauernd Schwer-/ 
Schwerstpflegebedürftige</t>
  </si>
  <si>
    <t>überraschend im Ausland betroffen,
max. 7 Tage</t>
  </si>
  <si>
    <t>Zeckenbisse, 
Tollwut, Wundstarrkrampf</t>
  </si>
  <si>
    <t>2 Mon. Weiteführung zum gleichen
Beitrag, danach Kürzung der VS</t>
  </si>
  <si>
    <t>durch Unfallverletzungen in Körper gelangte Infektionen</t>
  </si>
  <si>
    <t>bis zur Vollendung des 18.
Lebensjahres</t>
  </si>
  <si>
    <t>auch Annnahme 
HIV-Infizierter</t>
  </si>
  <si>
    <t>auch Annahme
HIV-Infizierter</t>
  </si>
  <si>
    <t>im Rahmen der Bergungs-kosten bis 6.000 €</t>
  </si>
  <si>
    <t xml:space="preserve">innerhalb der Assistance-
Leistungen (max. 50.000 € gesamt) </t>
  </si>
  <si>
    <t>bis 15 Monate (50% d. VS)
Inv. bis 25.000 € 
Tod bis 25.000 €
UKHT bis 20 €</t>
  </si>
  <si>
    <t>bis 15 Monate (50% d. VS)
Inv. bis 25.000 €
Tod bis 5.000 €
UKHT bis 20 €</t>
  </si>
  <si>
    <t>Interrisk XL (Plus-Taxe)</t>
  </si>
  <si>
    <t>bis max. 1 Jahr</t>
  </si>
  <si>
    <t>ab 60%</t>
  </si>
  <si>
    <t>Pfl.st. II = 15 €, Pfl.st. III = 15 € je Tag; max. 1 Jahr</t>
  </si>
  <si>
    <t>40 € pro Übernachtung,
keine zeitliche Begrenzung</t>
  </si>
  <si>
    <t>Vollwaisenrente bis 6.000 € / Jahr, bis Vollendung 18. LJ</t>
  </si>
  <si>
    <t>bis 25.000 € im Rahmen der medizinischen Rehabilitation</t>
  </si>
  <si>
    <t>30 € pro Tag, max. 100 Tage
(nur, wenn Kinder im Haushalt leben)</t>
  </si>
  <si>
    <t>100 € pro Tag, max. 6 Monate
(nur, wenn Kinder im Haushalt leben)</t>
  </si>
  <si>
    <t>bei Mitwirkungsanteil &lt; 60%</t>
  </si>
  <si>
    <t>40 € pro ausgefallenem Schultag für Nachhilfe, max. 4.000 €</t>
  </si>
  <si>
    <t>Unterricht durch Privatlehrer,
max. 6 Monate</t>
  </si>
  <si>
    <t>1.000 Tage nach Unfallereignis</t>
  </si>
  <si>
    <t>bis 500 Tage,
wahlweise gestaffelt</t>
  </si>
  <si>
    <t>ja, als Folge einer Impfung gegen Tollwut/ Wundstarrkrampf/ Zecken</t>
  </si>
  <si>
    <t>Tollwut, Wundstarrkramp und durch Unfall in Körper gelangte Infektionen</t>
  </si>
  <si>
    <t>bis 30.000 € im Rahmen der Serviceleistungen</t>
  </si>
  <si>
    <t>vereinbarte VS (auch Zahnersatz 
für Schneide-/ Eckzähne)</t>
  </si>
  <si>
    <t>ab 20. Ausfalltag: 15 €/Tag, ab 100. Ausfalltag: 25€/Tag; max. 6 Monate</t>
  </si>
  <si>
    <t>1.-10. Übernachtung: je 30 €, ab 11. Übernachtung: je 15 €; max. 21 Tage</t>
  </si>
  <si>
    <t>50%, max. 150.000 € für Invalidität und 75.000 € für Tod</t>
  </si>
  <si>
    <t xml:space="preserve">ab 90% Invalidität, 
max. 160.000 € </t>
  </si>
  <si>
    <t>ab 70% Inv. bis 10% der Invaliditäts-grundsumme, max. 50.000 €</t>
  </si>
  <si>
    <t>80 € pro Tag, max. 14 Tage
(nur, wenn Kinder im Haushalt leben)</t>
  </si>
  <si>
    <t>Erhöhung um 50%, max. 150.000 € für Invalidität und 75.000 € für Tod</t>
  </si>
  <si>
    <t>KTG: 2 Tagessätze
GG: 1 Tagessatz</t>
  </si>
  <si>
    <t>Pflege- und Hilfsleistungen versicherbar (keine Geldleistungen)</t>
  </si>
  <si>
    <t>bis Pflegestufe I</t>
  </si>
  <si>
    <t>bis 3 Monate
Inv. Bis 60.000 €
Tod 6.000 €</t>
  </si>
  <si>
    <t>Allianz Unfall Aktiv</t>
  </si>
  <si>
    <t>ja, über "UnfallCard"</t>
  </si>
  <si>
    <t>nur bei vorübergehender Änderung</t>
  </si>
  <si>
    <t>ab 70% Invalidität
5-fache Invaliditätsgrundsumme</t>
  </si>
  <si>
    <t>ab dem 4. Tag</t>
  </si>
  <si>
    <t>aktive Hilfeleistungen zusätzlich versicherbar (keine Geldleistungen)</t>
  </si>
  <si>
    <t>bis 5.000 € inklusive; bis 15.000 möglich (auch Schneide-/Eckzähne)</t>
  </si>
  <si>
    <t>&gt; 20 qcm Hautoberfläche oder
Verätzung der Hornhaut des Auges</t>
  </si>
  <si>
    <t>3 Monate + 3 Monate bei Anzeige
Inv. 50.000 €
Tod 5.000 €
Bergung / kosmet. OP 5.000 €
Kurbeihilfe 1.000 €</t>
  </si>
  <si>
    <t>AUB 2008 Stand 01-2011
afm-Sonderbedingungen</t>
  </si>
  <si>
    <t>nur für Unfallrente versicherbar
ab 90% Invalidität</t>
  </si>
  <si>
    <t>max. 100 Übernachtungen
wieviel pro Übernachtung?</t>
  </si>
  <si>
    <t>zusätzlich versicherbar über Verletzungsgeld bis 2.500€</t>
  </si>
  <si>
    <t>bis 5.000 € inklusive;
bis 15.000 € versicherbar</t>
  </si>
  <si>
    <t>bis 1.000 € inklusive;
bis 5.000 € versicherbar</t>
  </si>
  <si>
    <t>versicherbar bis 10.000 € + je 2.500 € f. Fitnessmaßnahmen/Rehamanager</t>
  </si>
  <si>
    <t>aktive Hilfeleistungen bis 3 Monate zusätzlich (keine Geldleistung)</t>
  </si>
  <si>
    <t>bis 6 Monate
Inv. bis 50.000 €
Tod/Bergung/Kur je bis 5.000 €;
für Ungeborene hälftige Inv. von der Mutter</t>
  </si>
  <si>
    <t>bis 6 Monate ab Eheschließung
Inv. bis 50.000 €
Tod bis 10.000 €
Bergung/Kur je bis 5.000 €</t>
  </si>
  <si>
    <t>bis 100 Tage
zusätzlich versicherbar</t>
  </si>
  <si>
    <t>ja - prämienwirksam
(abwählbar)</t>
  </si>
  <si>
    <t>im Rahmen der Kurbeihilfe</t>
  </si>
  <si>
    <t>48 h;
auch Verschollenheit ist vesichert</t>
  </si>
  <si>
    <t>bis Vollendung 14. Lebensjahr:
25 € 1.-10. Tag, dann 12,50 €</t>
  </si>
  <si>
    <t>50 €/Tag, max. 30 Tage - vermittelt (wenn Kind unter 16 J.  im Haushalt)</t>
  </si>
  <si>
    <t>Unfälle aufgrund Übermüdung 
sind mitversichert</t>
  </si>
  <si>
    <t>Gäste und Besucherschutz
Inv. bis 10.000 € / Tod bis 5.000 €</t>
  </si>
  <si>
    <t>Erhöhung um 20.000 €
(nicht bei Kindern)</t>
  </si>
  <si>
    <t>10% d. Inv. + 10-fache Unfallrente (max. 12.000 €); bis Vollendung 21. Lj.</t>
  </si>
  <si>
    <t>KRAVAG Familien-UV 2011</t>
  </si>
  <si>
    <t>KRAVAG Gruppen-UV 2011</t>
  </si>
  <si>
    <t>Kinderlähmung</t>
  </si>
  <si>
    <t>Tollwut, Wundstarrkrampf und durch Unfall in Körper gelangte Infektionen</t>
  </si>
  <si>
    <t>Zeckenbisse (Meningitis/
Borreliose)</t>
  </si>
  <si>
    <t>Tollwut, Wundstarrkrampf, Kinder-lähmung, Infektionen durch Unfall,  Infektionen durch Berufsausübung</t>
  </si>
  <si>
    <t>bis 2 Wochen</t>
  </si>
  <si>
    <t>ja (Noteinweisung o. einziges Ver-sorgungskrankenhaus in der Nähe)</t>
  </si>
  <si>
    <t>in Höhe der vereinbarten Übergangsleistung</t>
  </si>
  <si>
    <t>Kenntnisnahme vom Tod durch VN/ Erben/ bezugsberechtigte Person</t>
  </si>
  <si>
    <t>bis 6 Monate (+6 Monate bei Mitteilung)
Inv. bis 50.000 €</t>
  </si>
  <si>
    <t>bis 6 Monate  (+6 Monate bei Mitteilung)
Inv. bis 20.000 €</t>
  </si>
  <si>
    <t>20 € pro Tag, max. 100 Tage
(im Rahmen der Kinder-Unfallvers.)</t>
  </si>
  <si>
    <t>bis max. 3 Jahre
(danach erlischt der Vertrag)</t>
  </si>
  <si>
    <t>1. - 10. Tag: 100%; 11. - 20. Tag: 50%; 
21. - 100. Tag: 25%</t>
  </si>
  <si>
    <t>schwer bedingt versicherbar</t>
  </si>
  <si>
    <t>bis 3 Monate ab Heirat 
(+3 Monate bei Mitteilung)
mit Versicherungssummen 
des VN</t>
  </si>
  <si>
    <t>25 € pro Tag
max. 20 Tage</t>
  </si>
  <si>
    <t>50 € pro Tag, max. 500 € (nur wenn Kinder &lt; 18 J.  im Haushalt leben)</t>
  </si>
  <si>
    <t>ab Tarif "Aktiv50Plus"</t>
  </si>
  <si>
    <t>Einmalzahlung 
i. H. v. 150 €</t>
  </si>
  <si>
    <t>vereinbarte Kapitalleistung in 
5-facher Höhe</t>
  </si>
  <si>
    <t>Folgen von Insektenstichen</t>
  </si>
  <si>
    <t>10% der Invaliditätssumme,
max. 20.000 €</t>
  </si>
  <si>
    <t>25% der vereinbarten Übergangsleistung</t>
  </si>
  <si>
    <t>Sonderkündigungsrecht
ab 1 Monat Arbeitslosigkeit</t>
  </si>
  <si>
    <t>100 € pro Tag, max. 3.000 € (wenn Kind unter 16 Jahre im Haushalt lebt)</t>
  </si>
  <si>
    <t>50 € pro Tag, max. 1.000 € (wenn Kind unter 16 Jahre im Haushalt lebt)</t>
  </si>
  <si>
    <t>100 € pro Woche, 
max. 10 Wochen</t>
  </si>
  <si>
    <t>200 € pro Woche,
max. 20 Wochen</t>
  </si>
  <si>
    <t xml:space="preserve">1.-365. Tag: 100%; 366.-558. Tag: 50%
559.-750. Tag: 25% </t>
  </si>
  <si>
    <t>Pflegeleistungen 
zusätzlich versicherbar</t>
  </si>
  <si>
    <t>für 2 Jahre</t>
  </si>
  <si>
    <t>10% der Invaliditätssumme,
max. 10.000 €</t>
  </si>
  <si>
    <t>20% der Invaliditätssumme,
max. 20.000 €</t>
  </si>
  <si>
    <t>Eintritt: 24 Monate
ärtztl. Feststellung: 36 Monate</t>
  </si>
  <si>
    <t>max. 20.000 € (mind. 1 Kind hat 14. Lebenjahr noch nicht vollendet)</t>
  </si>
  <si>
    <t>max. 40.000 € (mind. 1 Kind hat 14. Lebenjahr noch nicht vollendet)</t>
  </si>
  <si>
    <t>bis zur Anerkennung
einer Pflegestufe</t>
  </si>
  <si>
    <t>Streichung der Operationspflicht</t>
  </si>
  <si>
    <t>-Eigenbewegungen sind versichert
-Streichung der Operationspflicht</t>
  </si>
  <si>
    <t xml:space="preserve">bis 14 Tage </t>
  </si>
  <si>
    <t>in Höhe des KHTG,
max. 40 Übernachtungen</t>
  </si>
  <si>
    <t>in Höhe des KHTG,
max. 30 Übernachtungen</t>
  </si>
  <si>
    <t>dauernd schwer Pflegebedürftige sind nicht mehr versicherbar</t>
  </si>
  <si>
    <t>Bei Tod des VN: 
Hilfeleistungen für die Familie</t>
  </si>
  <si>
    <t>nur Zeckenbisse
(Meningitis)</t>
  </si>
  <si>
    <t>durch Röntgen-/ Laserstrahlen und
künstl. Erzeugte UV-Strahlen</t>
  </si>
  <si>
    <t>Pflegeleistungen im Rahmen der 
Hilfeleistungen</t>
  </si>
  <si>
    <t>bis 3 Monate ab Heirat
Inv. 25.000 €
Tod / Übergangsleistung je 1.500 €
kosmet. OP 5.000; Bergung 50.000 €
UKHT 15 €</t>
  </si>
  <si>
    <t>bis 3 Monate
Inv. 25.000 €
Tod / Übergangsleistung je 1.500 €
kosmet. OP 5.000; Bergung 50.000 €
UKHT 15 €</t>
  </si>
  <si>
    <t>ab 70% Invalidität 3-fache Summe o.
ab 90% Invalidität doppelte Summe</t>
  </si>
  <si>
    <t>zusätzlich versicherbar (auch Zahn-ersatz für Schneide-/ Eckzähne)</t>
  </si>
  <si>
    <t>in Höhe der Übergangsleistung
(sofern vereinbart)</t>
  </si>
  <si>
    <t>zusätzlich versicherbar
(bis 5.000 €)</t>
  </si>
  <si>
    <t>zusätzlich versicherbar
im Rahmen der "Familienhilfe Plus"</t>
  </si>
  <si>
    <t>Hilfeleistungen versicherbar
im Rahmen der "Familienhilfe Plus"</t>
  </si>
  <si>
    <t>zusätzlich  versicherbar (Leistung wird in Bed. einmal erwähnt)</t>
  </si>
  <si>
    <t>AUB 2010
Stand 04-2011</t>
  </si>
  <si>
    <t>100 € pro Tag, max. 60 Tage (wenn Kind unter 14 J. im Haushalt lebt)</t>
  </si>
  <si>
    <t>Eintritt: 24 Monate
ärztliche Feststellung: 36 Monate</t>
  </si>
  <si>
    <t>bis 1 Jahr
Inv. bis 50.000 €</t>
  </si>
  <si>
    <t>bis 3 Monate ab Heirat
Inv. bis 60.000 €
Tod 12.000 €</t>
  </si>
  <si>
    <t>bis zur nächsten Hauptfälligkeit
Inv. bis 50.000 €</t>
  </si>
  <si>
    <t>ja
(Führen von Kfz bis 0,5 ‰)</t>
  </si>
  <si>
    <t>ab 90% Invalidität
doppelte Invaliditätsgrundsumme</t>
  </si>
  <si>
    <t>Höhe?(auch Zahnersatz für Schneide-/ Eckzähne bis 5.000 €/10.000 € für Kinder)</t>
  </si>
  <si>
    <t>Deutschland: bis 10.000 €
weltweit: bis 20.000 €</t>
  </si>
  <si>
    <t>3 Jahre nach Unfallereignis
(Leistungsdauer: max. 30 Monate)</t>
  </si>
  <si>
    <t>nicht im Ausland (vollsationärer Aufenthalt im Inland max. 30 Tage)</t>
  </si>
  <si>
    <t>unverzüglich</t>
  </si>
  <si>
    <t>max. 15.000 €</t>
  </si>
  <si>
    <t>bis 60 Tage, max. 6.000 € (wenn Kind unter 15 Jahre im Haushalt lebt)</t>
  </si>
  <si>
    <t>30 € pro Tag, 
max. 60 Tage</t>
  </si>
  <si>
    <t>ab einem Invaliditätsgrad von 50%,
max. 6.000 €</t>
  </si>
  <si>
    <t>ab einem Invaliditätsgrad von 50%,
max. 10.000 € (6.000 € f. Umschulung)</t>
  </si>
  <si>
    <t>100 € pro Woche, 
max. 2.500 €</t>
  </si>
  <si>
    <t>25 € je Übernachtung (bei Nachweis 50 €), max. 12 Monate</t>
  </si>
  <si>
    <t>100 € - 1.000 € (je nach Dauer des vollstationären Aufenthalts)</t>
  </si>
  <si>
    <t>5% der Invaliditätsgrundsumme, 
max. 10.000 €</t>
  </si>
  <si>
    <t>Eintritt: 1 Jahr
ärztliche Feststellung: 18 Monate</t>
  </si>
  <si>
    <t>Eintritt: 21 Monate
ärtztliche Feststellung: 30 Monate</t>
  </si>
  <si>
    <t>bis zur nächsten HF, mind. 6 Mon.
Inv. bis 100.000 €, 
50% der vereinbarten Unfallrente,
Tod 5.000 €,
 Bergung + kosmet. OP je 10.000 €</t>
  </si>
  <si>
    <t>ja, bis Vollendung 18. Lebensjahr (auch bei 100% Invalidit des VN)</t>
  </si>
  <si>
    <t>Reha-Tagegeld 
in Höhe des UKHT</t>
  </si>
  <si>
    <t>versicherbar über "Unfall-Assistance" / "Reha-Management"</t>
  </si>
  <si>
    <t>ja
(auch Tiere)</t>
  </si>
  <si>
    <t>max. 12 Monate</t>
  </si>
  <si>
    <t>Schmerzensgeld 200 €
(nur wenn KHTG versichert ist)</t>
  </si>
  <si>
    <t>max. 4 Wochen</t>
  </si>
  <si>
    <t>Pflegeleistungen sind über Baustein "Easy Care" zusätzlich versicherbar</t>
  </si>
  <si>
    <t>DEVK Komplett</t>
  </si>
  <si>
    <t>bis zum Ablauf des Versicherungs-jahres, in dem Kind 18. Lj. vollendet</t>
  </si>
  <si>
    <t>bei Abschluss Unfall-Rente Reha-
Management (Beratung) bis 2.000 €</t>
  </si>
  <si>
    <t>AUB 2010 Premium
Stand 01-2010</t>
  </si>
  <si>
    <t>AUB 2007 Protect
Stand 01-2010</t>
  </si>
  <si>
    <t>Interlloyd Protect
(Stand 2007)</t>
  </si>
  <si>
    <t>KRAVAG afm Familien-UV
(Stand 07-2008)</t>
  </si>
  <si>
    <t>KRAVAG afm Gruppen-UV
(Stand 07-2008)</t>
  </si>
  <si>
    <t>Rhion Plus
(Stand 04-2011)</t>
  </si>
  <si>
    <t>Signal Iduna Basis
(Stand 05-2001)</t>
  </si>
  <si>
    <t>AXA ohne Beitragsrückgew.
(Stand 04-2010)</t>
  </si>
  <si>
    <t>Stuttgarter
(Stand 07-2010)</t>
  </si>
  <si>
    <t>AUB B17 XL
Stand 07-2011</t>
  </si>
  <si>
    <t>AUB B18 XXL
Stand 07-2011</t>
  </si>
  <si>
    <t>bis 100 Tage;
vom 101. - 365. Tag zu 50%</t>
  </si>
  <si>
    <t>AUB 2011
Stand 09-2011</t>
  </si>
  <si>
    <t>AXA Komfort ohne BR</t>
  </si>
  <si>
    <t>Ring-/Mittelfinger: 12%
kleiner Finger: 7%</t>
  </si>
  <si>
    <t>Stuttgarter 1000Plus</t>
  </si>
  <si>
    <t>Vergiftungen durch irrtümlich für Nahrungsmittel gehaltene Stoffe</t>
  </si>
  <si>
    <t>für Kinder bis zur Vollendung des
10. Lebensjahrs</t>
  </si>
  <si>
    <t>bis zum Ablauf des Versicherungs-jahres, in dem Kind 25. Lj. vollendet</t>
  </si>
  <si>
    <t>bis zum Ablauf des Versicherungs-jahres, in dem Kind 21. Lj. vollendet</t>
  </si>
  <si>
    <t>bis zum Ablauf des Versicherungs-jahres, in dem Kind 19. Lj. vollendet</t>
  </si>
  <si>
    <t>ab 50% Invaliditätsgrad d. VN bis zur Vollendung des 18. Lj. des Kindes</t>
  </si>
  <si>
    <t>Alte Leipziger XXL</t>
  </si>
  <si>
    <t>sonstige Infektionen (u.a. Cholera, Diphtherie)</t>
  </si>
  <si>
    <t>versicherbar bis 30.000 €</t>
  </si>
  <si>
    <t>bis 25.000 € (auch Zahnersatz für Schneide-/ Eckzähne)</t>
  </si>
  <si>
    <t>Haushaltsleistungen versicherbar, über den Baustein "Pflege-Rente"</t>
  </si>
  <si>
    <t>im Rahmen der Sofortleistung bei Schwerverletzungen (eingeschränkt)</t>
  </si>
  <si>
    <t>ja, bis zum vollendeten 14. Lj.</t>
  </si>
  <si>
    <t xml:space="preserve">bis zur Hauptfälligkeit, die nach dem ersten Geburtstag des Kindes folgt
Inv. - 100.000 €; Tod - 10.000 €; 
KHTG - 30 € </t>
  </si>
  <si>
    <t>versicherbar ab 75% Invalidität
max. 250.000 €</t>
  </si>
  <si>
    <t>1 Woche</t>
  </si>
  <si>
    <t>bis zum Ablauf des Versicherungs-jahres, in dem Kind 18. Lj. Vollendet</t>
  </si>
  <si>
    <t>bis zu 5 Tagessätze</t>
  </si>
  <si>
    <t>Pflegeleistungen versicherbar über Baustein "Pflege-Rente"</t>
  </si>
  <si>
    <t>Versehensklausel bei Berufsveränderung
(keine automatische Leistungsreduzierung)</t>
  </si>
  <si>
    <t>bei Nachweis eines Versehens</t>
  </si>
  <si>
    <t>nach 1 Jahr</t>
  </si>
  <si>
    <t xml:space="preserve">
Gesundheitsschädigungen durch 
Höhenkrankheit mitversichert;
Mitversicherung von Sportgeräten bis 1.500 €;
Überführungskosten in KH nach Wahl nach Unfall &gt;100 km von Wohnort entfernt bis 1.000 €
</t>
  </si>
  <si>
    <t>Dreitagefieber und Pocken</t>
  </si>
  <si>
    <t>ja
Inv. max. 60.000 €, Tod max. 10.000 €</t>
  </si>
  <si>
    <t>zusätzlich versicherbar im Rahmen einer Sondervereinbarung</t>
  </si>
  <si>
    <t>nur, wenn VN nicht als Unruhestifter teilnahm</t>
  </si>
  <si>
    <t>Lebensmittel
Inv. max. 60.000 €, Tod max. 10.000 €</t>
  </si>
  <si>
    <t>bis 3.000 € - erhöhbar (Zahnersatz/ -behandlung Schneide-/Eckzähne bis 750 €)</t>
  </si>
  <si>
    <t>3 Monate + 3 Monate bei Anzeige
Inv. - 30.000 € (Progression 500)
Tod - 3.000 €
KHTG / GG - 15 €</t>
  </si>
  <si>
    <t>ab 90% Invalidität,
max. 200.000 €</t>
  </si>
  <si>
    <t>sofern Todesfallleistung vereinbart (max. 40.000 €), wenn Kind &lt; 14 Jahre</t>
  </si>
  <si>
    <t>gestaffelt, max. 100 Tage</t>
  </si>
  <si>
    <t>max. 10 Wochen (100 € je Woche 
+ 100 € für Woche nach d. Aufwachen</t>
  </si>
  <si>
    <t>Verdoppelung KHTG für max. 30 Übernachtungen (für Kinder bis 14 J.)</t>
  </si>
  <si>
    <t>Kinder-Betreuungsgeld
25 € pro Tag, max. 50 Tage</t>
  </si>
  <si>
    <t>Verdoppelung der VS
bei Mehrleistung max. 200.000 €
bei Progression 500% max. 1 Mio. €</t>
  </si>
  <si>
    <t>nach 2 Monaten</t>
  </si>
  <si>
    <t>ja, bis zum vollendeten 18. Lj.</t>
  </si>
  <si>
    <t>Pflege- und Hilfeleistungen über Baustein "Unfall-HILFE"</t>
  </si>
  <si>
    <t>keine Kündigungsfrist</t>
  </si>
  <si>
    <t>ja (die in den Bed. genannten),
auch Prothesenreparatur bis 2.500 €</t>
  </si>
  <si>
    <t>bis zu 15.000 € 
(je nach Rehafall)</t>
  </si>
  <si>
    <t xml:space="preserve">ab 50% Invalidität </t>
  </si>
  <si>
    <t>Tollwut, Wundstarrkrampf und durch Unfall in Körper gelangte Infektionen sowie Infektionen nach Klausel U68</t>
  </si>
  <si>
    <t>ja, im Rahmen der Klausel U69</t>
  </si>
  <si>
    <t>ja, gemäß Klausel U68</t>
  </si>
  <si>
    <t>HKD Vollschutz</t>
  </si>
  <si>
    <t>AUB 2010
Stand 01-2012</t>
  </si>
  <si>
    <t>-Leistung bei bestimmten Krebserkrankungen (10% der VS, max. 20.000 €) ; -kosm. OP bei Brustkrebs (bis 10.000 €)
-Blutungen aus inneren Organen/ Gehirnblutungen sind versichert
-psychische Erkrank. durch Unfall</t>
  </si>
  <si>
    <t>siehe Nachhilfegeld</t>
  </si>
  <si>
    <t>Quelle:</t>
  </si>
  <si>
    <t>ja,
bis zum vollendeten 10. Lj.</t>
  </si>
  <si>
    <t>ja, auch allergische Reaktionen</t>
  </si>
  <si>
    <t>BB 1. I. E. 38. 1. a + 3.)</t>
  </si>
  <si>
    <t>BB 1. I. E. 38. 1. b)</t>
  </si>
  <si>
    <t>BB 1. I. E. 38. 2.</t>
  </si>
  <si>
    <t>ja (max. Einwirkung: 7 Tage)</t>
  </si>
  <si>
    <t>BB 1. I. A. 1.</t>
  </si>
  <si>
    <t>BB 1. I. A. 2.</t>
  </si>
  <si>
    <t>BB 1. I. A. 3.</t>
  </si>
  <si>
    <t>BB 1. I. A. 4.</t>
  </si>
  <si>
    <t>BB 1. I. A. 6.</t>
  </si>
  <si>
    <t>BB 1. I. A. 7. 1.</t>
  </si>
  <si>
    <t>BB 1. I. E. 36.</t>
  </si>
  <si>
    <t>BB 1. I. A. 9.</t>
  </si>
  <si>
    <t>BB 1. I. A. 8.</t>
  </si>
  <si>
    <t xml:space="preserve">  BB 1. I. E. 31. 1.</t>
  </si>
  <si>
    <t>unvorhergesehen bis 14 Tage (auch gewalttätige Auseinanersetzungen)</t>
  </si>
  <si>
    <t xml:space="preserve"> BB 1. I. E. 32. und BB 1. I. A. 7. 2.</t>
  </si>
  <si>
    <t>BB 1. I. E. 39.</t>
  </si>
  <si>
    <t>BB 1. I.B. 23.1.1 + S. 44</t>
  </si>
  <si>
    <t>BB. 1. I. B. 23. 1.6</t>
  </si>
  <si>
    <t>10% der Invaliditätsgrundsumme, max. 20.000 €</t>
  </si>
  <si>
    <t>BB 1. I. B. 16.</t>
  </si>
  <si>
    <t>bis 50.000 € (inkl. Zahnersatz)</t>
  </si>
  <si>
    <t>BB 1. I. B. 25. 2.1 + S. 44</t>
  </si>
  <si>
    <t>BB. 1. I. B. 24 + S. 44</t>
  </si>
  <si>
    <t>im Rahmen der behinderungsbedingten Kosten</t>
  </si>
  <si>
    <t>BB. 1. I. B. 21. a-e</t>
  </si>
  <si>
    <t xml:space="preserve">bis Ende des Jahres, in dem Kind 18. Lj. vollendet (gilt auch ab 50% Inv) </t>
  </si>
  <si>
    <t>BB. 1. II. 6. 1./2.</t>
  </si>
  <si>
    <t>max. 3 Jahre, 12 Monate Wartezeit
(Arbeitsunfähigkeit max. 12 Monate)</t>
  </si>
  <si>
    <t>BB. 1. I. H. 47. 3./4.</t>
  </si>
  <si>
    <t>bis 3 Monate ab Heirat
Inv. - 100.000 € (ohne Progression)
Tod - 10.000 €
KHTG/GG - 20 €</t>
  </si>
  <si>
    <t>BB. 1. I. B. 27.</t>
  </si>
  <si>
    <t>BB. 1. III. A. 1.</t>
  </si>
  <si>
    <t>Vermittlung und Kostenübernahme
max. 75 € je Tag, max. 7 Tage</t>
  </si>
  <si>
    <t>BB. 1. III. A. 2.</t>
  </si>
  <si>
    <t>sofern KHTG und GG vereinbart ist
200 €</t>
  </si>
  <si>
    <t>BB. 1. I. B. 18. 4.</t>
  </si>
  <si>
    <t>bei Mitwirkungsanteil &lt; 70%  
(keine Mitwirkung sofern vereinbart)</t>
  </si>
  <si>
    <t>BB. 1. I. D. 30. 1./2.</t>
  </si>
  <si>
    <t>BB 1. I. A. 5.</t>
  </si>
  <si>
    <t>bis 30 € pro ausgefallenem Schultag, max. 100-facher Satz</t>
  </si>
  <si>
    <t>BB. 1. II. 7.</t>
  </si>
  <si>
    <t>siehe BB. 1. II. 7.</t>
  </si>
  <si>
    <t>60 € je Übernachtung</t>
  </si>
  <si>
    <t>BB. 1. II. 1.</t>
  </si>
  <si>
    <t>bis zur Vollendung des 1. Lj. ab der Schwangerschaft
Inv. - 60.000 €; Tod - 10.000 €
(adoptierte Kinder &lt; 14 J.: Inv. 30.000 €)</t>
  </si>
  <si>
    <t>BB. 1. II. 4. 1./3.</t>
  </si>
  <si>
    <t>Ziff. 2. 1. 2. 1.</t>
  </si>
  <si>
    <t>BB 1. I. A. 10.</t>
  </si>
  <si>
    <t>BB 1. I. F. 41.</t>
  </si>
  <si>
    <t>BB 1. I. F. 43.</t>
  </si>
  <si>
    <t>ja, max. 500.000 €</t>
  </si>
  <si>
    <t>BB. 1. I. B. 20. 4.</t>
  </si>
  <si>
    <t>ja, max. 50.000 €</t>
  </si>
  <si>
    <t>BB. 1. I. B. 20. 5.</t>
  </si>
  <si>
    <t>BB. 1. II. 6. 1.</t>
  </si>
  <si>
    <t>5 Jahre nach Unfalltag</t>
  </si>
  <si>
    <t>BB 1. I. B. 18. 1.</t>
  </si>
  <si>
    <t>BB. 1. I. B. 18. 2./3.</t>
  </si>
  <si>
    <t>3 Tagessätze</t>
  </si>
  <si>
    <t>BB. 1. I. B. 18. 5.</t>
  </si>
  <si>
    <t>BB. 1. I. B. 18. 8.</t>
  </si>
  <si>
    <t>in Höhe des vereinbarten KHTG, mind. 30 € je Tag, max. 3 Jahre</t>
  </si>
  <si>
    <t>BB. 1. I. B. 19. 1.</t>
  </si>
  <si>
    <t>20 € je Tag, max. 3 Jahre</t>
  </si>
  <si>
    <t>BB. 1. I. B. 19. 2.</t>
  </si>
  <si>
    <t>ab 70%
(keine Mitwirkung sofern vereinbart)</t>
  </si>
  <si>
    <t>BB. 1. I. C. 29.</t>
  </si>
  <si>
    <t>Sonderkündigungsrecht und Beitragsrückerstattung</t>
  </si>
  <si>
    <t>BB 1. I. H. 49</t>
  </si>
  <si>
    <t>BB. 1. I. H. 52.</t>
  </si>
  <si>
    <t>BB 1. I. B. 11.</t>
  </si>
  <si>
    <t>Ziff. 5.2.5.2</t>
  </si>
  <si>
    <t>Ziff. 1.4.10</t>
  </si>
  <si>
    <t>Ziff. 1.4.9</t>
  </si>
  <si>
    <t>Ziff. 1.4.5</t>
  </si>
  <si>
    <t>Ziff. 1.4.6</t>
  </si>
  <si>
    <t>Ziff. 1.4.7</t>
  </si>
  <si>
    <t>Ziff. 1.4.4</t>
  </si>
  <si>
    <t>Ziff. 1.4.2</t>
  </si>
  <si>
    <t>Ziff. 5.2.3</t>
  </si>
  <si>
    <t>Ziff. 5.1.1</t>
  </si>
  <si>
    <t>Ziff. 1.4.1</t>
  </si>
  <si>
    <t xml:space="preserve"> Ziff. 5.1.3 und Ziff. 1.4.3</t>
  </si>
  <si>
    <t>Ziff. 5.2.6</t>
  </si>
  <si>
    <t>bis 100.000 €</t>
  </si>
  <si>
    <t>versicherbar über Reha-Management</t>
  </si>
  <si>
    <t>versicherbar über Reha-Management bis 25% der VS</t>
  </si>
  <si>
    <t>versicherbar im Rahmen der "Familienhilfe Plus"</t>
  </si>
  <si>
    <t>bei Mitwirkungsanteil &lt; 35%</t>
  </si>
  <si>
    <t>Ziff. 3</t>
  </si>
  <si>
    <t>Ziff. 1.4.8</t>
  </si>
  <si>
    <t>doppeltes Krankenhaustagegeld,
max. 10 Übernachtungen</t>
  </si>
  <si>
    <t>Ziff.2.1.3.1</t>
  </si>
  <si>
    <t>Ziff. 2.1.1.2</t>
  </si>
  <si>
    <t>Ziff. 7.1</t>
  </si>
  <si>
    <t>Ziff. 7.5</t>
  </si>
  <si>
    <t>Verdreifachung, max. 100.000 €</t>
  </si>
  <si>
    <t>Ziff. 2.4.2</t>
  </si>
  <si>
    <t>ab 35 %</t>
  </si>
  <si>
    <t>Ziff. 6.2.1</t>
  </si>
  <si>
    <t>dauernd Pflegebed. (Hilfe für 3 Ver-richtungen tägl.) nicht versicherbar</t>
  </si>
  <si>
    <t>Häger Top</t>
  </si>
  <si>
    <t>BB I. Ziff. 1</t>
  </si>
  <si>
    <t>unvorhergesehen bis 21 Tage (auch gewalttätige Auseinanersetzungen)</t>
  </si>
  <si>
    <t>BB I. Ziff. 2 / 32</t>
  </si>
  <si>
    <t>BB I. Ziff. 3</t>
  </si>
  <si>
    <t>BB I. Ziff. 4</t>
  </si>
  <si>
    <t>BB I. Ziff. 5</t>
  </si>
  <si>
    <t>BB I. Ziff. 6</t>
  </si>
  <si>
    <t>BB I. Ziff. 7</t>
  </si>
  <si>
    <t>BB I. Ziff. 8</t>
  </si>
  <si>
    <t>BB I. Ziff. 9 a)</t>
  </si>
  <si>
    <t>BB I. Ziff. 10</t>
  </si>
  <si>
    <t>BB I. Ziff. 16</t>
  </si>
  <si>
    <t>bis 20.000 €  (auch Zahnersatz für
Eck-/ Schneidezähne)</t>
  </si>
  <si>
    <t>BB I. Ziff. 21 / 22</t>
  </si>
  <si>
    <t>BB I. Ziff. 23</t>
  </si>
  <si>
    <t>BB I. Ziff. 25</t>
  </si>
  <si>
    <t>vereinbarte Übergangsleistung</t>
  </si>
  <si>
    <t>5 Jahre nach Unfalltag
(max. 1.000 Tage)</t>
  </si>
  <si>
    <t>BB I. Ziff. 28</t>
  </si>
  <si>
    <t>BB I. Ziff. 31</t>
  </si>
  <si>
    <t>25 € pro Tag,
max. 50 Tage</t>
  </si>
  <si>
    <t>BB I. Ziff. 33</t>
  </si>
  <si>
    <t>BB I. Ziff. 34</t>
  </si>
  <si>
    <t>ab Kenntnisnahme (auch Verschollenheit - max. 20.000 €)</t>
  </si>
  <si>
    <t>BB I. Ziff. 26 / 36</t>
  </si>
  <si>
    <t>max. 3 Jahre, 12 Monate Wartezeit</t>
  </si>
  <si>
    <t>BB I. Ziff. 38</t>
  </si>
  <si>
    <t>BB I. Ziff. 40</t>
  </si>
  <si>
    <t>BB I. Ziff. 41</t>
  </si>
  <si>
    <t>50 € je Übernachtung,
max. 20 Übernachtungen</t>
  </si>
  <si>
    <t>BB II. Ziff. 4</t>
  </si>
  <si>
    <t>bis 6 Monate
Inv. - 50.000 €</t>
  </si>
  <si>
    <t>bis 12 Monate
Inv. - 50.000 €</t>
  </si>
  <si>
    <t>bis 1 Jahr ab Vollendung der Geburt
Inv. - 50.000 € (ohne Progression)</t>
  </si>
  <si>
    <t>BB II. Ziff. 6</t>
  </si>
  <si>
    <t>BB II. Ziff. 5</t>
  </si>
  <si>
    <t>BB II. Ziff. 1</t>
  </si>
  <si>
    <t>HUV Ziff. 2.1.2.1</t>
  </si>
  <si>
    <t xml:space="preserve">bei Mitwirkungsanteil &lt; 50% </t>
  </si>
  <si>
    <t>HUV Ziff. 5.2.5</t>
  </si>
  <si>
    <t>HUV Ziff. 2.4.2</t>
  </si>
  <si>
    <t>HUV Ziff. 2.5.2</t>
  </si>
  <si>
    <t>HUV Ziff. 4.1 / 4.2</t>
  </si>
  <si>
    <t>HUV Ziff. 6.2.1</t>
  </si>
  <si>
    <t>Signal Iduna Exklusiv
(Stand 11-2009)</t>
  </si>
  <si>
    <t>AUB 2011
Stand 10-2011</t>
  </si>
  <si>
    <t>BB.  S. 47, Ziff. 1.2</t>
  </si>
  <si>
    <t>bis 12.500 € (Zahnersatz f. Eck-/ Schneidezähne bis 5.000 €)</t>
  </si>
  <si>
    <t>BB. S. 54, Ziff. 1.1 / 1.2</t>
  </si>
  <si>
    <t>bis 12.500 €</t>
  </si>
  <si>
    <t>BB. S. 55</t>
  </si>
  <si>
    <t>BB. S. 66, Ziff. 2.3</t>
  </si>
  <si>
    <t>BB. S. 69</t>
  </si>
  <si>
    <t>AUB Ziff. 5.1.1</t>
  </si>
  <si>
    <t>BB. S. 71</t>
  </si>
  <si>
    <t>BB. S. 71, Ziff. 1.1</t>
  </si>
  <si>
    <t>BB. S. 71, Ziff. 1.2</t>
  </si>
  <si>
    <t>AUB Ziff. 2.4.2 + BB S. 71, Ziff. 1.3</t>
  </si>
  <si>
    <t>AUB Ziff. 2.5.2</t>
  </si>
  <si>
    <t>BB. S. 72, Ziff. 2.1</t>
  </si>
  <si>
    <t>einmalig max. 1.000 €;
max. 3 Jahre ab Unfalltag</t>
  </si>
  <si>
    <t>BB. S. 73, Ziff. 2.1</t>
  </si>
  <si>
    <t>BB. S. 74, Ziff. 2.1</t>
  </si>
  <si>
    <t>BB. S. 76, Ziff. 1.</t>
  </si>
  <si>
    <t>max. 6 Monate ab Geburt
Inv. - 60.000 € (Progression 400)
Tod - 5.000 €
Bergungskosten/kosm. OP - 7.500 €
KHTG - 20 €</t>
  </si>
  <si>
    <t>BB. S. 78, Ziff. 2.1</t>
  </si>
  <si>
    <t>BB. S. 78</t>
  </si>
  <si>
    <t>ja (Bauch-/ Unterleibs-/ Leisten-brüche auch ohne Unfallereignis)</t>
  </si>
  <si>
    <t>BB. S. 83</t>
  </si>
  <si>
    <t>Infektion durch die Ausübung des genannten Berufs</t>
  </si>
  <si>
    <t>BB. Ziff. 1.1</t>
  </si>
  <si>
    <t>Gipsgeld frei wählbar,
max. 2.000 €</t>
  </si>
  <si>
    <t>Rechner + BB. S. 67, Ziff. 2.1</t>
  </si>
  <si>
    <t>frei wählbar,
max. 50.000 €</t>
  </si>
  <si>
    <t>Rechner + AUB Ziff. 2.6.2</t>
  </si>
  <si>
    <t>AUB Ziff. 2.1.2.2.1</t>
  </si>
  <si>
    <t>zusätzlich versicherbar
(max. 24 Monate, 6 Mon. Wartezeit)</t>
  </si>
  <si>
    <t xml:space="preserve">Rechner + BB S. 79, Ziff. 3.1 </t>
  </si>
  <si>
    <t>BB. S. 65, Ziff. 2</t>
  </si>
  <si>
    <t>kein kostenloser Schutz für Partner, aber 3 Monate Beitragsbefreiung / 20% Erhöhung von Inv./ Tod/ Unfallrente/ Gipsgeld/ KHTG/ GG/ Sofortleistung/ TG für VP</t>
  </si>
  <si>
    <t>AUB Ziff. 2.1.2.1</t>
  </si>
  <si>
    <t>AUB Ziff. 1.5</t>
  </si>
  <si>
    <t>AUB Ziff. 1.3</t>
  </si>
  <si>
    <t>AUB Ziff. 1.6</t>
  </si>
  <si>
    <t>AUB Ziff. 1.9</t>
  </si>
  <si>
    <t>Menschen oder Tiere</t>
  </si>
  <si>
    <t>AUB Ziff. 1.8</t>
  </si>
  <si>
    <t>max. 14 Tage (Terroranschläge auch im eigenen Land)</t>
  </si>
  <si>
    <t>AUB Ziff. 5.1.3 / 1.10</t>
  </si>
  <si>
    <t>Infektionen durch Zeckenstiche,
Tollwut und Wundstarrkrampf</t>
  </si>
  <si>
    <t>AUB Ziff. 5.2.4.2</t>
  </si>
  <si>
    <t xml:space="preserve">versicherbar über"Reha Plus"(PKW bis 20.000 €, Wohnung bis 40.000 € </t>
  </si>
  <si>
    <t>BB. S. 48, Ziff. 1.2 / 1.3</t>
  </si>
  <si>
    <t>AUB, Ziff. 11.7.1</t>
  </si>
  <si>
    <t>AUB, Ziff. 6.2.1</t>
  </si>
  <si>
    <t>AUB, Ziff. 3</t>
  </si>
  <si>
    <t>BB. S. 66</t>
  </si>
  <si>
    <t>AUB, Ziff. 5.2.5</t>
  </si>
  <si>
    <t>Eintritt: 1 Jahr
ärztliche Feststellung: 15 Monate</t>
  </si>
  <si>
    <t>AUB Ziff. 2.1.1.1</t>
  </si>
  <si>
    <t>AUB, Ziff. 7.5</t>
  </si>
  <si>
    <t>-auch Annahme HIV-Infizierter (Keine Gesundheitsfragen)
-Bewusstseinsstörungen durch verordnete Medikamente versichert
-"Happy Holiday" versicherbar (Kapitalzahlung ab 50% Inv. 25.000 €, UKHT 250 €, Gipsgeld 500 €, Telefonkostenzuschuss 50 € (Angebot 1; Angebot 2 = erhöhte Leistungen))
-Flugrisiko (Pilot) versicherbar
-Rennsportrisiko versicherbar</t>
  </si>
  <si>
    <t>Kostenübernahme bis 12.500 €  über Pflege-/Hilfeleistungen versicherbar</t>
  </si>
  <si>
    <t>Pflegeleistungen bis 12.500 €  über Pflege-/Hilfeleistungen versicherbar</t>
  </si>
  <si>
    <t>AUB, Ziff. 2.14.2.1, BB. S. 50</t>
  </si>
  <si>
    <t>-Besonderheiten wie Exklusiv-Tarif
Zusätzlich speziell für Beamte / ÖD:
-Absicherung des unfallbedingten Zulagenausfalls ab 8. Tag möglich (max. 100 € pro Tag)
-Absicherung gegen unfallbedingte Einschränkungen der beruflichen Haupttätigkeit
-Invaliditätsabsicherung bei unfallbedingter Vollzugsdienstunfähigkeit
-Rund-um-Absicherung für Beamte des SEK / GSG 9 möglich
-Sofortleistung für Vollzugsbedienstete versicherbar</t>
  </si>
  <si>
    <t>Signal Iduna Exklusiv (ÖD)
z.B. PVAG, VÖDAG</t>
  </si>
  <si>
    <t>ja 
(max. Einwirkung: mehrere Stunden)</t>
  </si>
  <si>
    <t>BB TOP, Ziff. 1</t>
  </si>
  <si>
    <t>ja
(auch durch Zuckerschock)</t>
  </si>
  <si>
    <t>BB TOP, Ziff. 2</t>
  </si>
  <si>
    <t>BB TOP, Ziff. 3</t>
  </si>
  <si>
    <t>bis 2,0‰
(führen von Kfz bis 1,1‰)</t>
  </si>
  <si>
    <t>Chikungunja-Fieber, Dengue-Fieber, Japanische Enzephalitis, Rückfallfieber, Fleckfieber, Gelbfieber, Malaria tropica, Schlafkrankheit(Tse-Tse-Krankheit)</t>
  </si>
  <si>
    <t>BB TOP, Ziff. 4.1.1</t>
  </si>
  <si>
    <t>BB TOP, Ziff. 4.1.2</t>
  </si>
  <si>
    <t>BB TOP, Ziff. 5</t>
  </si>
  <si>
    <t>BB TOP, Ziff. 6</t>
  </si>
  <si>
    <t>BB TOP, Ziff. 8</t>
  </si>
  <si>
    <t>BB TOP, Ziff. 9.2</t>
  </si>
  <si>
    <t>AUB Teil I Ziff. 1.4 und 5.2.7</t>
  </si>
  <si>
    <t>AUB Teil I Ziff. 1.5</t>
  </si>
  <si>
    <t>AUB Teil I Ziff. 1.6</t>
  </si>
  <si>
    <t>AUB Teil I Ziff. 2.2.1.2.1</t>
  </si>
  <si>
    <t>AUB Teil I Ziff. 2.2.1.2.2.1</t>
  </si>
  <si>
    <t>4 Jahre nach Unfalltag
(mind. 3 Tage)</t>
  </si>
  <si>
    <t>AUB Teil I Ziff. 2.2.6.1.2</t>
  </si>
  <si>
    <t>UKHTG
6 Tagessätze</t>
  </si>
  <si>
    <t>AUB Teil I Ziff. 2.2.6.1.1</t>
  </si>
  <si>
    <t>AUB Teil I Ziff. 2.2.6.6</t>
  </si>
  <si>
    <t>vereinbartes UKHT je Übernachtung max. 100 Übernachtungen</t>
  </si>
  <si>
    <t>AUB Teil I Ziff. 2.2.6.7</t>
  </si>
  <si>
    <t>vereinbartes UKHTab dem 20. Ausfalltag, max. 1 Jahr nach Unfall</t>
  </si>
  <si>
    <t>AUB Teil I Ziff. 2.2.9</t>
  </si>
  <si>
    <t>AUB Teil I Ziff. 3</t>
  </si>
  <si>
    <t xml:space="preserve">ab 25% </t>
  </si>
  <si>
    <t>nicht für dauernd Schwer- oder Schwerstpflegebedürftige</t>
  </si>
  <si>
    <t>AUB Teil I Ziff. 4.1</t>
  </si>
  <si>
    <t>AUB Teil I Ziff. 5.1.1</t>
  </si>
  <si>
    <t>AUB Teil I Ziff. 5.2.2</t>
  </si>
  <si>
    <t>Ausschluss Trunkenheit</t>
  </si>
  <si>
    <t>unvorhergesehen bis 14 Tage</t>
  </si>
  <si>
    <t>AUB Teil I Ziff. 5.1.3 / 5.1.4</t>
  </si>
  <si>
    <t>unter bestimmten Voraussetzungen Laserstrahlen</t>
  </si>
  <si>
    <t>Meningitis / Borreliose</t>
  </si>
  <si>
    <t>AUB Teil I Ziff. 5.2.4.2</t>
  </si>
  <si>
    <t>nur sofern die Impfung als Heilmaßnahme oder Eingriff durch einen Unfall veranlasst war</t>
  </si>
  <si>
    <t>AUB Teil I Ziff. 5.2.4.3</t>
  </si>
  <si>
    <t>Tollwut, Wundstarrkrampf und durch Unfallverletzungen in Körper gelangte Infektionen</t>
  </si>
  <si>
    <t>ja (Bauch-/ Unterleibsbrüche durch gewaltsame Einwirkung von außen)</t>
  </si>
  <si>
    <t>AUB Teil I Ziff. 5.2.5</t>
  </si>
  <si>
    <t>AUB Teil I Ziff. 2.2.4</t>
  </si>
  <si>
    <t>nur Kosten für Beratung innerhalb
"Reha-Management"</t>
  </si>
  <si>
    <t>AUB Teil I Ziff. 2.1.3.4</t>
  </si>
  <si>
    <t>AUB Teil I Ziff. 11.2.7</t>
  </si>
  <si>
    <t>AUB Teil I Ziff. 2.2.6.2.2
AUB Teil I Ziff. 2.2.6.5.2
AUB Teil I Ziff. 11.7.2</t>
  </si>
  <si>
    <t>AUB Teil I Ziff. 11.7.1.2</t>
  </si>
  <si>
    <t>AUB Teil I Ziff. 6.1.2</t>
  </si>
  <si>
    <t>AUB Teil III Ziff. 3</t>
  </si>
  <si>
    <t>Hilfeleistungen sind
zusätzlich versicherbar</t>
  </si>
  <si>
    <t>AUB Teil I Ziff. 2.1.</t>
  </si>
  <si>
    <t>AUB Teil I Ziff. 2.1.2</t>
  </si>
  <si>
    <t>innerhalb der 
"Assistance-Leistungen"</t>
  </si>
  <si>
    <t>6 Monate+ 6 Monate bei Einschluss
Inv. - 50.000 € (Progression 300)
Tod - 5.000 €; KHTG - 10 €;
kosm. OP/ Bergung - 10.000 €;
Kurbeihilfe - 2.500 €</t>
  </si>
  <si>
    <t>BB erhöhte Gliedertaxe 2008</t>
  </si>
  <si>
    <t>15%
(Schneide-/Eckzahn 1%)</t>
  </si>
  <si>
    <t>-Verdoppelung des UKHTG in den ersten 150 Tagen
-UKHTG bei ambulanter o. teilstationärer Rehabilitation, max. 10 Tage
-Beitragsfreistellung der Kinderunfall ab 90% Inv.-Grad des VN bis zum Ablauf des Versicherungs-jahres, in dem Kind 18. Lj. vollendet</t>
  </si>
  <si>
    <t>AUB Teil I Ziff. 2.1.2.8</t>
  </si>
  <si>
    <t>Grundpflegeleistungen (max. 12 Monate ) zusätzlich versicherbar</t>
  </si>
  <si>
    <t>Kinderbetreuung über "Familien-Management" versicherbar</t>
  </si>
  <si>
    <t>AUB Teil I Ziff. 2.1.4.3.2</t>
  </si>
  <si>
    <t>AUB Teil I Ziff. 7.9</t>
  </si>
  <si>
    <t>AUB Teil I Ziff. 2.2.1.1.1</t>
  </si>
  <si>
    <t>AUB Teil I Ziff. 2.2.6.4.2</t>
  </si>
  <si>
    <t>AUB Teil I Ziff. 2.2.6.3.2</t>
  </si>
  <si>
    <t>bis 10.000 €
(nicht für Zahnersatz/ -behandlung)</t>
  </si>
  <si>
    <t>Deutschland: bis 10.000 €
Ausland: bis 20.000 €</t>
  </si>
  <si>
    <t>Preisinformation + AUB Teil I Ziff. 2.2.9.2</t>
  </si>
  <si>
    <t>Preisinformation + AUB Teil I Ziff. 2.2.9</t>
  </si>
  <si>
    <t>Preisinformation + AUB Teil I Ziff. 2.2.8.2</t>
  </si>
  <si>
    <t>80%
(Maxi-Taxe: 100%)</t>
  </si>
  <si>
    <t>75%
(Maxi-Taxe: 90%)</t>
  </si>
  <si>
    <t>30%
(Maxi-Taxe: 45%)</t>
  </si>
  <si>
    <t>20%
(Maxi-Taxe: 30%)</t>
  </si>
  <si>
    <t>10%
(Maxi-Taxe: 20%)</t>
  </si>
  <si>
    <t>60%
(Maxi-Taxe: 70%)</t>
  </si>
  <si>
    <t>15%
(Maxi-Taxe: 20%)</t>
  </si>
  <si>
    <t>5%
(Maxi-Taxe: 10%)</t>
  </si>
  <si>
    <t>45%
(Maxi-Taxe: 50%)</t>
  </si>
  <si>
    <t>20%
(Maxi-Taxe: 25%)</t>
  </si>
  <si>
    <t>100%
(Maxi-Taxe: 100%)</t>
  </si>
  <si>
    <t>25%
(Maxi-Taxe: 25%)</t>
  </si>
  <si>
    <t>10%
(Maxi-Taxe: 10%)</t>
  </si>
  <si>
    <t>20%
(Maxi-Taxe: 20%)</t>
  </si>
  <si>
    <t>50%
(Maxi-Taxe: 50%)</t>
  </si>
  <si>
    <t>100%
(Plus-Taxe: 80%)</t>
  </si>
  <si>
    <t>90%
(Plus-Taxe: 75%)</t>
  </si>
  <si>
    <t>45%
(Plus-Taxe: 30%)</t>
  </si>
  <si>
    <t>30%
(Plus-Taxe: 20%)</t>
  </si>
  <si>
    <t>20%
(Plus-Taxe: 10%)</t>
  </si>
  <si>
    <t>70%
(Plus-Taxe: 60%)</t>
  </si>
  <si>
    <t>20%
(Plus-Taxe: 15%)</t>
  </si>
  <si>
    <t>10%
(Plus-Taxe: 5%)</t>
  </si>
  <si>
    <t>50%
(Plus-Taxe: 45%)</t>
  </si>
  <si>
    <t>25%
(Plus-Taxe: 20%)</t>
  </si>
  <si>
    <t>100%
(Plus-Taxe: 100%)</t>
  </si>
  <si>
    <t>25%
(Plus-Taxe: 25%)</t>
  </si>
  <si>
    <t>10%
(Plus-Taxe: 10%)</t>
  </si>
  <si>
    <t>20%
(Plus-Taxe: 20%)</t>
  </si>
  <si>
    <t>50%
(Plus-Taxe: 50%)</t>
  </si>
  <si>
    <t>Individuell</t>
  </si>
  <si>
    <t>AUB 2007</t>
  </si>
  <si>
    <t>AUB, Ziff. 1.3</t>
  </si>
  <si>
    <t>AUB, Ziff. 1.4.2</t>
  </si>
  <si>
    <t>AUB, Ziff. 1.4.3</t>
  </si>
  <si>
    <t>AUB, Ziff. 1.4.4</t>
  </si>
  <si>
    <t>AUB, Ziff. 1.4.5</t>
  </si>
  <si>
    <t>infolge eines Unfallereignisses</t>
  </si>
  <si>
    <t>AUB, Ziff. 1.4.6</t>
  </si>
  <si>
    <t>Inv. - 20.000 €
Tod - 5.000 €</t>
  </si>
  <si>
    <t>AUB, Ziff. 2.1.1.2</t>
  </si>
  <si>
    <t>AUB, Ziff. 2.1.2.1</t>
  </si>
  <si>
    <t>AUB, Ziff. 2.1.2.3</t>
  </si>
  <si>
    <t>AUB, Ziff. 2.1.2.7</t>
  </si>
  <si>
    <t>vor 25. Lj.: ab 70% Inv.; vor 50. Lj. ab 80% Inv.; vor 65 Lj. ab 90% Inv.</t>
  </si>
  <si>
    <t>AUB, Ziff. 2.4.2</t>
  </si>
  <si>
    <t>AUB, Ziff. 2.4.1</t>
  </si>
  <si>
    <t>AUB, Ziff. 2.4.2.3</t>
  </si>
  <si>
    <t>AUB, Ziff. 2.4.2.4</t>
  </si>
  <si>
    <t>max. 100 Tage</t>
  </si>
  <si>
    <t>AUB, Ziff. 2.5.2</t>
  </si>
  <si>
    <t>AUB, Ziff. 2.7.3</t>
  </si>
  <si>
    <t>AUB, Ziff. 2.9.3</t>
  </si>
  <si>
    <t>Nachgewiesene Kosten in Höhe des Selbstbehalts der GKV</t>
  </si>
  <si>
    <t>AUB, Ziff. 2.10.3.1</t>
  </si>
  <si>
    <t>AUB, Ziff. 2.10.2.4</t>
  </si>
  <si>
    <t>AUB, Ziff. 2.11.2.1 / 2.11.2.2</t>
  </si>
  <si>
    <t>bis 30.000 € (für Behandlung/ Ersatz d. Schneide-/Eckzähne max. 2.500 €)</t>
  </si>
  <si>
    <t>AUB, Ziff. 2.12.3.1</t>
  </si>
  <si>
    <t>AUB, Ziff. 2.13</t>
  </si>
  <si>
    <t>200 € je angefangene Woche,
max. 104 Wochen</t>
  </si>
  <si>
    <t>AUB, Ziff. 2.4.2.5 / 2.4.2.6 / 2.14.2</t>
  </si>
  <si>
    <t>-Verdoppelung des UKHTG, sofern es medizinisch angeraten und ärztlich gebilligt wird, dass eine Begleitperson im Krankenhaus untergebracht wird
- sofern mehr als 3 Tage Krankenhausaufenthalt im Ausland: 
Zahlung eines UKHTG, auch wenn dieses nicht vereinbart wurde i.H.v.
50 € pro Tag, max. 42 Tage
-wird eine Todesfallleistung fällig, können zusätzlich nachgewiesene Beerdigungskosten bis 10% der vereinbarten Todesfallsumme geltend gemacht werden 
(max. 5.000 €)
-Zahlung von 3.000 € bei Entführung (mind. 3 Tage, im Ausland das Doppelte) - 10.000 € bei einer Dauer von mehr als 28 Tagen</t>
  </si>
  <si>
    <t>bis 3.000 € (auch Heilkosten bei Auslandsaufenthalten bis 3.000 €)</t>
  </si>
  <si>
    <t>AUB, Ziff. 2.8.4 / 2.16.2</t>
  </si>
  <si>
    <t>AUB, Ziff. 2.17.2.1</t>
  </si>
  <si>
    <t>bis 20.000 € (nicht für Umschulung)</t>
  </si>
  <si>
    <t>AUB, Ziff. 2.18</t>
  </si>
  <si>
    <t>300 € (sofern Gips/ Schiene mehr als 10 Tage getragen werden muss)</t>
  </si>
  <si>
    <t>ab 40 %</t>
  </si>
  <si>
    <t>infolge eines Unfallereignisses
(für Erwachsene)</t>
  </si>
  <si>
    <t>AUB, Ziff. 4.1.2</t>
  </si>
  <si>
    <t>ja
(führen von Kfz bis 1,1‰)</t>
  </si>
  <si>
    <t>AUB, Ziff. 4.1.4</t>
  </si>
  <si>
    <t>nur im Ausland und sofern VP sich dort max. 12 Mon. am Stück aufhält</t>
  </si>
  <si>
    <t>AUB, Ziff. 4.2.2</t>
  </si>
  <si>
    <t>Röntgen-/ Laserstrahlen, ultraviolette Strahlung</t>
  </si>
  <si>
    <t>AUB, Ziff. 4.1.1</t>
  </si>
  <si>
    <t>AUB, Ziff. 4.2.4.2</t>
  </si>
  <si>
    <t>sofern Impfung durch Unfall als Heil-maßnahme o.Eingriff veranlasst war</t>
  </si>
  <si>
    <t>AUB, Ziff. 4.2.3</t>
  </si>
  <si>
    <t>AUB, Ziff. 4.2.5.1</t>
  </si>
  <si>
    <t>nein (aber einmalige versehentliche Einnahme von schädlichem Stoff)</t>
  </si>
  <si>
    <t>AUB, Ziff. 4.2.5.1 / 4.2.5.2</t>
  </si>
  <si>
    <t>AUB, Ziff. 1.4.1 / 4.2.7</t>
  </si>
  <si>
    <t>AUB, Ziff. 6.5</t>
  </si>
  <si>
    <t>unverzüglich ab Kenntnisnahme</t>
  </si>
  <si>
    <t>Chubb (Gruppenunfall)</t>
  </si>
  <si>
    <t>Versicherungsschutz erlischt bei Ausscheiden aus Unternehmen</t>
  </si>
  <si>
    <t>AUB, Ziff. 5.1.1.5</t>
  </si>
  <si>
    <t>Interlloyd Eurosecure 2005</t>
  </si>
  <si>
    <t>AUB; §1, Ziff. 3 a)</t>
  </si>
  <si>
    <t>AUB 2005
Stand 01-2005</t>
  </si>
  <si>
    <t>AUB; §1, Ziff. 3 b)</t>
  </si>
  <si>
    <t>AUB; §1, Ziff. 4 a)</t>
  </si>
  <si>
    <t>AUB; §1, Ziff. 4 b)</t>
  </si>
  <si>
    <t>AUB; §1, Ziff. 4 c) 1)</t>
  </si>
  <si>
    <t>AUB; §1, Ziff. 4 c) 2)</t>
  </si>
  <si>
    <t>AUB; §1, Ziff. 4 c) 3)</t>
  </si>
  <si>
    <t>AUB; §1, Ziff. 4 c) 4) b)</t>
  </si>
  <si>
    <t>Impfungen gegen in Bedingungen genannte Infektionskrankheiten</t>
  </si>
  <si>
    <t>AUB; §1, Ziff. 4 c) 4) a) / 4 c) 5 a)</t>
  </si>
  <si>
    <t>AUB; §1, Ziff. 4 c) 5 c)</t>
  </si>
  <si>
    <t>AUB; §2, Ziff. 1 a) bb)</t>
  </si>
  <si>
    <t>AUB; §2, Ziff. 1 a) cc)</t>
  </si>
  <si>
    <t>AUB; §2, Ziff. 1 c)</t>
  </si>
  <si>
    <t>max. 14 Tage</t>
  </si>
  <si>
    <t>AUB; §2, Ziff. 2 a)</t>
  </si>
  <si>
    <t>AUB; §3, Ziff. 1</t>
  </si>
  <si>
    <t>AUB; §6, Ziff. 1</t>
  </si>
  <si>
    <t>1 Jahr ab Geburt
Inv. - 40.000 €
Tod - 10.000 €</t>
  </si>
  <si>
    <t>AUB; §6, Ziff. 5</t>
  </si>
  <si>
    <t>max. 24 Monate,
6 Monate Wartezeit</t>
  </si>
  <si>
    <t>AUB; §8, Ziff. 1</t>
  </si>
  <si>
    <t>AUB; §10, Ziff. 1. b) 1)</t>
  </si>
  <si>
    <t>AUB; §10, Ziff. 1. a)</t>
  </si>
  <si>
    <t>Eintritt: 18 Monate nach Unfall
Feststellung: 2 Jahre nach Eintritt</t>
  </si>
  <si>
    <t>AUB; §10, Ziff. 1. f)</t>
  </si>
  <si>
    <t>ab 90% Invalidität,
max. 150.000 €</t>
  </si>
  <si>
    <t>AUB; §10, Ziff. 3. a)</t>
  </si>
  <si>
    <t>bis 5 Jahre nach Unfall,
max. 500 Tage gesamt</t>
  </si>
  <si>
    <t>AUB; §10, Ziff. 3. b)</t>
  </si>
  <si>
    <t>AUB; §10, Ziff. 3. c)</t>
  </si>
  <si>
    <t>ja,
max. 3 Wochen</t>
  </si>
  <si>
    <t>AUB; §10, Ziff. 3. d)</t>
  </si>
  <si>
    <t>AUB; §10, Ziff. 4. a)</t>
  </si>
  <si>
    <t>AUB; §10, Ziff. 5.</t>
  </si>
  <si>
    <t>AUB; §10, Ziff. 6.</t>
  </si>
  <si>
    <t>sofern vereinbart; 10. - 30. &lt;Tag: bis 750 €; danach bis 250 € je 10 Tage</t>
  </si>
  <si>
    <t>AUB; §10, Ziff. 7.</t>
  </si>
  <si>
    <t>sofern vereinbart
Erwachsene: 500 €; Kinder: 250 €</t>
  </si>
  <si>
    <t>bis 12.000 € (auch für Behandlung/ Ersatz der Schneidezähne)</t>
  </si>
  <si>
    <t>AUB; §10, Ziff. 8. a) / b)</t>
  </si>
  <si>
    <t>AUB; §10, Ziff. 9. a)</t>
  </si>
  <si>
    <t>bis 12.000 €</t>
  </si>
  <si>
    <t>AUB; §10, Ziff. 9. a) 3)</t>
  </si>
  <si>
    <t>AUB; §10, Ziff. 10. a)</t>
  </si>
  <si>
    <t>AUB; §10, Ziff. 11.</t>
  </si>
  <si>
    <t>AUB; §10, Ziff. 12.</t>
  </si>
  <si>
    <t>50 € je Übernachtung,
max. 750 €</t>
  </si>
  <si>
    <t>AUB; §10, Ziff. 17.</t>
  </si>
  <si>
    <t>Sofortleistung i.H.d. hierfür verein-
barten Versicherungssumme</t>
  </si>
  <si>
    <t>sofern UKHT vereibart:
30 € je Ausfalltag, max. 1.000 €</t>
  </si>
  <si>
    <t>AUB; §10, Ziff. 18.</t>
  </si>
  <si>
    <t>AUB; §10, Ziff. 19.</t>
  </si>
  <si>
    <t>15 € pro Tag,
max. 1 Jahr ab Unfalltag</t>
  </si>
  <si>
    <t>AUB; §11</t>
  </si>
  <si>
    <t>bis zum 60. Lebensjahr: ab 50%
ab dem 60. Lebensjahr: ab 25%</t>
  </si>
  <si>
    <t>AUB; §11, Ziff. 8</t>
  </si>
  <si>
    <t>48 h ab Kenntnisnahme</t>
  </si>
  <si>
    <t>Archiv</t>
  </si>
  <si>
    <t>AUB; §10, Ziff. 13. c)</t>
  </si>
  <si>
    <t>AUB; §10, Ziff. 13. a) / b) / d)</t>
  </si>
  <si>
    <t>Ideal Unfall Rente Exklusiv</t>
  </si>
  <si>
    <t>Sofortleistung bei Armbruch:
2 Monatsrenten</t>
  </si>
  <si>
    <t>BB_IUR; Ziff. 3 / Leistungsübersicht</t>
  </si>
  <si>
    <t>BB_IUR; Ziff. 5</t>
  </si>
  <si>
    <t>BB_IUR; Ziff. 6</t>
  </si>
  <si>
    <t>10%
(auch Bauchspeicheldrüse)</t>
  </si>
  <si>
    <t>50%
(auch Penis)</t>
  </si>
  <si>
    <t>AB_IUR_2012A
Stand 01-2012</t>
  </si>
  <si>
    <t>BB_IUR; Ziff. 7</t>
  </si>
  <si>
    <t>Tarif</t>
  </si>
  <si>
    <t>es sind nur Personen
ab dem 40. Lebensjahr versicherbar</t>
  </si>
  <si>
    <t>AB_IUR; Ziff. 13.5</t>
  </si>
  <si>
    <t>15 € Krankenhausbeihilfe 
ab dem 5. Tag, max. 1 Jahr</t>
  </si>
  <si>
    <t>BB_IUR; Ziff. 4 / Leistungsübersicht</t>
  </si>
  <si>
    <t>AB_IUR; Ziff. 2.6 / Leistungsübersicht</t>
  </si>
  <si>
    <t>bis 15.000 € (auch für Behandlung/ Ersatz der Zähne bis 1.250 €)</t>
  </si>
  <si>
    <t>Mehraufwand f. Rückkehr + Verpfleg-ung/ Unterbringung bis 300 € je Pers.</t>
  </si>
  <si>
    <t>AB_IUR; Ziff. 2.7</t>
  </si>
  <si>
    <t>AB_IUR; Ziff. 1.4 / Ziff. 5.2.6</t>
  </si>
  <si>
    <t>AB_IUR; Ziff. 1.4</t>
  </si>
  <si>
    <t>ja
(nicht für Kinder)</t>
  </si>
  <si>
    <t>sofern die Impfung als Heilmaß-
nahme durch Unfall veranlasst war</t>
  </si>
  <si>
    <t>nur Verrentung
ab 50% Invaliditätsgrad</t>
  </si>
  <si>
    <t>AB_IUR; Ziff. 2.1.1 / Ziff. 2.1.2.1</t>
  </si>
  <si>
    <t>BB_IUR; Ziff. 1</t>
  </si>
  <si>
    <t>ab 70% Inv.: doppelte Unfallrente
ab 90% Inv.: dreifache Unfallrente</t>
  </si>
  <si>
    <t>2 Monatsrenten
bei Oberschenkelhalsbruch</t>
  </si>
  <si>
    <t>AB_IUR; Ziff. 2.5</t>
  </si>
  <si>
    <t>ja, sofern Invaliditätsgrad von mind. 50% vorliegt (keine Umschulung)</t>
  </si>
  <si>
    <t>AB_IUR; Ziff. 2.6 / Ziff. 4 /
Leistungsübersicht</t>
  </si>
  <si>
    <t>AB_IUR; Ziff. 5.1.1</t>
  </si>
  <si>
    <t>AB_IUR; Ziff. 5.1.3</t>
  </si>
  <si>
    <t>Röntgen-/ Laserstrahlen, künstlich erzeugte ultraviolette Strahlung</t>
  </si>
  <si>
    <t>AB_IUR; Ziff. 5.2.2</t>
  </si>
  <si>
    <t>AB_IUR; Ziff. 1.4 / Ziff. 5.2.4</t>
  </si>
  <si>
    <t>AB_IUR; Ziff. 7.6</t>
  </si>
  <si>
    <t>AB_IUR; Ziff. 7.1</t>
  </si>
  <si>
    <t>ja, sofern Invaliditätsgrad 
von mind. 50% vorliegt</t>
  </si>
  <si>
    <t>-versicherbar ab dem 40. Lj.
-kein Höchsteintrittsalter
-Lebenslanger Schutz
-keine Gesundheitsfragen
-Fahrtkosten bis 400 €
-vom Alter abhängige Rentengarantiezeit mit Kapitalauszahlungsoption bei Tod der VP</t>
  </si>
  <si>
    <t>keine Einschränkungen dazu im 
Bedingungswerk</t>
  </si>
  <si>
    <t>Leistungsübersicht</t>
  </si>
  <si>
    <t>nicht ausgeschlossen</t>
  </si>
  <si>
    <t>ZB; Ziff. 1</t>
  </si>
  <si>
    <t>ZB; Ziff. 4</t>
  </si>
  <si>
    <t>Schutzimfpfungen gegen
versicherte Infektionskrankheiten</t>
  </si>
  <si>
    <t>ZB; Ziff. 5. II. b)</t>
  </si>
  <si>
    <t>ZB; Ziff. 5. III.</t>
  </si>
  <si>
    <t>zusätzlich Scharlach und
Windpocken</t>
  </si>
  <si>
    <t>BB; Ziff. 24 / ZB; Ziff. 6</t>
  </si>
  <si>
    <t>BB; Ziff. 24</t>
  </si>
  <si>
    <t>3 Monate ab Heirat
Inv. bis 25.000 €</t>
  </si>
  <si>
    <t>3 Monate ab Heirat
Inv. bis 50.000 €</t>
  </si>
  <si>
    <t>3 Monate ab Geburt
Inv. bis 50.000 €</t>
  </si>
  <si>
    <t>3 Monate ab Geburt
Inv. bis 25.000 €</t>
  </si>
  <si>
    <t>ZB; Ziff. 7</t>
  </si>
  <si>
    <t>bis zur Höhe des vereinbarten UKHTG, max. 14 Tage</t>
  </si>
  <si>
    <t>ZB; Ziff. 8</t>
  </si>
  <si>
    <t>75 € pauschal</t>
  </si>
  <si>
    <t>ZB; Ziff. 9</t>
  </si>
  <si>
    <t>ZB; Ziff. 10</t>
  </si>
  <si>
    <t>Eintritt: 24 Monate
ärztliche Feststellung: 30 Monate</t>
  </si>
  <si>
    <t>ZB; Ziff. 11</t>
  </si>
  <si>
    <t>ab 15. Tag für Kind vereinbartes UKHTG je Tag, max. 100-facher Satz</t>
  </si>
  <si>
    <t>ZB; Ziff. 12</t>
  </si>
  <si>
    <t>ZB; Ziff. 13</t>
  </si>
  <si>
    <t>ja,
soweit Kind &lt; 18 Jahre</t>
  </si>
  <si>
    <t>ZB; Ziff. 15</t>
  </si>
  <si>
    <t>ab dem 8. Tag je Tag das verein-barte UKHTG, max. 12 Wochen</t>
  </si>
  <si>
    <t>ZB; Ziff. 18</t>
  </si>
  <si>
    <t>max. 14 Tage + 7 Tage Verlängerung, sofern Verlassen nicht möglich ist</t>
  </si>
  <si>
    <t>ZB; Ziff. 3 / Ziff. 14 / Ziff. 17 / Ziff. 19</t>
  </si>
  <si>
    <t>AUB; Ziff. 2.8.2 / ZB; Ziff. 12 / Leistungsübersicht</t>
  </si>
  <si>
    <t>AUB; Ziff. 2.8.2 / Leistungsübersicht</t>
  </si>
  <si>
    <t>bis 2.500 € (bei Maßnahmen von mind. 3 Wochen Dauer)</t>
  </si>
  <si>
    <t>bis 2.500 € (bei stationärer Maß-nahme von mind. 3 Wochen Dauer)</t>
  </si>
  <si>
    <t>ab dem 4. Monat,
max. 24 Monate</t>
  </si>
  <si>
    <t>ZB; Ziff. 21.3</t>
  </si>
  <si>
    <t>ja, auch ärztlich verordnete Medi-kamente (Führen von Kfz bis 1,3 ‰)</t>
  </si>
  <si>
    <t>BB; Ziff. 1 / Ziff. 2</t>
  </si>
  <si>
    <t>BB; Ziff. 3</t>
  </si>
  <si>
    <t>-siehe Besonderheiten Komfort
+
-Anspruch auf Genesungsgeld auch bei unfallbedingtem Tod der VP im Krankenhaus
-UKHTG / GG auch bei notwendigen Krankenhausaufenthalten aufgrund Leistenbruch durch erhöhte Kraftanstrengung
-Todesfallleistung auch im 2. Jahr nach Unfallereignis
-Übernahme von Verdienstausfällen für Selbstständige bis 2‰ der VS, max. 750 €</t>
  </si>
  <si>
    <t>BB; Ziff. 5</t>
  </si>
  <si>
    <t>BB; Ziff. 6</t>
  </si>
  <si>
    <t>bis 50.000 €, sofern Richtlinien für 
das Tauchen eingehalten wurden</t>
  </si>
  <si>
    <t>BB; Ziff. 7 / ZB; Ziff. 2 / Ziff. 5. II. a)</t>
  </si>
  <si>
    <t>AUB; Ziff. 5.2.5</t>
  </si>
  <si>
    <t>BB; Ziff. 8</t>
  </si>
  <si>
    <t>BB; Ziff. 9</t>
  </si>
  <si>
    <t>BB; Ziff. 10</t>
  </si>
  <si>
    <t>BB; Ziff. 11</t>
  </si>
  <si>
    <t>bis 3 Jahre nach Unfallereignis
(gestaffelt)</t>
  </si>
  <si>
    <t>BB; Ziff. 13</t>
  </si>
  <si>
    <t>BB; Ziff. 16</t>
  </si>
  <si>
    <t>Höhe Krankenhaustagegeld,
sofern Kind 14. Lj. nicht vollendet hat</t>
  </si>
  <si>
    <t>AUB; Ziff. 11.7 / BB; Ziff. 17</t>
  </si>
  <si>
    <t>AUB; Ziff. 11.7</t>
  </si>
  <si>
    <t>BB; Ziff. 18</t>
  </si>
  <si>
    <t>BB; Ziff. 19</t>
  </si>
  <si>
    <t>bis 10% der Invaliditätsgrundsumme,
max. 25.000 € (keine Umschulung)</t>
  </si>
  <si>
    <t>BB; Ziff. 20</t>
  </si>
  <si>
    <t>Schutzimfpfungen gegen FSME, Tollwut und Wundstarrkrampf</t>
  </si>
  <si>
    <t>BB; Ziff. 22</t>
  </si>
  <si>
    <t>AUB; Ziff. 2.7.2.2 / BB; Ziff. 23</t>
  </si>
  <si>
    <t>bis 10.000 €
(auch Zahnersatz/ -behandlung)</t>
  </si>
  <si>
    <t>bis 20.000 €
(auch Zahnersatz/ -behandlung)</t>
  </si>
  <si>
    <t>BB; Ziff. 28</t>
  </si>
  <si>
    <t>BB; Ziff. 29</t>
  </si>
  <si>
    <t>Beantragung der Außerkraftsetzung der Unfallversicherung möglich</t>
  </si>
  <si>
    <t>BB; Ziff. 30</t>
  </si>
  <si>
    <t>BB; Ziff. 3 / Ziff. 30</t>
  </si>
  <si>
    <t>BB; Ziff. 32</t>
  </si>
  <si>
    <t>BB; Ziff. 33</t>
  </si>
  <si>
    <t>7 Tage nach Kenntnisnahme
(Leistung auch bei Verschollenheit)</t>
  </si>
  <si>
    <t>BB; Ziff. 33 / ZB; Ziff. 16</t>
  </si>
  <si>
    <t>7 Tage nach Kenntnisnahme des Unfalltodes</t>
  </si>
  <si>
    <t>BB; Ziff. 34</t>
  </si>
  <si>
    <t>eingeschränkt</t>
  </si>
  <si>
    <t>-Psychische Erkrankungen durch eine durch Unfall entstandene organische Schädigung des Gehirns oder Nervensystems.
-Kosten für psychologische Unterstützung bis 3 Monate nach Unfallereignis, max. 1.000 €
-Reparatur/ ggf. Neuanschaffung von durch Unfall beschädigter Gliedmaßenprothesen bis 2.500 €
-Beitragsfreistellung ab 50% Invaliditätsgrad des VN bis zum Ablauf des Versicherungsjahres, in dem Kind 18. Lj. vollendet
-Verdienstausfälle für Selbst-ständige bis 1,5‰ der VS, max. 500 €
-Unfälle durch Übermüdung</t>
  </si>
  <si>
    <t xml:space="preserve">BB; Ziff. 4. / Ziff. 12 / Ziff. 25 / 
Ziff. 27 / Ziff. 36 / Ziff. 37 </t>
  </si>
  <si>
    <t>BB; Ziff. 38</t>
  </si>
  <si>
    <t>nicht dauernd Schwer- o. Schwerst- pflegebedürftige (Pflegestufe III)</t>
  </si>
  <si>
    <t>AUB; Ziff. 4.1</t>
  </si>
  <si>
    <t>AUB 2012
Stand 01-2012</t>
  </si>
  <si>
    <t>AUB; Ziff. 2.1.1.1</t>
  </si>
  <si>
    <t>Eintritt: 18 Monate
ärztliche Feststellung: 21 Monate</t>
  </si>
  <si>
    <t>AUB; Ziff. 2.1.2.1</t>
  </si>
  <si>
    <t>AUB; Ziff. 1.4 / BB; Ziff. 28</t>
  </si>
  <si>
    <t>AUB; Ziff. 2.10.2.1 / Leistungsübersicht</t>
  </si>
  <si>
    <t>AUB; Ziff. 5.1.3</t>
  </si>
  <si>
    <t>AUB; Ziff. 1.4</t>
  </si>
  <si>
    <t>AUB; Ziff. 5.2.4.2</t>
  </si>
  <si>
    <t>Tollwut, Wundstarrkrampf, Wundinfektionen und durch Unfall in Körper gelangte Infektionen</t>
  </si>
  <si>
    <t>BB; Ziff. 21</t>
  </si>
  <si>
    <t>AUB; Ziff. 6.2 / BB; Ziff. 14</t>
  </si>
  <si>
    <t>AUB; Ziff. 2.9.2 - nicht vorgesehen</t>
  </si>
  <si>
    <t>SLP Primus
(Stand 07-2010)</t>
  </si>
  <si>
    <t>SLP Primus Plus
(Stand 07-2010)</t>
  </si>
  <si>
    <t>Infektionen durch Zeckenstiche
(Meningitis / Borreliose)</t>
  </si>
  <si>
    <t>BB; Ziff. 1.1.1.2</t>
  </si>
  <si>
    <t>BB; Ziff. 1.1.1.4 / Ziff. 1.1.2</t>
  </si>
  <si>
    <t>BB; Ziff. 1.2.1</t>
  </si>
  <si>
    <t>BB; Ziff. 1.3.2.1 / Ziff. 1.3.2.3</t>
  </si>
  <si>
    <t>BB; Ziff. 1.3.1.4</t>
  </si>
  <si>
    <t>BB; Ziff. 1.3.2. / Ziff. 1.3.2.2 / Ziff. 1.3.2.3</t>
  </si>
  <si>
    <t>bis 20% der Invaliditätssumme,
max. 20.000 €</t>
  </si>
  <si>
    <t>BB; Ziff. 2.3.1</t>
  </si>
  <si>
    <t>BB; Ziff. 2.4.2</t>
  </si>
  <si>
    <t>BB; Ziff. 2.4.1</t>
  </si>
  <si>
    <t>BB; Ziff. 2.4.3</t>
  </si>
  <si>
    <t>BB; Ziff. 2.5</t>
  </si>
  <si>
    <t>vereinbartes UKHT je Übernachtung max. 100 Übernacht. (Kinder &lt; 16 Lj.)</t>
  </si>
  <si>
    <t>BB; Ziff. 2.6</t>
  </si>
  <si>
    <t>bis 1.500 €
(Kinder bis zum 14. Lebensjahr)</t>
  </si>
  <si>
    <t>BB; Ziff. 2.7.2</t>
  </si>
  <si>
    <t>BB; Ziff. 2.8.2</t>
  </si>
  <si>
    <t>bis 50.000 €
(inkl. Zahnbehandlung/ -ersatz)</t>
  </si>
  <si>
    <t>BB; Ziff. 2.10.1</t>
  </si>
  <si>
    <t>BB; Ziff. 2.10.2</t>
  </si>
  <si>
    <t>BB; Ziff. 2.11.2</t>
  </si>
  <si>
    <t>BB; Ziff. 2.12</t>
  </si>
  <si>
    <t>BB; Ziff. 2.13</t>
  </si>
  <si>
    <t>BB; Ziff. 2.15</t>
  </si>
  <si>
    <t>200 €
(sofern UKHTG vereinbart wurde)</t>
  </si>
  <si>
    <t>BB; Ziff. 3.1</t>
  </si>
  <si>
    <t>BB; Ziff. 3.2</t>
  </si>
  <si>
    <t>ja
(max. Einwirkung: 7 Tage)</t>
  </si>
  <si>
    <t>BB; Ziff. 3.3</t>
  </si>
  <si>
    <t>ja, für Kinder bis 14 Jahre
(durch den Mund)</t>
  </si>
  <si>
    <t>BB; Ziff. 3.4</t>
  </si>
  <si>
    <t>ja,
(durch den Mund)</t>
  </si>
  <si>
    <t>BB; Ziff. 3.3 / Ziff. 3.4.1</t>
  </si>
  <si>
    <t>BB; Ziff. 3.5.2</t>
  </si>
  <si>
    <t>Impfungen gegen in Bedingungen genannte Infektionen</t>
  </si>
  <si>
    <t>BB; Ziff. 3.5.6</t>
  </si>
  <si>
    <t>Wundinfektionen, Blutvergiftungen, Tollwut, Wundstarrkrampf;
Borreliose, Brucellose, Cholera, Diphtherie, Dreitagefieber, Echinokokkose, Gürtelrose/ Windpocken, Kinderlähmung (Poliomyolitis), Fleckfieber, FSME, Gelbfieber, Keuchhusten, Lepra, Malaria, Masern, Mumps, Pest, Pfeiffersches Drüsenfieber, Pocken, Röteln, Ringelröteln, Scharlach, Schlaf-/ Tsetse-Krankheit, Tularämie (Hasenpest), Typhus und Paratyphus
(Denguefieber, Ebolafieber, H1N1, H2N2, H3N2, H5N1 und deren Subtypen)</t>
  </si>
  <si>
    <t>BB; Ziff. 3.5.1 / Ziff. 3.7</t>
  </si>
  <si>
    <t>ja; auch Folgen von Insektenstichen
(z. B. allergische Reaktionen)</t>
  </si>
  <si>
    <t>100 € pro Tag, max. 3.000 € (sofern Kind unter 16 Jahre im Haushalt lebt)</t>
  </si>
  <si>
    <t>BB; Ziff. 3.9</t>
  </si>
  <si>
    <t>BB; Ziff. 3.10</t>
  </si>
  <si>
    <t>BB; Ziff. 3.11</t>
  </si>
  <si>
    <t>BB; Ziff. 3.12.1</t>
  </si>
  <si>
    <t>ja, auch durch Medikamente
(Führen von Kfz bis 1,5 ‰)</t>
  </si>
  <si>
    <t>ja (auch infolge Herz-/ Kreislaufstörungen)</t>
  </si>
  <si>
    <t>BB; Ziff. 3.12.2 / Ziff. 3.12.3</t>
  </si>
  <si>
    <t>BB; Ziff. 3.13</t>
  </si>
  <si>
    <t>durch Röntgen-/ Laserstrahlen und
künstlich erzeugte UV-Strahlen</t>
  </si>
  <si>
    <t>BB; Ziff. 3.15</t>
  </si>
  <si>
    <t>BB; Ziff. 3.17</t>
  </si>
  <si>
    <t>BB; Ziff. 3.18</t>
  </si>
  <si>
    <t>nur sofern d. äußere Einwirkung entstanden</t>
  </si>
  <si>
    <t>Leistenbrüche</t>
  </si>
  <si>
    <t>ja (keine Bauch-, Unterleibs- oder 
Leistenbrüche)</t>
  </si>
  <si>
    <t>ja (keine Bauch-, Unterleibs- und Leistenbrüche)</t>
  </si>
  <si>
    <t>ja (keine Bauch-/Unterleibsbrüche)</t>
  </si>
  <si>
    <t>BB; Ziff. 4.1</t>
  </si>
  <si>
    <t>BB; Ziff. 4.2</t>
  </si>
  <si>
    <t>bis 12 Monate ab Geburt
Inv. - 50.000 €
Tod - 5.000 €
UKHTG / GG - 10 €</t>
  </si>
  <si>
    <t>BB; Ziff. 4.3</t>
  </si>
  <si>
    <t>BB; Ziff. 4.4</t>
  </si>
  <si>
    <t>BB; Ziff. 3.14 / Ziff. 5.1</t>
  </si>
  <si>
    <t>BB; Ziff. 5.2.2</t>
  </si>
  <si>
    <t>ja, sofern vorübergehende 
Änderung bis zu 6 Monaten</t>
  </si>
  <si>
    <t>BB; Ziff. 5.3</t>
  </si>
  <si>
    <t>BB; Ziff. 5.4</t>
  </si>
  <si>
    <t>BB; Ziff. 5.5</t>
  </si>
  <si>
    <t>21 Tage ab Kenntnisnahme (Leistung auch bei Verschollenheit)</t>
  </si>
  <si>
    <t>21 Tage ab Kenntnisnahme</t>
  </si>
  <si>
    <t>BB; Ziff. 5.7 / Ziff. 5.8</t>
  </si>
  <si>
    <t>BB; Ziff. 5.9.1 / Ziff. 5.9.2</t>
  </si>
  <si>
    <t>BB; Ziff. 5.10.1</t>
  </si>
  <si>
    <t>BB; Ziff. 5.10.2</t>
  </si>
  <si>
    <t>max. 20.000 € (außer Luftfahrt)</t>
  </si>
  <si>
    <t>BB; Ziff. 5.11</t>
  </si>
  <si>
    <t>Sonderkündigungsrecht
ab einem Monat Arbeitslosigkeit</t>
  </si>
  <si>
    <t>BB; Ziff. 5.15</t>
  </si>
  <si>
    <t>BB; Ziff. 2.14.4 / Ziff. 3.8 / Ziff. 3.12.3/
Ziff. 3.12.4 / Ziff. 3.16 / Ziff. 3.20 / Ziff. 3.21 / Ziff. 5.13 / ZB Sozial-RS / ZB Easy Care</t>
  </si>
  <si>
    <t>-Kosten für physiotherapeutische Maßnahmen / orthopädische Hilfsmittel bis 500 €
-Gesundheitsschäden durch Schneiden von Nägeln, Hühneraugen/ Hornhaut versichert
-Unfälle infolge epileptischer Anfälle oder anderer Krampfanfälle versichert
-Unfälle infolge Übermüdung
-Gesundheitsschädigungen durch Folgen psychischer und nervöser Störungen versichert
-Gesundheitsschädigungen durch selbst gebaute Feuerwerkskörper (Personen &lt; 18 Jahre)
-Gesundheitsschäden durch lizenzfreie Motorsportveranstaltungen
-Streichung der Operationspflicht
-Sozialrechtsschutz bei Vollinvalidität bis 5.000 €
-Versicherung diverser Hilfeleistungen über Baustein "Easy Care" möglich</t>
  </si>
  <si>
    <t>AUB 2008 SLP Primus Plus
Stand 04-2012</t>
  </si>
  <si>
    <t>AUB 2008 SLP Primus
Stand 04-2012</t>
  </si>
  <si>
    <t>BB; Ziff. 1.1.1.1 / Ziff. 1.1.2</t>
  </si>
  <si>
    <t>BB; Ziff. 1.2.1.4</t>
  </si>
  <si>
    <t>20% der Invaliditätssumme,
max. 10.000 €</t>
  </si>
  <si>
    <t>bis 10% der Invaliditätssumme,
max. 10.000 €</t>
  </si>
  <si>
    <t>BB; Ziff. 1.2.2.1 / Ziff. 1.2.2.3 / Ziff. 1.2.2.4</t>
  </si>
  <si>
    <t>BB; Ziff. 1.2.2.2 / Ziff. 1.2.2.4</t>
  </si>
  <si>
    <t>BB; Ziff. 2.9.3.6</t>
  </si>
  <si>
    <t>BB; Ziff. 2.3</t>
  </si>
  <si>
    <t>vereinbartes UKHT je Übernachtung max. 30 Übernacht. (Kinder &lt; 16 Lj.)</t>
  </si>
  <si>
    <t>bis 750 €
(Kinder bis zum 14. Lebensjahr)</t>
  </si>
  <si>
    <t>bis 10.000 €
(inkl. Zahnbehandlung/ -ersatz)</t>
  </si>
  <si>
    <t>50 € pro Tag, max. 1.000 € (sofern Kind unter 16 Jahre im Haushalt lebt)</t>
  </si>
  <si>
    <t>BB; Ziff. 2.14</t>
  </si>
  <si>
    <t>100 €
(sofern UKHTG vereinbart wurde)</t>
  </si>
  <si>
    <t>BB; Ziff. 3.5.1 / Ziff. 3.7 / Ziff. 3.5.5</t>
  </si>
  <si>
    <t>Wundinfektionen, Blutvergiftungen, Tollwut, Wundstarrkrampf;
Borreliose, Brucellose, Cholera, Diphtherie, Dreitagefieber, Echinokokkose, Gürtelrose/ Windpocken, Kinderlähmung (Poliomyolitis), Fleckfieber, FSME, Gelbfieber, Keuchhusten, Lepra, Malaria, Masern, Mumps, Pest, Pfeiffersches Drüsenfieber, Pocken, Röteln, Ringelröteln, Scharlach, Schlaf-/ Tsetse-Krankheit, Tularämie (Hasenpest), Typhus und Paratyphus</t>
  </si>
  <si>
    <t>BB; Ziff. 3.8</t>
  </si>
  <si>
    <t>ja, auch durch Medikamente
(Führen von Kfz bis 1,2 ‰)</t>
  </si>
  <si>
    <t>BB; Ziff. 3.11.1</t>
  </si>
  <si>
    <t>BB; Ziff. 3.11.2 / Ziff. 3.11.3</t>
  </si>
  <si>
    <t>BB; Ziff. 3.12</t>
  </si>
  <si>
    <t>BB; Ziff. 3.13 / Ziff. 5.1</t>
  </si>
  <si>
    <t>BB; Ziff. 3.16</t>
  </si>
  <si>
    <t>BB; Ziff. 5.10.</t>
  </si>
  <si>
    <t>max. 20.000 € (mind. ein Kind hat 14. Lebenjahr noch nicht vollendet)</t>
  </si>
  <si>
    <t>max. 40.000 € (mind. ein Kind hat 14. Lebenjahr noch nicht vollendet)</t>
  </si>
  <si>
    <t>Pflegeleistungen zusätzlich versicherbar über "EASY CARE"</t>
  </si>
  <si>
    <t>ZB EASY CARE</t>
  </si>
  <si>
    <t>-Gesundheitsschädigungen durch Folgen psychischer und nervöser Störungen versichert
-Gesundheitsschäden durch Schneiden von Nägeln, Hühneraugen/ Hornhaut versichert                                                                                                                                                                                                                                                     -Streichung der Operationspflicht
-Versicherung diverser Hilfeleistungen über Baustein "Easy Care" möglich</t>
  </si>
  <si>
    <t>BB; Ziff. 3.14 / Ziff. 3.17 / Ziff. 5.13 / ZB Easy Care</t>
  </si>
  <si>
    <t>dauernd Pflegebed. (mind. Pflegestufe I) nicht versicherbar</t>
  </si>
  <si>
    <t>Annahmerichtlinien; Ziff. 1.1.1</t>
  </si>
  <si>
    <t>GDV Musterbedingungen</t>
  </si>
  <si>
    <t>AUB 2010
Stand 10-2010</t>
  </si>
  <si>
    <t>AUB; Ziff. 2.1.2.2.1</t>
  </si>
  <si>
    <t>AUB; Ziff. 1.4 / Ziff. 5.2.7</t>
  </si>
  <si>
    <t>AUB; Ziff. 2.4.1</t>
  </si>
  <si>
    <t>AUB; Ziff. 2.4.2</t>
  </si>
  <si>
    <t>AUB; Ziff. 2.5.2</t>
  </si>
  <si>
    <t>x Jahre nach Unfallereignis</t>
  </si>
  <si>
    <t>AUB; Ziff. 3</t>
  </si>
  <si>
    <t>AUB; Ziff. 5.1.1</t>
  </si>
  <si>
    <t>AUB; Ziff. 5.2.2</t>
  </si>
  <si>
    <t>AUB; Ziff. 5.2.3</t>
  </si>
  <si>
    <t>AUB; Ziff. 5.2.7</t>
  </si>
  <si>
    <t>ja, für Kinder bis x Jahre</t>
  </si>
  <si>
    <t>ja, für Kinder bis x Jahre
(keine Nahrungsmittel)</t>
  </si>
  <si>
    <t>AUB; Ziff. 6.2.1</t>
  </si>
  <si>
    <t>AUB; Ziff. 7.5</t>
  </si>
  <si>
    <t>AUB; Ziff. 11.6.1</t>
  </si>
  <si>
    <t>bis zum Ablauf des Versicherungs-jahres, in dem Kind x. Lj. vollendet</t>
  </si>
  <si>
    <t>Debeka</t>
  </si>
  <si>
    <t>AUB; Ziff. 1.5.1</t>
  </si>
  <si>
    <t>AUB; Ziff. 1.5.2</t>
  </si>
  <si>
    <t>AUB; Ziff. 1.5.3</t>
  </si>
  <si>
    <t>AUB; Ziff. 1.5.4</t>
  </si>
  <si>
    <t>AUB; Ziff. 1.5.5</t>
  </si>
  <si>
    <t>AUB; Ziff. 1.5.6</t>
  </si>
  <si>
    <t>AUB; Ziff. 2.3.1</t>
  </si>
  <si>
    <t>AUB; Ziff. 2.3.2</t>
  </si>
  <si>
    <t>vereinbartes UKHTG je Übernachtung; max. 14 Tage</t>
  </si>
  <si>
    <t>AUB; Ziff. 4</t>
  </si>
  <si>
    <t>AUB; Ziff. 1.5.7 / Ziff. 5.2.4.2</t>
  </si>
  <si>
    <t>ja, für Kinder bis 18 Jahre</t>
  </si>
  <si>
    <t>AUB; Ziff. 9.1</t>
  </si>
  <si>
    <t>U 01/08</t>
  </si>
  <si>
    <t>U 01/08 / Onlinerechner</t>
  </si>
  <si>
    <t>U 03/08</t>
  </si>
  <si>
    <t>25% (Kopfverletzung)</t>
  </si>
  <si>
    <t>U 14/08</t>
  </si>
  <si>
    <t>6 Monate ab Geburt
Inv. - 100.000 € (ohne Progression)
Tod - 10.000 €
UKHTG - 10 €</t>
  </si>
  <si>
    <t>AUB; Ziff. 5.1.3 / U 15/08, Ziff. 4</t>
  </si>
  <si>
    <t>AUB; Ziff. 7.1</t>
  </si>
  <si>
    <t>U 13/08 / Onlinerechner</t>
  </si>
  <si>
    <t>(B §2 II (5))</t>
  </si>
  <si>
    <t>bei Mitwirkungsanteil &lt; 45%</t>
  </si>
  <si>
    <t>nationale suisse Basis-Plus
(Stand 01-2008)</t>
  </si>
  <si>
    <t>nationale suisse Ideal
(Stand 01-2008)</t>
  </si>
  <si>
    <t>nationale suisse Premium</t>
  </si>
  <si>
    <t>nationale suisse Komfort</t>
  </si>
  <si>
    <t>bis 8.000 €</t>
  </si>
  <si>
    <t>EU Premium
Stand 01-2012</t>
  </si>
  <si>
    <t>EU Komfort
Stand 01-2012</t>
  </si>
  <si>
    <t>EU; Ziff. 2.1.2.2.1</t>
  </si>
  <si>
    <t>EU; Ziff. 1.4.1</t>
  </si>
  <si>
    <t>EU; Ziff. 1.4.2</t>
  </si>
  <si>
    <t>EU; Ziff. 1.4.3</t>
  </si>
  <si>
    <t>EU; Ziff. 1.4.4 / Ziff. 1.4.5</t>
  </si>
  <si>
    <t>EU; Ziff. 1.3</t>
  </si>
  <si>
    <t>EU; Ziff. 1.4.7</t>
  </si>
  <si>
    <t>EU; Ziff. 1.4.6.1 / Ziff. 1.4.8</t>
  </si>
  <si>
    <t>Cholera, Diphtherie, Gürtelrose, Keuchhusten, spinale Kinderlähmung, Masern, Mumps, Pocken/ Windpocken, Röteln, Scharlach, Lepra, Typhus/ Paratyphus, Wundinfektion, Tollwut, Wundstarrkrampf</t>
  </si>
  <si>
    <t>EU; Ziff. 1.4.6.2 / Ziff. 1.4.9</t>
  </si>
  <si>
    <t>EU; Ziff. 1.4.11</t>
  </si>
  <si>
    <t>EU; Ziff. 7.1</t>
  </si>
  <si>
    <t>EU; Ziff. 1.4.13</t>
  </si>
  <si>
    <t>ja
(auch Hitzschlag)</t>
  </si>
  <si>
    <t>EU; Ziff. 1.5</t>
  </si>
  <si>
    <t>EU; Ziff. 1.6</t>
  </si>
  <si>
    <t>EU; Ziff. 2.1.1.1</t>
  </si>
  <si>
    <t>Eintritt: 18 Monate
ärztliche Feststellung: 27 Monate</t>
  </si>
  <si>
    <t>EU; Ziff. 2.4.2</t>
  </si>
  <si>
    <t>EU; Ziff. 2.4.4</t>
  </si>
  <si>
    <t>EU; Ziff. 2.4.5</t>
  </si>
  <si>
    <t>EU; Ziff. 2.5.2</t>
  </si>
  <si>
    <t>Inland: 48 h; Ausland: Ab Kenntnis-nahme (auch bei Verschollenheit)</t>
  </si>
  <si>
    <t>EU; Ziff. 2.6.4 / Ziff. 7.5</t>
  </si>
  <si>
    <t>ja (max. 500.000 €),
soweit Kind &lt; 18 Jahre</t>
  </si>
  <si>
    <t>EU; Ziff. 2.6.5</t>
  </si>
  <si>
    <t>EU; Ziff. 3</t>
  </si>
  <si>
    <t>ja, auch ärztlich verordnete Medi-kamente (Führen von Kfz bis 1,5 ‰)</t>
  </si>
  <si>
    <t>EU; Ziff. 1.4.12 / Ziff. 4.1.1.2</t>
  </si>
  <si>
    <t>EU; Ziff. 1.4.12 / Ziff. 4.1.1.1</t>
  </si>
  <si>
    <t>EU; Ziff. 4.1.3</t>
  </si>
  <si>
    <t>EU; Ziff. 4.2.2</t>
  </si>
  <si>
    <t>EU; Ziff. 4.2.4</t>
  </si>
  <si>
    <t>ja, für Kinder bis 10 Jahre
(Alkoholvergiftungen bis 18 Jahre)</t>
  </si>
  <si>
    <t>EU; Ziff. 5.1.1.5</t>
  </si>
  <si>
    <t>EU; Ziff. 5.1.2.1</t>
  </si>
  <si>
    <t>bis 30.000 €
(auch Zahnersatz/ -behandlung)</t>
  </si>
  <si>
    <t>EU; Ziff. 5.3.2</t>
  </si>
  <si>
    <t>EU; Ziff. 5.4.4</t>
  </si>
  <si>
    <t>EU; Ziff. 5.4</t>
  </si>
  <si>
    <t>bis 35.000 €
(keine Umschulung)</t>
  </si>
  <si>
    <t>-Unfall infolge epileptischem Anfall oder andere Krampfanfälle
-Leistung bei Raub/ Geiselnahme einmalig 5.000 €</t>
  </si>
  <si>
    <t>EU; Ziff. 1.4.12 / Ziff. 5.5</t>
  </si>
  <si>
    <t>EU; Ziff. 5.6</t>
  </si>
  <si>
    <t>250 € pro Woche,
max. 730 Tage</t>
  </si>
  <si>
    <t>bis 75 € pro Tag, max. 100 Tage
Kinder UV: 20 € je Tag, max. 100 Tage</t>
  </si>
  <si>
    <t>EU; Ziff. 5.8 / Ziff. 5.10</t>
  </si>
  <si>
    <t>EU; Ziff. 5.11</t>
  </si>
  <si>
    <t>bis 30 € pro Tag
(nur in Verbindung mit Kinder-UV)</t>
  </si>
  <si>
    <t>EU; Ziff. 5.12</t>
  </si>
  <si>
    <t>50 € pro Übernachtung, max. 10 Übernachtungen (nur mit Kinder-UV)</t>
  </si>
  <si>
    <t>EU; Ziff. 11.6.1</t>
  </si>
  <si>
    <t>EU; Ziff. 6.2.3</t>
  </si>
  <si>
    <t>EU; Ziff. 5.7</t>
  </si>
  <si>
    <t>500 €, wenn länger als 21 Tage Gips getragen wurde</t>
  </si>
  <si>
    <t>EU; Ziff. 19</t>
  </si>
  <si>
    <t>EU; Ziff. 2.2.3 / Ziff. 9.6.3.1</t>
  </si>
  <si>
    <t>10% der Invaliditätssumme,
max. 25.000 €</t>
  </si>
  <si>
    <t>EU; Ziff. 10.6.5 / 10.6.6</t>
  </si>
  <si>
    <t>Außerkraftsetzung d. Versicherung max. 3 J. möglich (keine Leistung)</t>
  </si>
  <si>
    <t>Folgeerkrankung der Kinderlähmung</t>
  </si>
  <si>
    <t>EU; Ziff. 1.4.2 / Ziff. 4.2.4.2</t>
  </si>
  <si>
    <t xml:space="preserve">Infektionen d. Zeckenstiche, Toll- wut, Wundstarrkrampf/-infektionen </t>
  </si>
  <si>
    <t>EU; Ziff. 4.2.4.2</t>
  </si>
  <si>
    <t>EU; Ziff. 2.1.2.1</t>
  </si>
  <si>
    <t>EU; Ziff. 2.2.3</t>
  </si>
  <si>
    <t>EU; Ziff. 4.1.1.1.</t>
  </si>
  <si>
    <t>bei mechanischer Einwirkung von außen auf den Brustkorb</t>
  </si>
  <si>
    <t>EU; Ziff. 4.1.1.2</t>
  </si>
  <si>
    <t>ja, sofern Folge eines versicherten Unfalls (keine Kernenergie)</t>
  </si>
  <si>
    <t>EU; Ziff. 4.2.5</t>
  </si>
  <si>
    <t>EU; Ziff. 5.1.1.4</t>
  </si>
  <si>
    <t>bis 5.000 €
(nicht für Zahnersatz/-behandlung)</t>
  </si>
  <si>
    <t>innerhalb d. Kinder-UV
20 € pro Tag, max. 100 Tage</t>
  </si>
  <si>
    <t>EU; Ziff. 5.5</t>
  </si>
  <si>
    <t>EU; Ziff. 6.2.2</t>
  </si>
  <si>
    <t>EU; Ziff. 7.5</t>
  </si>
  <si>
    <t>6 Monate ab Geburt
Inv. - 80.000 €
Tod - 10.000 €</t>
  </si>
  <si>
    <t>6 Monate ab Geburt
Inv. - 50.000 €</t>
  </si>
  <si>
    <t>EU; Ziff. 5.9 / Herr Kirbach</t>
  </si>
  <si>
    <t>EU; Ziff. 5.4.1 / Herr Kirbach</t>
  </si>
  <si>
    <t>EU; Ziff. 5.2.2.1 / Herr Kirbach</t>
  </si>
  <si>
    <t>EU; Ziff. 5.2.2.1 / Ziff. 5.2.2.2 / Herr Kirbach</t>
  </si>
  <si>
    <t>Herr Kirbach</t>
  </si>
  <si>
    <t>AUB Top 2011
Stand 03-2012</t>
  </si>
  <si>
    <t>AUB 2008
Stand 05-2011</t>
  </si>
  <si>
    <t>Basler Ambiente Top
(Stand 01-2009)</t>
  </si>
  <si>
    <t>AUB 2009
Stand 04-2011</t>
  </si>
  <si>
    <t>Württembergische
(Stand 11-2009)</t>
  </si>
  <si>
    <t>Württembergische Top
(Stand 11-2009)</t>
  </si>
  <si>
    <t>AUB; U 53, Ziff. 3 / Leistungsübersicht</t>
  </si>
  <si>
    <t>AUB; U 64</t>
  </si>
  <si>
    <t>AUB; U 72 / Leistungsübersicht</t>
  </si>
  <si>
    <t>AUB; U 90</t>
  </si>
  <si>
    <t>AUB; U 91</t>
  </si>
  <si>
    <t>AUB; U 92</t>
  </si>
  <si>
    <t>AUB; U 94, Ziff. 2</t>
  </si>
  <si>
    <t>3 Jahre (1095 Tage) nach Unfallereignis (innerhalb v. 5 Jahren)</t>
  </si>
  <si>
    <t>AUB; U 95</t>
  </si>
  <si>
    <t>AUB; U 96</t>
  </si>
  <si>
    <t>AUB; U 97, Ziff. 1</t>
  </si>
  <si>
    <t>max. 21 Tage</t>
  </si>
  <si>
    <t>AUB; U 98</t>
  </si>
  <si>
    <t>AUB; U 99; Ziff. 1 c)</t>
  </si>
  <si>
    <t>AUB; U 99; Ziff. 1 a) / Ziff. 2 b)</t>
  </si>
  <si>
    <t>AUB; U 78 /  U 99; Ziff. 1 a) / Ziff. 2 b)</t>
  </si>
  <si>
    <t>Leistung erst ab 20% Inv. außer bei Borreliose/FSME d. Zeckenbiss</t>
  </si>
  <si>
    <t>AUB; U 53 / U 55 / 
U 31; Ziff. 1 b)</t>
  </si>
  <si>
    <t>AUB; U 31; Ziff. 1 a) / Leistungsübersicht</t>
  </si>
  <si>
    <t>AUB; U 31; Ziff. 1 d)</t>
  </si>
  <si>
    <t>AUB; U 42; Ziff. 1 / Leistungsübersicht</t>
  </si>
  <si>
    <t>25%, max. 50.000 €
(Kopfverletzung - auch Erwachsene)</t>
  </si>
  <si>
    <t>AUB; U 56</t>
  </si>
  <si>
    <t>AUB; U 65; Ziff. 1) / Leistungsübersicht</t>
  </si>
  <si>
    <t>AUB; U 69</t>
  </si>
  <si>
    <t>bis 3 Monate ab Geburt
Inv. - 30.000 € (350% Progression)
Tod - 10.000 €
KHTG/GG - 20 €</t>
  </si>
  <si>
    <t>bis 3 Monate ab Eheschließung
Inv. - 30.000 € (350% Progression)
Tod - 10.000 €
KHTG/GG - 20 €</t>
  </si>
  <si>
    <t>AUB; U 70; Ziff. 1</t>
  </si>
  <si>
    <t>AUB; U 91 / U 70; Ziff. 2</t>
  </si>
  <si>
    <t>AUB; U 75</t>
  </si>
  <si>
    <t>AUB; U 76</t>
  </si>
  <si>
    <t>Lebensmittel / Nahrungsmittel</t>
  </si>
  <si>
    <t xml:space="preserve">versichert sind Folgen der Einnahme schädlicher Stoffe </t>
  </si>
  <si>
    <t>AUB; U 79</t>
  </si>
  <si>
    <t>AUB; U 88; Ziff. 1</t>
  </si>
  <si>
    <t>nur im Seniorentarif (ansonsten nur Vermittlung über "Unfall-HILFE")</t>
  </si>
  <si>
    <t>AUB; U 86; Ziff. 1</t>
  </si>
  <si>
    <t>AUB; U 86; Ziff. 3 / U 87; Ziff. 2.12</t>
  </si>
  <si>
    <t>AUB; U 76 / U 12; Ziff. II. (1)</t>
  </si>
  <si>
    <t>AUB; U 12, Ziff. IV. (1)</t>
  </si>
  <si>
    <t>AUB; U 13, Ziff. 1)</t>
  </si>
  <si>
    <t>AUB; U 87</t>
  </si>
  <si>
    <t>AUB; U 68</t>
  </si>
  <si>
    <t>AUB; U 73</t>
  </si>
  <si>
    <t xml:space="preserve">
Leistung ab 20% Invalidität bei:
Tollwut, Wundstarrkrampf, Borreliose, Brucellose, Cholera, Diphtherie, Dreitagefieber, epidemische Kinderlähmung (Poliomyelitis), Fleckfieber, Gelbfieber, Genickstarre, Keuchhusten, Lepra, Malaria, Masern, Pest, Pocken, Scharlach, Schlaf-/ Tsetse-Krankheit, Tularämie (Hasenpest), Typhus und Paratyphus, Windpocken</t>
  </si>
  <si>
    <t>AUB; § 2, Ziff. II. (3) / U 99; Ziff. 1 a) / Ziff. 2 b)</t>
  </si>
  <si>
    <t>nur bei Nachweis eines Versehens &amp; unverzügl. Nachholung der Anzeige</t>
  </si>
  <si>
    <t>AUB; § 7, Ziff. I. (1)</t>
  </si>
  <si>
    <t>AUB; § 9, Ziff. VII.</t>
  </si>
  <si>
    <t>AUB; U 52, Ziff. 1</t>
  </si>
  <si>
    <t xml:space="preserve">
'-Gesundheitsschädigungen durch 
Höhenkrankheit mitversichert;
-Mitversicherung von Sportgeräten bis 1.500 €;
-Überführungskosten in KH nach Wahl nach Unfall &gt;100 km von Wohnort entfernt bis 1.000 €
</t>
  </si>
  <si>
    <t>Leistungen zusätzlich versicherbar über Baustein "Unfall-HILFE"</t>
  </si>
  <si>
    <t>AUB; U 87, Ziff. 2.16</t>
  </si>
  <si>
    <t>AUB; U 87, Ziff. 2.14</t>
  </si>
  <si>
    <t>ja
(gemäß Leistungsübersicht)</t>
  </si>
  <si>
    <t xml:space="preserve">AUB 2012
Stand 06-2012 </t>
  </si>
  <si>
    <t>Württembergische Premium</t>
  </si>
  <si>
    <t>Württembergische Platinum</t>
  </si>
  <si>
    <t>BB Premium; Ziff. 19.1</t>
  </si>
  <si>
    <t>BB Platinum; Ziff. 1</t>
  </si>
  <si>
    <t>ja (auch durch Zuckerschock/ epileptische Anfälle)</t>
  </si>
  <si>
    <t>BB Platinum; Ziff. 2</t>
  </si>
  <si>
    <t>BB Platinum; Ziff. 3</t>
  </si>
  <si>
    <t>BB Platinum; Ziff. 4</t>
  </si>
  <si>
    <t>im Rahmen der Bergungskosten
(max. 14 Übernachtungen)</t>
  </si>
  <si>
    <t>BB Platinum; Ziff. 7</t>
  </si>
  <si>
    <t>BB Platinum; Ziff. 8</t>
  </si>
  <si>
    <t>BB Platinum; Ziff. 9.1</t>
  </si>
  <si>
    <t>bis 28 Tage</t>
  </si>
  <si>
    <t>BB Premium; Ziff. 1</t>
  </si>
  <si>
    <t>BB Premium; Ziff. 2</t>
  </si>
  <si>
    <t>BB Premium; Ziff. 3</t>
  </si>
  <si>
    <t>BB Premium; Ziff. 4</t>
  </si>
  <si>
    <t>BB Premium; Ziff. 5</t>
  </si>
  <si>
    <t>BB Premium; Ziff. 6.1.2</t>
  </si>
  <si>
    <t>Tollwut, Wundstarrkrampf,
Chikungunja-Fieber, Dengue-Fieber, Japanische Enzephalitis, Rückfallfieber, Fleckfieber, Gelbfieber, Malaria tropica, Schlafkrankheit(Tse-Tse-Krankheit)</t>
  </si>
  <si>
    <t>BB Premium; Ziff. 7</t>
  </si>
  <si>
    <t>unvorhergesehen bis 21 Tage</t>
  </si>
  <si>
    <t>BB Premium; Ziff. 8</t>
  </si>
  <si>
    <t>BB Premium; Ziff. 9</t>
  </si>
  <si>
    <t>durch Röntgen-/ 
Ultraviolette Strahlung</t>
  </si>
  <si>
    <t>BB Premium; Ziff. 12</t>
  </si>
  <si>
    <t>BB Premium; Ziff. 13</t>
  </si>
  <si>
    <t>BB Premium; Ziff. 14</t>
  </si>
  <si>
    <t>BB Premium; Ziff. 15.2</t>
  </si>
  <si>
    <t>BB Premium; Ziff. 17</t>
  </si>
  <si>
    <t>BB Platinum; Ziff. 13 / BB Premium; Ziff. 17</t>
  </si>
  <si>
    <t>bis 4.000 € (auch bestimmte Fitness-Maßnahmen bis 1.000 €)</t>
  </si>
  <si>
    <t>bis 9.000 € (auch bestimmte Fitness-Maßnahmen bis 1.000 €)</t>
  </si>
  <si>
    <t>BB Premium; Ziff. 18</t>
  </si>
  <si>
    <t>BB Premium; Ziff. 20.2</t>
  </si>
  <si>
    <t>BB Premium; Ziff. 20.3</t>
  </si>
  <si>
    <t>BB Premium; Ziff. 22</t>
  </si>
  <si>
    <t>unterschiedliche Mehrleistungsmodelle versicherbar</t>
  </si>
  <si>
    <t>BB Mehrleistungen</t>
  </si>
  <si>
    <t>AUB; I.; Ziff. 5.2.4.2 / BB Premium; Ziff. 6.1.1</t>
  </si>
  <si>
    <t>BB Zeckenstich; Ziff. 1</t>
  </si>
  <si>
    <t>AUB; I.; Ziff. 5.2.5</t>
  </si>
  <si>
    <t>BB Vorsorgeschutz; Ziff. 3</t>
  </si>
  <si>
    <t>6 Monate ab Geburt; Inv. - 50.000 € (Progression 300); Tod - 5.000 €; KHTG - 10 €; kosm.OP/ Bergung - 10.000 € (Ausland: 20.000 €); Sofort-leistung Schwerverletzungen -5.000 €</t>
  </si>
  <si>
    <t>6 Monate ab Heirat; Inv. - 50.000 € (Progression 300); Tod - 5.000 €; KHTG - 10 €; kosm.OP/ Bergung - 10.000 € (Ausland: 20.000 €); Sofort-leistung Schwerverletzungen -5.000 €</t>
  </si>
  <si>
    <t>AUB Teil I Ziff. 11.6.1.2</t>
  </si>
  <si>
    <t>AUB; I.; Ziff. 2.2.6.4. / Ziff. 11.6.2.1
BB Premium; Ziff. 10 / Ziff. 11 / Ziff. 16</t>
  </si>
  <si>
    <t>AUB; I.; Ziff. 11.6.2.1
BB Premium; Ziff. 10 / Ziff. 11
BB Platinum; Ziff. 6 / Ziff. 9.2 / Ziff. 10 / Ziff. 12</t>
  </si>
  <si>
    <t>-Beitragsfreistellung der Kinderunfall ab 90% Inv.-Grad des VN bis zum Ablauf des Versicherungs-jahres, in dem Kind 18. Lj. vollendet
-Nervöse Störungen im Anschluss an einen Unfall sind versichert
-lizenzfreie Motorsportveranstaltungen sind versichert
-sofern vereinbart erweiterte Serviceleistungen über Familien-Management (max. 12 Wochen)  (auch Versorgung der im Haushalt lebenden Eltern/ Schwiegereltern)
-UKHT bei teilstationärer/ ambulanter Rehabilitation für 15 Tage
-Privatärztliche Behandlung innerhalb der Kinder-Unfallversicherung bis zum 3,5-fachen Satz der GOÄ (Für Kinder bis 14 Jahre)
-sofern vereinbart erweiterte Hilfeleistungen um Haustierversorgung und Pflegeplatzgarantie</t>
  </si>
  <si>
    <t>AUB Teil I Ziff. 2.2.9 / BB Platinum; Ziff. 5.2</t>
  </si>
  <si>
    <t>im Rahmen der Bergungskosten (max. 14 Übernacht.) + Oraganisation</t>
  </si>
  <si>
    <t>AUB Teil I Ziff. 2.2.4 / Homepage</t>
  </si>
  <si>
    <t>bis 15.000 €  (auch Zahnersatz/ -be-handlung für Schneide-/ Eckzähne (Implantate 500 €; Kronen 250 €))</t>
  </si>
  <si>
    <t>AUB; I.; Ziff. 2.2.8.2 / BB Premium; Ziff. 21 / Homepage</t>
  </si>
  <si>
    <t>AUB Teil I Ziff. 2.2.6.6.2</t>
  </si>
  <si>
    <t>AUB; I.; Ziff. 2.1</t>
  </si>
  <si>
    <t>AUB; I.; Ziff. 2.1.2</t>
  </si>
  <si>
    <t>AUB; I.; Ziff. 2.1.3.2.3 / Ziff. 2.1.3.2.4</t>
  </si>
  <si>
    <t>AUB; I.; Ziff. 2.1.4.3</t>
  </si>
  <si>
    <t>Kinderbetreuung versicherbar, wenn VP Kind nicht betreuen kann (Unfall)</t>
  </si>
  <si>
    <t>AUB Teil I Ziff. 2.2.6.5.2</t>
  </si>
  <si>
    <t>AUB; I.; Ziff. 2.2.9.2</t>
  </si>
  <si>
    <t>AUB; I.; Ziff. 1.4</t>
  </si>
  <si>
    <t>AUB; I.; Ziff. 1.4 und 5.2.7</t>
  </si>
  <si>
    <t>AUB; I.; Ziff. 2.2.1.2.1</t>
  </si>
  <si>
    <t>AUB; I.; Ziff. 7.9</t>
  </si>
  <si>
    <t>AUB; I.; Ziff. 4.1</t>
  </si>
  <si>
    <t>Grundpflegeleistungen
zusätzlich versicherbar</t>
  </si>
  <si>
    <t>AUB; I.; Ziff. 2.1.2.9</t>
  </si>
  <si>
    <t>AUB; I.; Ziff. 2.2.6.1.1</t>
  </si>
  <si>
    <t>4 J. nach Unfall (mind. 3 Tage) Dop-pelt innerhalb d. ersten 200 Tage</t>
  </si>
  <si>
    <t>AUB; I.; Ziff. 2.2.6.1.2 / BB Premium; Ziff. 20.1</t>
  </si>
  <si>
    <t>AUB; I.; Ziff. 2.2.6.1.2 / BB Platinum; Ziff. 8</t>
  </si>
  <si>
    <t>4 J. nach Unfall (mind. 3 Tage) Dop-pelt innerhalb d. ersten 250 Tage</t>
  </si>
  <si>
    <t>ERGO Unfall life
(Stand 04-2010)</t>
  </si>
  <si>
    <t>ERGO Unfallschutz Familie</t>
  </si>
  <si>
    <t>KT2012U; Seite 16</t>
  </si>
  <si>
    <t>zusätzlich versicherbar
bis 24 Monate</t>
  </si>
  <si>
    <t>versicherbar (Erweiterte Leistung ab 50% Invalidität)</t>
  </si>
  <si>
    <t>KT2012U; Seite 13</t>
  </si>
  <si>
    <t>KT2012U; Ziff. 3.1.3</t>
  </si>
  <si>
    <t>KT2012U; Ziff. 3.1.2</t>
  </si>
  <si>
    <t>KT2012U; Ziff. 1.3</t>
  </si>
  <si>
    <t>KT2012U; Ziff. 2.2</t>
  </si>
  <si>
    <t>KT2012U; Ziff. 3.2</t>
  </si>
  <si>
    <t>KT2012U; Ziff. 3.4.1 / Prospekt</t>
  </si>
  <si>
    <t>5 Jahre nach Unfallereignis
(Verdoppelung ab dem 4. Tag)</t>
  </si>
  <si>
    <t>KT2012U; Ziff. 3.5.1 / Ziff. 3.5.2</t>
  </si>
  <si>
    <t>KT2012U; Ziff. 3.5.2</t>
  </si>
  <si>
    <t>KT2012U; Ziff. 3.5.3</t>
  </si>
  <si>
    <t>KT2012U; Ziff. 3.6</t>
  </si>
  <si>
    <t>25 € je Übernachtung,
max. 100 Übernachtungen</t>
  </si>
  <si>
    <t>bis 5.000 € - erhöhbar 
(auch Schneide-/Eckzähne)</t>
  </si>
  <si>
    <t>KT2012U; Ziff. 3.9</t>
  </si>
  <si>
    <t>Inland: bis 15.000 €
Ausland: bis 30.000 €</t>
  </si>
  <si>
    <t>KT2012U; Ziff. 3.10.1 / Prospekt</t>
  </si>
  <si>
    <t>KT2012U; Ziff. 3.10.2</t>
  </si>
  <si>
    <t>KT2012U; Ziff. 3.11</t>
  </si>
  <si>
    <t>6 Monate (12 Monate bei Meldung) 
Inv. 50.000 € / Tod 5.000 €
UKHTG Inland: 10 € ab 4. Tag; 
UKHTG Ausland: 20 €
Bergungskosten - siehe oben</t>
  </si>
  <si>
    <t>KT2012U; Ziff. 4.1.1 / Ziff. 4.1.2</t>
  </si>
  <si>
    <t>bis 1,5 ‰
(Führen von Kfz bis 1,1 ‰)</t>
  </si>
  <si>
    <t>ja
(Führen von Kfz bis 1,3‰)</t>
  </si>
  <si>
    <t>ja
(Führen von Kfz bis 1,6‰)</t>
  </si>
  <si>
    <t>ja
(Führen von Kfz bis 1,5‰)</t>
  </si>
  <si>
    <t>bis 2,0‰, auch ärztl. verordnete Me-dikamente (Führen von Kfz bis 1,1‰)</t>
  </si>
  <si>
    <t>KT2012U; Ziff. 4.1.1</t>
  </si>
  <si>
    <t>KT2012U; Ziff. 4.1.4</t>
  </si>
  <si>
    <t>sofern die Impfung als Heilmaß-nahme durch Unfall veranlasst war</t>
  </si>
  <si>
    <t>KT2012U; Ziff. 4.2.3</t>
  </si>
  <si>
    <t>KT2012U; Ziff. 4.2.2</t>
  </si>
  <si>
    <t>KT2012U; Ziff. 4.2.4</t>
  </si>
  <si>
    <t>KT2012U; Ziff. 4.2.5</t>
  </si>
  <si>
    <t>KT2012U; Ziff. 4.2.7</t>
  </si>
  <si>
    <t>KT2012U; Ziff. 5</t>
  </si>
  <si>
    <t>KT2012U; Ziff. 6.4</t>
  </si>
  <si>
    <t>KT2012U; Ziff. 11.4</t>
  </si>
  <si>
    <t>KT2012U; Ziff. 14</t>
  </si>
  <si>
    <t>Hilfeleistungen zusätzlich versicherbar über "AktivHilfe"</t>
  </si>
  <si>
    <t>KT2012U; AktivHilfe; B.3</t>
  </si>
  <si>
    <t>zusätzlich versicherbar 
bis 25.000 € über "RehaHilfe"</t>
  </si>
  <si>
    <t>RehaHilfe; B.3</t>
  </si>
  <si>
    <t>RehaHilfe; B.1</t>
  </si>
  <si>
    <t>zusätzlich versicherbar
über "Reha-Hilfe"</t>
  </si>
  <si>
    <t>RehaHilfe; B.4</t>
  </si>
  <si>
    <t>RehaHilfe; B</t>
  </si>
  <si>
    <t>-zusätzlich versicherbar über "RehaHilfe" sind:
Fitness- und Physiotherapiemaßnahmen bis 2.500 € sowie eine Unfallnachsorge bis 25.000 €. Außerdem Rehabilitationsmaßnahmen bis 25.000 € und Beratungsservice</t>
  </si>
  <si>
    <t>R+V Exklusiv
(Stand 07-2010)</t>
  </si>
  <si>
    <t>UNB 2012
Stand 07-2012</t>
  </si>
  <si>
    <t>UNB; Ziff. 2.1.2.2.1</t>
  </si>
  <si>
    <t>BB; B.</t>
  </si>
  <si>
    <t>BB; C.; Ziff. 2</t>
  </si>
  <si>
    <t>ja (Einwirkung unausweichlich max. mehrere Stunden)</t>
  </si>
  <si>
    <t>BB; C.; Ziff. 3</t>
  </si>
  <si>
    <t>BB; C.; Ziff. 4</t>
  </si>
  <si>
    <t>BB; C.; Ziff. 5</t>
  </si>
  <si>
    <t>BB; C.; Ziff. 6</t>
  </si>
  <si>
    <t>ja
(Ausschluss des Führen von Kfz)</t>
  </si>
  <si>
    <t>ja,
Leistenbrüche</t>
  </si>
  <si>
    <t>BB; C.; Ziff. 1</t>
  </si>
  <si>
    <t>BB; C.; Ziff. 8</t>
  </si>
  <si>
    <t>BB; C.; Ziff. 9 / Ziff. 10</t>
  </si>
  <si>
    <t>Meningitis, Borreliose d. Zecken-biss/ Wundinfektionen d. Insektenst.</t>
  </si>
  <si>
    <t>-Gesundheitsschädigungen durch Folgen psychischer und nervöser Störungen versichert</t>
  </si>
  <si>
    <t>BB; C.; Ziff. 11</t>
  </si>
  <si>
    <t>BB; C.; Ziff. 12</t>
  </si>
  <si>
    <t>BB; C.; Ziff. 13</t>
  </si>
  <si>
    <t>2 Jahre nach Unfall</t>
  </si>
  <si>
    <t>BB; C.; Ziff. 15</t>
  </si>
  <si>
    <t>bei Noteinweisung</t>
  </si>
  <si>
    <t>bis 6.000 € (auch Zahnersatz-/ be-handlung v. Schneide-/ Eckzähnen)</t>
  </si>
  <si>
    <t>UNB; Ziff. 2.9.1 / BB; C.; Ziff. 17</t>
  </si>
  <si>
    <t>UNB; Ziff. 2.10.2 / BB; C.; Ziff. 18</t>
  </si>
  <si>
    <t>im Rahmen der Bergungskosten
(nur im Ausland)</t>
  </si>
  <si>
    <t>BB; C.; Ziff. 20</t>
  </si>
  <si>
    <t>BB; C.; Ziff. 21</t>
  </si>
  <si>
    <t>BB; C.; Ziff. 22</t>
  </si>
  <si>
    <t>UNB; Ziff. 7.5</t>
  </si>
  <si>
    <t>UNB; Ziff. 5.1.1</t>
  </si>
  <si>
    <t>UNB; Ziff. 5.2.4.2</t>
  </si>
  <si>
    <t>UNB; Ziff. 5.2.3</t>
  </si>
  <si>
    <t>UNB; Ziff. 5.1.3</t>
  </si>
  <si>
    <t>UNB; Ziff. 5.2.5</t>
  </si>
  <si>
    <t>UNB; Ziff. 3</t>
  </si>
  <si>
    <t>UNB; Ziff. 4.1</t>
  </si>
  <si>
    <t>UNB; Ziff. 2.1.2.1</t>
  </si>
  <si>
    <t>UNB; Ziff. 11.1.1</t>
  </si>
  <si>
    <t>BB; A.</t>
  </si>
  <si>
    <t>BB; C.; Ziff. 2.5.2.2</t>
  </si>
  <si>
    <t>6 Monate ab Geburt
Inv. - 50.000 € (keine Progression)
Tod - 5.000 € / UKHTG/GG- 10 € / UKHTG Extra - 1.000 €
Unfall-Service - 10.000 €</t>
  </si>
  <si>
    <t>6 Monate ab Eheschließung
Inv. - 50.000 € (keine Progression)
Tod - 5.000 € / UKHTG/GG - 10 € / UKHTG Extra - 1.000 €
Unfall-Service - 10.000 €</t>
  </si>
  <si>
    <t>UNB; Ziff. 2.6.2</t>
  </si>
  <si>
    <t>UNB; Ziff. 6.2.2</t>
  </si>
  <si>
    <t>UNB; Ziff. 2.10</t>
  </si>
  <si>
    <t>10% (auch Benutzung eines Sicherheitsgurts und bei Benutzung von Straßenquerungshilfen)</t>
  </si>
  <si>
    <t>ja, bis 1.000 € (ab 8. Tag vollstationärer Behandlung)</t>
  </si>
  <si>
    <t>ja, auch ärztlich verordnete Medi-kamente (Führen von Kfz bis 1,1 ‰)</t>
  </si>
  <si>
    <t>Meningitis, Borreliose durch
Zeckenbiss/ allergische Reaktionen</t>
  </si>
  <si>
    <t>Tollwut, Wundstarrkrampf
und Infektionen durch geringfügige Hautverletzungen</t>
  </si>
  <si>
    <t>sofern Impfung als Heilmaßnahme durch Unfall veranlasst war</t>
  </si>
  <si>
    <t>ja (auch durch epileptische Anfälle - nicht im Frauentarif)</t>
  </si>
  <si>
    <t>zusätzlich versicherbar
(nicht im Frauentarif)</t>
  </si>
  <si>
    <t>bis 10.000 € (auch Zahnbehandlung/ Zahnersatz f. Schneide-/Eckzähne)</t>
  </si>
  <si>
    <t>im Rahmen der Unfallhilfeleistungen</t>
  </si>
  <si>
    <t>sofern vereinbart ab 90% Invalidität,
max. 500.000 € (Im Frauentarif inkl.)</t>
  </si>
  <si>
    <t>Eintritt: 15 Monate
ärztliche Feststellung: 21 Monate</t>
  </si>
  <si>
    <t>5 Jahre nach Unfallereignis
(2 Jahre Gesamtleistungsdauer)</t>
  </si>
  <si>
    <t>gleiche Anzahl von Tagen
wie UKTG / max. 2 Jahre</t>
  </si>
  <si>
    <t>nicht Personen ab Pflegestufe II</t>
  </si>
  <si>
    <t>-keine Gesundheitsfragen
-sofern vereinbart plastische OP infolge Brustkrebs / Organverlust infolge frauentypischer Krebserkrankungen bis 10.000 € (im Frauentarif inkl.)
-sofern vereinbart 1.000 € Haushaltshilfegeld bei frauentypischen Krebsleiden (im Frauentarif inkl.)
-Chefarztbehandlung/ Einbettzimmer im Krankenhaus versicherbar (nicht im Frauentarif)
-Teilnahme an lizenzfreien Motorsportveranstaltungen (nicht im Frauentarif)
-3.000 € bei unfallbedingter Fehlgeburt versicherbar (im Frauentarif inkl.)
-3.000 €  bei Raubüberfall o. Geiselnahme (nicht im Frauentarif)
-Mitversicherung von Terroranschlägen</t>
  </si>
  <si>
    <t>ja (auch allergische Reaktionen)</t>
  </si>
  <si>
    <t>Tollwut, Wundstarrkrampf,
Cholera, Diphterie, Gürtelrose, Keuchhusten, spinale Kinderlähmung, Masern, Mumps, Pest, Pfeiffer'sches Drüsenfieber, Pocken/ Windpocken, Röteln, Scharlach, Tuberkulose, Typhus/ Paratyphus</t>
  </si>
  <si>
    <t>Impfungen gegen versicherte Infektionen</t>
  </si>
  <si>
    <t>im Rahmen der Bergungskosten 
bis 20.000 €</t>
  </si>
  <si>
    <t>bis 50.000 € (auch Zahnbehandlung/ Zahnersatz f. Schneide-/Eckzähne)</t>
  </si>
  <si>
    <t>(als vers. Ereignis gilt Ausbruch d. Krankheit - 3 Monate Wartezeit)
Tollwut, Wundstarrkrampf, Cholera, Diphterie, Dreitagefieber, Echinokokkose, Fleckfieber, Gelbfieber, Gürtelrose, Keuchhusten, Lepra, Masern, Mumps, Paratyphus, Pest, Pfeiffersches Drüsenfieber, Pocken, Röteln, Scharlach, Schlafkrankheit, spinale Kinderlähmung, Tuberkulose, Tularämie, Typhus, Windpocken</t>
  </si>
  <si>
    <t>ja (auch Krampfanfälle und Übermüdung)</t>
  </si>
  <si>
    <t>ja (auch Zahnarzt- und Zahnlaborkosten)</t>
  </si>
  <si>
    <t xml:space="preserve">bis zur Vollendung des 18. Lj. des jüngsten Kindes </t>
  </si>
  <si>
    <t>Pflegestufe I = 20 €, Pfl.st. II = 40 €, 
Pfl.st. III = 60 € je Tag; max. 1 Jahr</t>
  </si>
  <si>
    <t>ja (auch Übermüdung)</t>
  </si>
  <si>
    <t>bis 50.000 €
(auch Zahnbehandlung/ Zahnersatz)</t>
  </si>
  <si>
    <t>5 Jahre nach Unfallereignis
(max. 1.000 Tage)</t>
  </si>
  <si>
    <t>-30.000 € Sofortleistung f. Schwerver-letzte bei Um-/bau eines Eigenheims
-Minderjährige beim Umgang mit selbstgebauten Feuerwerkskörpern
-psychische und nervöse Störungen infolge eines Unfalls
-Pflegeleistungen über Baustein "Easy Care" versicherbar</t>
  </si>
  <si>
    <t>ja, auch durch Medikamente
(Führen von Kfz bis 1,3 ‰)</t>
  </si>
  <si>
    <t>ja, auch durch Medikamente
(Keine Promillebegrenzung)</t>
  </si>
  <si>
    <t>Eintritt: 24 Monate
ärztli. Feststellung: 42 Monate</t>
  </si>
  <si>
    <t>BB AUB 2008 Premium
Stand 02-2010</t>
  </si>
  <si>
    <t>BB AUB 2008 Komfort
Stand 10-2009</t>
  </si>
  <si>
    <t>BB AUB 2008 Basis
Stand 10-2009</t>
  </si>
  <si>
    <t>BB; I; Ziff. 1</t>
  </si>
  <si>
    <t>ja
(max. Einwirkung: mehrere Stunden)</t>
  </si>
  <si>
    <t>BB; I; Ziff. 2</t>
  </si>
  <si>
    <t>BB; I; Ziff. 3</t>
  </si>
  <si>
    <t>BB; I; Ziff. 4</t>
  </si>
  <si>
    <t>ja
(auch Erwachsene)</t>
  </si>
  <si>
    <t>BB; I; Ziff. 5</t>
  </si>
  <si>
    <t>BB; I; Ziff. 6</t>
  </si>
  <si>
    <t>BB; I; Ziff. 7 / Ziff. 8</t>
  </si>
  <si>
    <t>BB; I; Ziff. 9</t>
  </si>
  <si>
    <t>BB; I; Ziff. 10</t>
  </si>
  <si>
    <t>BB; I; Ziff. 11</t>
  </si>
  <si>
    <t>BB; I; Ziff. 12</t>
  </si>
  <si>
    <t>BB; I; Ziff. 13</t>
  </si>
  <si>
    <t>25 € pro Tag,
max. 1 Jahr</t>
  </si>
  <si>
    <t>im Rahmen der Bergungskosten
(im Inland bis 500 €)</t>
  </si>
  <si>
    <t>BB; I; Ziff. 14.7</t>
  </si>
  <si>
    <t>BB; I; Ziff. 15</t>
  </si>
  <si>
    <t>bis 15.000 €  (auch Zahnbehandlung/ Zahnersatz f. Eck-/ Schneidezähne)</t>
  </si>
  <si>
    <t>BB; I; Ziff. 17</t>
  </si>
  <si>
    <t xml:space="preserve">bei Mitwirkungsanteil &lt; 45% </t>
  </si>
  <si>
    <t>BB; I; Ziff. 18.1</t>
  </si>
  <si>
    <t>BB; I; Ziff. 18.2</t>
  </si>
  <si>
    <t>BB; I; Ziff. 20.4</t>
  </si>
  <si>
    <t>BB; I; Ziff. 21</t>
  </si>
  <si>
    <t>Tollwut, Wundstarrkrampf, Cholera, Diphterie, Dreitagefieber, Echinokokkose (Fuchsbandwurm), epidemische Kinderlähmung (Poliomyelitis), Fleckfieber, Gelbfieber, Genickstarre, Keuchhusten, Lepra, Malaria, Masern, Mumps, Pest, Pocken, Röteln, Scharlach, Schlafkrankheit, Tularämie (Hasenpest)</t>
  </si>
  <si>
    <t>BB; I; Ziff. 21.1 c)</t>
  </si>
  <si>
    <t>BB; I; Ziff. 21.1 b)</t>
  </si>
  <si>
    <t>BB; I; Ziff. 21.1 a)</t>
  </si>
  <si>
    <t>BB; I; Ziff. 22 / 23</t>
  </si>
  <si>
    <t>ab Kenntnisnahme 
(auch Verschollenheit)</t>
  </si>
  <si>
    <t>BB; I; Ziff. 24</t>
  </si>
  <si>
    <t>bis 1 Jahr ab Vollendung der Geburt
Inv. - 50.000 €
Tod - 5.000 €</t>
  </si>
  <si>
    <t>BB; I; Ziff. 25</t>
  </si>
  <si>
    <t>bis 3 Monate ab Heirat
Inv. - 50.000 €
Tod - 5.000 €</t>
  </si>
  <si>
    <t>BB; I; Ziff. 26</t>
  </si>
  <si>
    <t>BB; I; Ziff. 27</t>
  </si>
  <si>
    <t>50 € je Übernachtung,
max. 14 Übernachtungen</t>
  </si>
  <si>
    <t>BB; I; Ziff. 28</t>
  </si>
  <si>
    <t>Pro Tag in Höhe des UKHTG
max. 2.000 € gesamt</t>
  </si>
  <si>
    <t>BB; I; Ziff. 29</t>
  </si>
  <si>
    <t>bis 50 € pro Tag, max. 1.500 € (sofern Kind unter 14 Jahren im Hauhalt lebt)</t>
  </si>
  <si>
    <t>BB; I; Ziff. 30.1</t>
  </si>
  <si>
    <t>-Psychologische Betreuung nach einem Unfall bis 2.500 €
-Mitversicherung von Terroranschlägen
-Kosten für logopädische Behandlung bis 2.500 €</t>
  </si>
  <si>
    <t>BB; I; Ziff. 19 / Ziff. 20.2 / Ziff. 31</t>
  </si>
  <si>
    <t>BB; I; Ziff. 32</t>
  </si>
  <si>
    <t>BB; I; Ziff. 33.2</t>
  </si>
  <si>
    <t>BB; I; Ziff. 34</t>
  </si>
  <si>
    <t>max. 3 Jahre</t>
  </si>
  <si>
    <t>AUB; Ziff. 2.1.1.1 / BB; I; Ziff. 5</t>
  </si>
  <si>
    <t>BB; I; Ziff. 7</t>
  </si>
  <si>
    <t>BB; I; Ziff. 8</t>
  </si>
  <si>
    <t>BB; I; Ziff. 8.7</t>
  </si>
  <si>
    <t>im Rahmen der Bergungskosten
(im Inland bis 200 €)</t>
  </si>
  <si>
    <t>BB; I; Ziff. 8.4</t>
  </si>
  <si>
    <t>BB; I; Ziff. 14.4</t>
  </si>
  <si>
    <t>BB; I; Ziff. 9.2</t>
  </si>
  <si>
    <t>BB; I; Ziff. 15.2</t>
  </si>
  <si>
    <t>BB; I; Ziff. 10.2</t>
  </si>
  <si>
    <t>bis 10.000 €  (auch Zahnbehandlung/ Zahnersatz f. Eck-/ Schneidezähne)</t>
  </si>
  <si>
    <t>bis 5.000 €  (auch Zahnbehandlung/ Zahnersatz f. Eck-/ Schneidezähne)</t>
  </si>
  <si>
    <t>BB; I; Ziff. 10.2 / Leistungsübersicht</t>
  </si>
  <si>
    <t>BB; I; Ziff. 16.2 / Leistungsübersicht</t>
  </si>
  <si>
    <t xml:space="preserve">bei Mitwirkungsanteil &lt; 35% </t>
  </si>
  <si>
    <t>ab 35%</t>
  </si>
  <si>
    <t>ja, auch durch Medikamente
(Führen von Kfz bis 1,1 ‰)</t>
  </si>
  <si>
    <t>-Mitversicherung von Terroranschlägen</t>
  </si>
  <si>
    <t>BB; I; Ziff. 13.4</t>
  </si>
  <si>
    <t>48 h
(auch Verschollenheit)</t>
  </si>
  <si>
    <t>AUB; Ziff. 7.5 / BB; I; Ziff. 14</t>
  </si>
  <si>
    <t>bis 1 Jahr ab Vollendung der Geburt
Inv. - 30.000 €
Tod - 3.000 €</t>
  </si>
  <si>
    <t>BB; I; Ziff. 16</t>
  </si>
  <si>
    <t>bis 3 Monate ab Heirat
Inv. - 30.000 €
Tod - 3.000 €</t>
  </si>
  <si>
    <t>BB; I; Ziff. 13.2 / Ziff. 18</t>
  </si>
  <si>
    <t>-Mitversicherung von Terroranschlägen
-Kosten für logopädische Behandlung bis 1.500 €</t>
  </si>
  <si>
    <t>BB; I; Ziff. 19.1</t>
  </si>
  <si>
    <t>BB; I; Ziff. 20.2</t>
  </si>
  <si>
    <t>BB; I; Ziff. 2.6</t>
  </si>
  <si>
    <t>BB; I; Ziff. 2.4</t>
  </si>
  <si>
    <t>BB; I; Ziff. 3.2</t>
  </si>
  <si>
    <t>bis 3.500 €</t>
  </si>
  <si>
    <t>BB; I; Ziff. 4.2 / Leistungsübersicht</t>
  </si>
  <si>
    <t>BB; I; Ziff. 6.4</t>
  </si>
  <si>
    <t>BB; I; Ziff. 6.2</t>
  </si>
  <si>
    <t>bis 3 Monate ab Heirat
Inv. - 20.000 €</t>
  </si>
  <si>
    <t>bis 1 Jahr ab Vollendung der Geburt
Inv. - 20.000 €</t>
  </si>
  <si>
    <t>im Rahmen des Pro Domo Unfall-Service versicherbar</t>
  </si>
  <si>
    <t>LB PDUS 2008</t>
  </si>
  <si>
    <t>AUB; Ziff. 6.1.2</t>
  </si>
  <si>
    <t>AUB; Ziff. 11.7.1</t>
  </si>
  <si>
    <t>AUB; Ziff. 5.2.4.1</t>
  </si>
  <si>
    <t>5 Jahre nach Unfallereignis 
(max. 1.825 Tage)</t>
  </si>
  <si>
    <t>bis 2 Jahre</t>
  </si>
  <si>
    <t>ja (Meningitis / Tollwut / Wundstarrkrampf)</t>
  </si>
  <si>
    <t>Prüfung auf aktualität des Bedingungswerks</t>
  </si>
  <si>
    <t>AUB 2008
Stand 01-2008</t>
  </si>
  <si>
    <t>wie 04-2012</t>
  </si>
  <si>
    <t>AUB 2008
Stand 10-2012</t>
  </si>
  <si>
    <t>Zurich Makler Top-Schutz
(Stand 04-2011)</t>
  </si>
  <si>
    <t>bis 2,0‰, auch durch Medikamente 
(Führen von Kfz 1,3‰/ Fahrrad: 1,6‰)</t>
  </si>
  <si>
    <t>BB; Ziff. 17</t>
  </si>
  <si>
    <t>Prokundo ExklusivPaket
(Stand 01-2012)</t>
  </si>
  <si>
    <t>Prokundo Komfort
(Stand 01-2012)</t>
  </si>
  <si>
    <t>AUB; Ziff. 2.8.2 / ZB; Ziff. 20 / Leistungsübersicht</t>
  </si>
  <si>
    <t>ja (auch ambulante/ teilstationäre Maßnahmen, min. 3 Wochen Dauer)</t>
  </si>
  <si>
    <t>ja, stationäre Maßnahmen</t>
  </si>
  <si>
    <t>AUB 2012
Stand 08-2012</t>
  </si>
  <si>
    <t>Debeka
(Stand 01-2008)</t>
  </si>
  <si>
    <t>AUB; Ziff. 2.5.4</t>
  </si>
  <si>
    <t>10.000 € bei vorsätzlicher Selbsttötung im Kinder-Tarif</t>
  </si>
  <si>
    <t>-2.500 € beitragsfreie Todesfallleistung bei Tod durch Behandlungsfehler</t>
  </si>
  <si>
    <t>AUB; Ziff. 2.5.3</t>
  </si>
  <si>
    <t>AUB; Ziff. 1.5.1 / U 01/08</t>
  </si>
  <si>
    <t>im Rahmen der Bergungskosten
(max. 3 Nächte)</t>
  </si>
  <si>
    <t>U 01/08, Ziff. 1.4</t>
  </si>
  <si>
    <t>U 01/08, Ziff. 1.1 / Onlinerechner</t>
  </si>
  <si>
    <t>6 Monate ab Geburt
gleiche VS  wie Elternteil
Inv. - max. 100.000 € (ohne Progr.)
Tod - max. 10.000 €
UKHTG - max. 10 €</t>
  </si>
  <si>
    <t>kein Alkohol</t>
  </si>
  <si>
    <t>U 02/08</t>
  </si>
  <si>
    <t>durch Laserstrahlen</t>
  </si>
  <si>
    <t>AUB; Ziff. 1.4 / Ziff. 1.5.8</t>
  </si>
  <si>
    <t>ja (Bauch-/ Unterleibsbrüche durch durch versichertes Ereignis)</t>
  </si>
  <si>
    <t>Impfungen gegen Tollwut / Wundstarrkrampf</t>
  </si>
  <si>
    <t>AUB; Ziff. 1.5.6 / Ziff. 5.2.4.2</t>
  </si>
  <si>
    <t>Infektionen durch Zeckenbiss und Wundinfektionen/ Blutvergiftung</t>
  </si>
  <si>
    <t>ARAG Komfort</t>
  </si>
  <si>
    <t>ARAG Premium</t>
  </si>
  <si>
    <t>ja
(bis zum 67. Lebensjahr)</t>
  </si>
  <si>
    <t>5% der vereinbarten Übergangs-leistung (Bänderrisse: 1%)</t>
  </si>
  <si>
    <t>3 Tagessätze (auch bei stationärem Aufenthalt bis 3 Tage)</t>
  </si>
  <si>
    <t>bis 50.000 €
(auch Zahnersatz/ -behandlung)</t>
  </si>
  <si>
    <t>bis 75.000 €
(auch Zahnersatz/ -behandlung)</t>
  </si>
  <si>
    <t>100 € pro Tag,
max. 14 Tage</t>
  </si>
  <si>
    <t>ab 40%
(bis zum 67. Lebensjahr)</t>
  </si>
  <si>
    <t>ja (auch durch Medikamente)
(Führen von Kfz bis 1,1 ‰)</t>
  </si>
  <si>
    <t>Tollwut, Wundstarrkrampf
Cholera, Echinokokkose, Diphterie, Gürtelrose, Keuchhusten, spinale Kinderlähmung, Masern, Mumps, Pfeiffersches Drüsenfieber, Pocken/ Windpocken, Röteln, Scharlach, Schlafkrankheit, Lepra, Tuberkulose, Tularämie, Typhus/ Paratyphus</t>
  </si>
  <si>
    <t>ja, für Personen bis 18 Jahre</t>
  </si>
  <si>
    <t>ja
(bis zum 75. Lebensjahr)</t>
  </si>
  <si>
    <t>auch bei Pflegestufe II o. 50% Inv. bis zum Ablauf des Versicherungs-jahres, in dem Kind 18. Lj. vollendet</t>
  </si>
  <si>
    <t>auch bei Pflegestufe II o. 50% Inv. bis zum Ablauf des Versicherungs-jahres, in dem Kind 25. Lj. vollendet</t>
  </si>
  <si>
    <t>AUB; C.; Ziff. 2.1</t>
  </si>
  <si>
    <t>AUB; D.; Ziff. 2.1</t>
  </si>
  <si>
    <t>AUB; C.; Ziff. 1.2</t>
  </si>
  <si>
    <t>AUB; C.; Ziff. 1.4</t>
  </si>
  <si>
    <t>AUB; C.; Ziff. 1.5</t>
  </si>
  <si>
    <t>AUB; C.; Ziff. 1.6</t>
  </si>
  <si>
    <t>AUB; C.; Ziff. 1.7</t>
  </si>
  <si>
    <t>AUB; A.; Ziff. 4.2.4.2 / C.; Ziff. 1.4</t>
  </si>
  <si>
    <t>AUB; B.; Ziff. 1.8</t>
  </si>
  <si>
    <t>Tollwut, Wundstarrkrampf,
Cholera, Echinokokkose, Diphterie, Gürtelrose, Keuchhusten, spinale Kinderlähmung, Masern, Mumps, Pfeiffersches Drüsenfieber, Pocken/ Windpocken, Röteln, Scharlach, Schlafkrankheit, Lepra, Tuberkulose, Tularämie, Typhus/ Paratyphus</t>
  </si>
  <si>
    <t>AUB; B.; Ziff. 2.5 / C.; Ziff. 3.1.1 / Leistungsübersicht</t>
  </si>
  <si>
    <t>im Rahmen der unfallbedingten Kosten bis 50.000 €</t>
  </si>
  <si>
    <t>im Rahmen der unfallbedingten Kosten bis 75.000 €</t>
  </si>
  <si>
    <t>im Rahmen d. unfallbed. Kosten 
(Taxi bis 100 €, Übernachtung bis 75 €)</t>
  </si>
  <si>
    <t>AUB; B.; Ziff. 2.3 / C.; Ziff. 3.1.1 / Ziff. 3.2.1 / Leistungsübersicht</t>
  </si>
  <si>
    <t>AUB; B.; Ziff. 2.4 / C.; Ziff. 3.1.1 / Leistungsübersicht</t>
  </si>
  <si>
    <t>100 € pro Tag für Kinderbetreuung,
max. 14 Tage (auch Fahrdienste)</t>
  </si>
  <si>
    <t>AUB; C.; Ziff. 3.3 / Ziff. 3.4</t>
  </si>
  <si>
    <t>AUB; C.; Ziff. 3.5</t>
  </si>
  <si>
    <t>AUB; C.; Ziff. 3.7</t>
  </si>
  <si>
    <t>AUB; C.; Ziff. 3.1.1 / Ziff. 3.8.2</t>
  </si>
  <si>
    <t>AUB; C.; Ziff. 3.9.2</t>
  </si>
  <si>
    <t>AUB; C.; Ziff. 3.1.1 / 3.12.2</t>
  </si>
  <si>
    <t>AUB; C.; Ziff. 4.1</t>
  </si>
  <si>
    <t>AUB; C.; Ziff. 4.2</t>
  </si>
  <si>
    <t>AUB; C.; Ziff. 4.2 / Leistungsübersicht</t>
  </si>
  <si>
    <t>AUB; C.; Ziff. 4.3</t>
  </si>
  <si>
    <t>AUB; B.; Ziff. 3 / C.; Ziff. 4.4</t>
  </si>
  <si>
    <t>ab 25% Inv. nur Reha-Manager bis 20.000 €, max. 3 Jahre</t>
  </si>
  <si>
    <t>AUB; C.; Ziff. 4.5.1 / Ziff. 4.5.2</t>
  </si>
  <si>
    <t>AUB; C.; Ziff. 4.5.1 / Ziff. 4.5.3</t>
  </si>
  <si>
    <t>AUB; D.; Ziff. 1.2</t>
  </si>
  <si>
    <t>AUB; D.; Ziff. 1.7 / Ziff. 1.8 / Ziff. 1.9</t>
  </si>
  <si>
    <t>AUB; A.; Ziff. 4.2.4.2 / D.; Ziff. 1.14</t>
  </si>
  <si>
    <t>AUB; D.; Ziff. 1.14</t>
  </si>
  <si>
    <t>AUB; D.; Ziff. 1.15</t>
  </si>
  <si>
    <t>AUB; D.; Ziff. 1.16</t>
  </si>
  <si>
    <t>AUB; D.; Ziff. 1.18</t>
  </si>
  <si>
    <t>AUB; D.; Ziff. 1.4 / Ziff. 1.19</t>
  </si>
  <si>
    <t>AUB; B.; Ziff. 2.3 / D.; Ziff. 3.1.1 / Ziff. 3.3.1 / Leistungsübersicht</t>
  </si>
  <si>
    <t>AUB; D.; Ziff. 3.4 / Ziff. 3.5</t>
  </si>
  <si>
    <t>AUB; D.; Ziff. 3.6</t>
  </si>
  <si>
    <t>100 € pro Tag, max. 14 Tage (mind. 14 Tage vollstationäre Behandlung)</t>
  </si>
  <si>
    <t>AUB; D.; Ziff. 3.8</t>
  </si>
  <si>
    <t>AUB; D.; Ziff. 3.1.1 / Ziff. 3.9</t>
  </si>
  <si>
    <t>AUB; D.; Ziff. 3.10</t>
  </si>
  <si>
    <t>bis 1.500 € (mind. 3 Wochen Kuraufenthalt)</t>
  </si>
  <si>
    <t>bis 5.000 € (mind. 3 Wochen Kuraufenthalt)</t>
  </si>
  <si>
    <t>AUB; D.; Ziff. 3.1.1. / Ziff. 3.13</t>
  </si>
  <si>
    <t>AUB; B.; Ziff. 2.5 / D.; Ziff. 3.1.1 / Leistungsübersicht</t>
  </si>
  <si>
    <t>AUB; B.; Ziff. 2.4 / D.; Ziff. 3.1.1 / Leistungsübersicht</t>
  </si>
  <si>
    <t>AUB; D.; Ziff. 4.1</t>
  </si>
  <si>
    <t>AUB; D.; Ziff. 4.3 / Leistungsübersicht</t>
  </si>
  <si>
    <t>ab 60% (bis zum 67. Lebensjahr, danach ab 40%)</t>
  </si>
  <si>
    <t>AUB; D.; Ziff. 4.3</t>
  </si>
  <si>
    <t>AUB; D.; Ziff. 4.4</t>
  </si>
  <si>
    <t>AUB; B.; Ziff. 3 / D.; Ziff. 4.5</t>
  </si>
  <si>
    <t>ab 25% Inv. nur Reha-Manager bis 30.000 €, max. 3 Jahre</t>
  </si>
  <si>
    <t>bis zur zweiten folgenden HF 
(auch bei Pflegestufe II o. 50% Inv.)</t>
  </si>
  <si>
    <t>AUB; D.; Ziff. 4.7.1 / Ziff. 4.7.3</t>
  </si>
  <si>
    <t>AUB; D.; Ziff. 4.7.1 / Ziff. 4.7.2</t>
  </si>
  <si>
    <t>AUB; B.; Ziff. 1.1</t>
  </si>
  <si>
    <t>AUB; D.; Ziff. 3.1.1 / Ziff. 3.12 / Leistungsübersicht</t>
  </si>
  <si>
    <t>AUB; C.; Ziff. 3.1.1 / Ziff. 3.11 / Leistungsübersicht</t>
  </si>
  <si>
    <t>AUB; B.; Ziff. 1.2</t>
  </si>
  <si>
    <t>AUB; B.; Ziff. 1.3</t>
  </si>
  <si>
    <t>AUB; B.; Ziff. 1.4</t>
  </si>
  <si>
    <t>AUB; B.; Ziff. 1.5</t>
  </si>
  <si>
    <t>AUB; B.; Ziff. 1.6 / D.; Ziff. 1.6</t>
  </si>
  <si>
    <t>AUB; B.; Ziff. 1.6 / C.; Ziff. 1.1</t>
  </si>
  <si>
    <t>AUB; B.; Ziff. 1.7</t>
  </si>
  <si>
    <t>AUB; B.; Ziff. 4.4</t>
  </si>
  <si>
    <t>AUB; E.; Ziff. 2</t>
  </si>
  <si>
    <t>AUB; E.; Ziff. 3 / Leistungsübersicht</t>
  </si>
  <si>
    <t>AUB; K.; Ziff. 1 / Leistungsübersicht</t>
  </si>
  <si>
    <t>bis zur nächsten Hauptfälligkeit
Inv. bis 50.000 € (ohne Progression)
Tod bis 10.000 €</t>
  </si>
  <si>
    <t>AUB; B.; Ziff. 2.9</t>
  </si>
  <si>
    <t>telefonische psychologische Hilfe</t>
  </si>
  <si>
    <t>Serviceleistungen versicherbar
über Unfall-Schutzbrief</t>
  </si>
  <si>
    <t>AUB; F.; Ziff. 2 / Ziff. 4</t>
  </si>
  <si>
    <t>8 Wochen ab Kenntnisnahme
(auch Verschollenheit ist versichert)</t>
  </si>
  <si>
    <t>AUB; F.; Ziff. 3</t>
  </si>
  <si>
    <t>max. Todesfallsumme des Ver-storbenen, soweit Kind &gt; 18 Jahre</t>
  </si>
  <si>
    <t>AUB; A.; Ziff. 2.1.2.1</t>
  </si>
  <si>
    <t>AUB; B.; Ziff. 4.5</t>
  </si>
  <si>
    <t>AUB; B.; Ziff. 4.2</t>
  </si>
  <si>
    <t>AUB; B.; Ziff. 5</t>
  </si>
  <si>
    <t>AUB; G.; Ziff. 1</t>
  </si>
  <si>
    <t>bis 5 Jahre nach Unfallereignis</t>
  </si>
  <si>
    <t>AUB; A.; Ziff. 2.3.2 / G.; Ziff. 2</t>
  </si>
  <si>
    <t>AUB; G.; Ziff. 3</t>
  </si>
  <si>
    <t>Pflegeleistungen versicherbar
über Unfall-Schutzbrief</t>
  </si>
  <si>
    <t>USB; Ziff. 3.3</t>
  </si>
  <si>
    <t>USB; Ziff. 3.2</t>
  </si>
  <si>
    <t>AUB; A.; Ziff. 2.3.1</t>
  </si>
  <si>
    <t>-ARAG Rechtsberatung inklusive (telefonsiche Erstberatung, Opfer-RS, Schadenersatz-RS nach Unfall)</t>
  </si>
  <si>
    <t>AUB; D.; Ziff. 1.1 / Ziff. 1.3 / Ziff. 1.5 / Ziff. 1.10 / Ziff. 1.11 / Ziff. 1.12 / Ziff. 1.13 / Ziff. 1.17 / Ziff. 3.2.2 / Ziff. 3.14 /
Leistungsübersicht</t>
  </si>
  <si>
    <t>-ARAG Rechtsberatung inklusive (telefonsiche Erstberatung, Opfer-RS, Schadenersatz-RS nach Unfall)
-bis 10 Sitzungen psychologische Betreuung
-Gesundheitsschäden durch Höhenkrankheit
-Gesundheitsschäden durch Hitzschlag
-Zusatzhilfe bei Krebserkrankung bis 10% der VS, max. 10.000 € 
(bis zum 67. Lebensjahr)
-Kosmetische OP bei Brustkrebs bis 10.000 € (bis 67. Lebensjahr)
-Unfall durch selbstgebaute Feuerwerkskörper (bis 18 Jahre)
-Unfall durch Fahren ohne Führerschein (bis 18 Jahre)
-Unfall bei Fahrveranstaltungen
-Gesundheitsschäden durch Maniküre/ Pediküre
-Unfallbedingte psychische/ nervöse Störungen mit organischer Ursache</t>
  </si>
  <si>
    <t>AUB Top 2008
Stand 11-2007</t>
  </si>
  <si>
    <t>AUB; 2)</t>
  </si>
  <si>
    <t>AUB; 1); §2; I. (2)</t>
  </si>
  <si>
    <t>AUB; 1); §2; VIII. (5) / 2) BB Kosm. OP</t>
  </si>
  <si>
    <t>bis 5.000 €
(inkl. Zahnbehandlung/ -ersatz)</t>
  </si>
  <si>
    <t>AUB; 1); §2; VIII. (1)</t>
  </si>
  <si>
    <t>bis zur nächsten Hauptfälligkeit
Inv. bis 26.000 €
Tod bis 3.000 €
KHTG/GG 11 €</t>
  </si>
  <si>
    <t>AUB; 1); §2; VIII. (2)</t>
  </si>
  <si>
    <t>i.H. VS des 2. Kindes bis Ablauf des Jahres in dem Kind 18. Lj. vollendet</t>
  </si>
  <si>
    <t>AUB; 1); §2; VIII. (3)</t>
  </si>
  <si>
    <t>AUB; 1); §2; VIII. (4)</t>
  </si>
  <si>
    <t>bis zum Ablauf des 2. VJ
nach dem Todestag</t>
  </si>
  <si>
    <t>AUB; 1); §11 (7)</t>
  </si>
  <si>
    <t>AUB; 1); §2; VI. (2) a)</t>
  </si>
  <si>
    <t>AUB; 1); §2; VI. (2) b)</t>
  </si>
  <si>
    <t>AUB; 1); §2; VII. (2)</t>
  </si>
  <si>
    <t>AUB; 1); §2; VIII. (5)</t>
  </si>
  <si>
    <t>AUB; 1); §2; IX. (1) / (2)</t>
  </si>
  <si>
    <t>AUB; 1); §3</t>
  </si>
  <si>
    <t>AUB; 1); §4</t>
  </si>
  <si>
    <t>ja 
(muss beantragt/ bestätigt werden)</t>
  </si>
  <si>
    <t>AUB; 1); §5; I. (1)</t>
  </si>
  <si>
    <t>AUB; 1); §5; I. (2) / (3)</t>
  </si>
  <si>
    <t>bis 21 Tage (auch gewalttätige Auseinandersetzungen)</t>
  </si>
  <si>
    <t>AUB; 1); §5; II. (2)</t>
  </si>
  <si>
    <t>AUB; 1); §5; II. (4)</t>
  </si>
  <si>
    <t>ja; 
auch Folgen von Insektenstichen</t>
  </si>
  <si>
    <t>AUB; 1); §5; II. (5)</t>
  </si>
  <si>
    <t>AUB; 1); §5; II. (7)</t>
  </si>
  <si>
    <t>Tollwut, Wundstarrkrampf und durch Unfall in Körper gelangte Infektionen
und Wundinfektionen</t>
  </si>
  <si>
    <t>AUB; 1); §2; IV. (2)</t>
  </si>
  <si>
    <t>AUB; 1); §2; IV. (1)</t>
  </si>
  <si>
    <t>AUB; 1); §2; V. (2)</t>
  </si>
  <si>
    <t>AUB; 1); §2; V. (2) a)</t>
  </si>
  <si>
    <t>AUB; 1); §2; V. (2) d)</t>
  </si>
  <si>
    <t>11 € pro Tag, max. 28 Tage (wenn mind. 13 € KHTG versichert wurden)</t>
  </si>
  <si>
    <t>AUB; 1); §2; V. (2) b)</t>
  </si>
  <si>
    <t>13 € pro Behandlungstag, soweit vereinbartes KHTG/GG mind. 26 €</t>
  </si>
  <si>
    <t>zusätzlich versicherbar im Rahmen der Unfall-Heilkostenversicherung</t>
  </si>
  <si>
    <t>AUB; 2) BB</t>
  </si>
  <si>
    <t>AUB; 3) International Service Card</t>
  </si>
  <si>
    <t>für verl. VP bis 62.000 € im Ausland (Inland: 20.000 €) (über Service Card)</t>
  </si>
  <si>
    <t>AUB; 1); §1 (3) a)</t>
  </si>
  <si>
    <t>AUB; 1); §1 (3) c)</t>
  </si>
  <si>
    <t>AUB; 1); §1 (3) b)</t>
  </si>
  <si>
    <t>AUB; 1); §1 (3) d)</t>
  </si>
  <si>
    <t>AUB; 1); §1 (3) e)</t>
  </si>
  <si>
    <t>AUB; 1); §1 (3) f)</t>
  </si>
  <si>
    <t>AUB; 1); §9 (3)</t>
  </si>
  <si>
    <t>Vorschuss in Höhe der 
Todesfallleistung, max. 6.000 €</t>
  </si>
  <si>
    <t>über International Serice Card</t>
  </si>
  <si>
    <t>AUB; 1); §5; II. (3) / (6)
§10 (3)</t>
  </si>
  <si>
    <t>-Gesundheitsschäden durch Maniküre/ Pediküre
-Folgen durch psychische und nervöse Störungen infolge eines Unfalls sind versichert
-Sonderrecht zur Kündigung zu jedem Monatsende für den VN unabhängig von der vereinbarten Vertragslaufzeit</t>
  </si>
  <si>
    <t>AUB; 1); §19</t>
  </si>
  <si>
    <t>AUB; 1); §6; II. (2)</t>
  </si>
  <si>
    <t>ja
(bei Nachweis eines Versehens)</t>
  </si>
  <si>
    <t>AUB; 1); §7 (5)</t>
  </si>
  <si>
    <t>AUB; 1); §7 (1)</t>
  </si>
  <si>
    <t>AUB; 1); §2; I. (2) a)</t>
  </si>
  <si>
    <t>AUB; 1); §2; I. (1)</t>
  </si>
  <si>
    <t>Eintritt: 12 Monate
ärztl. Feststellung: 15 Monate</t>
  </si>
  <si>
    <t>KinderSicher; AUB; 1); §1 (3) g)</t>
  </si>
  <si>
    <t>KinderSicher; AUB; 1); §5; II. (4)</t>
  </si>
  <si>
    <t>ja (innerhalb "KinderSicher")</t>
  </si>
  <si>
    <t>ja (in Bedingungen genannte Krank-heiten (innerhalb "KinderSicher"))</t>
  </si>
  <si>
    <t>KinderSicher; AUB; 1); §5; II. (5)</t>
  </si>
  <si>
    <t>35 € pro Nacht, max. 100 Tage
(innerhalb "KinderSicher")</t>
  </si>
  <si>
    <t>KinderSicher; AUB; 1); §2; IV. (2) a)</t>
  </si>
  <si>
    <t>KinderSicher; AUB; 1); §2; III. (2)</t>
  </si>
  <si>
    <t>25 €, max. 20 Tage (innerhalb "KinderSicher", bei mind. 13 € KHTG)</t>
  </si>
  <si>
    <t>ab 21. Tag 35 €, max. 3.500 €(innerhalb
"KinderSicher", bei mind. 13 € KHTG)</t>
  </si>
  <si>
    <t>KinderSicher; AUB; 1); §2; I. (2) g)</t>
  </si>
  <si>
    <t>10%, max. 500.000 €
(innerhalb "KinderSicher")</t>
  </si>
  <si>
    <t>KinderSicher; AUB; 1); §2; I. (2) h)</t>
  </si>
  <si>
    <t>KinderSicher; AUB; 1); §2; I. (2) i)</t>
  </si>
  <si>
    <t>nur innerhalb "KinderSicher"</t>
  </si>
  <si>
    <t>ja 
(auch Übermüdung / Einschlafen)</t>
  </si>
  <si>
    <t>Vorschuss in Höhe der 
Todesfallleistung max. 15.000 €</t>
  </si>
  <si>
    <t>bis max. 6 (bzw. 12 Monate unter bestimmten Voraussetzungen)</t>
  </si>
  <si>
    <t>10%, max. 1.000.000 €
(innerhalb "KinderSicher")</t>
  </si>
  <si>
    <t>Eintritt: 12 Monate
ärztl. Feststellung: 24 Monate</t>
  </si>
  <si>
    <t>-Gesundheitsschäden durch Maniküre/ Pediküre
-Folgen durch psychische und nervöse Störungen infolge eines Unfalls sind versichert
-Sonderrecht zur Kündigung zu jedem Monatsende für den VN für Verträge mit einer Laufzeit unter 3 Jahren</t>
  </si>
  <si>
    <t>Baden Badener Top 2008
(Stand 11-2007)</t>
  </si>
  <si>
    <t>VHV Exklusiv
(Stand 04-2011)</t>
  </si>
  <si>
    <t>ZB; Ziff. 1.1</t>
  </si>
  <si>
    <t>ZB; Ziff. 2.1</t>
  </si>
  <si>
    <t>ZB; Ziff. 2.2</t>
  </si>
  <si>
    <t>ZB; Ziff. 2.3</t>
  </si>
  <si>
    <t>100 € pro Tag, max. 60 Tage (wenn Kind unter 14 Jahre im Haushalt lebt)</t>
  </si>
  <si>
    <t>ZB; Ziff. 2.4</t>
  </si>
  <si>
    <t>bis 500 Tage (auch bei Tod während des Krankenhausaufenthaltes)</t>
  </si>
  <si>
    <t>ZB; Ziff. 3.1</t>
  </si>
  <si>
    <t>ZB; Ziff. 3.2</t>
  </si>
  <si>
    <t>ja (+Übermüdung/ Einschlafen/ Ohn-macht/Erschrecken/Schlafwandeln)</t>
  </si>
  <si>
    <t>ZB; Ziff. 3.6</t>
  </si>
  <si>
    <t>ZB; Ziff. 4.1</t>
  </si>
  <si>
    <t>bis 1 Jahr ab Geburt
Inv. - 60.000 € (ohne Progression)
Tod - 10.000 €</t>
  </si>
  <si>
    <t>ZB; Ziff. 4.2</t>
  </si>
  <si>
    <t>BBU; Ziff. 3.2</t>
  </si>
  <si>
    <t>BBU; Ziff. 3.2 / ZB; Ziff. 3.3</t>
  </si>
  <si>
    <t>BBU; Ziff. 2.6 / ZB; Ziff. 2.5</t>
  </si>
  <si>
    <t>BBU; Ziff. 1.1.1.4 / ZB; Ziff. 1.1</t>
  </si>
  <si>
    <t>BBU; Ziff. 1.1.1.2</t>
  </si>
  <si>
    <t>BBU; Ziff. 1.2.1</t>
  </si>
  <si>
    <t>im Rahmen der Reha-Hilfe bis 20% der Inv.-Grundsumme, max. 10.000 €</t>
  </si>
  <si>
    <t>BBU; Ziff. 1.3.2</t>
  </si>
  <si>
    <t>Kur-/ Reha-Tagegeld
30 € pro Tag, max. 100 Tage</t>
  </si>
  <si>
    <t>BBU; Ziff. 2.2</t>
  </si>
  <si>
    <t>Schmerzensgeld 200 €
(nur wenn UKHTG versichert ist)</t>
  </si>
  <si>
    <t>BBU; Ziff. 2.5.3</t>
  </si>
  <si>
    <t>BBU; Ziff. 2.8</t>
  </si>
  <si>
    <t>BBU; Ziff. 2.9</t>
  </si>
  <si>
    <t>BBU; Ziff. 2.11</t>
  </si>
  <si>
    <t>BBU; Ziff. 3.3.1</t>
  </si>
  <si>
    <t>BBU; Ziff. 3.3.1 / ZB; Ziff. 3.4</t>
  </si>
  <si>
    <t xml:space="preserve">Tollwut, Wundstarrkrampf, Borreliose, Brucellose, Cholera, Diphterie, Dreitagefieber, Echinokokkose, FSME, Gürtelrose/ Windpocken, Kinderlähmung, Fleckfieber, Gelbfieber, Keuchhusten, Lepra, Masern, Malaria,  Mumps, Pest, Pfeiffersches Drüsenfieber, Pocken, Röteln, Scharlach, Schlaf-/ Tsetse-Krankheit, Tularämie (Hasenpest), Typhus/ Paratyphus </t>
  </si>
  <si>
    <t>Schutzimpfungen gegen Infektionen</t>
  </si>
  <si>
    <t>ja (auch allergische Reaktionen, Wundinfektionen, Blutvergiftungen)</t>
  </si>
  <si>
    <t>BBU; Ziff. 3.5</t>
  </si>
  <si>
    <t>BBU; Ziff. 3.6</t>
  </si>
  <si>
    <t>BBU; Ziff. 3.8</t>
  </si>
  <si>
    <t>BBU; Ziff. 3.7</t>
  </si>
  <si>
    <t>BBU; Ziff. 3.9</t>
  </si>
  <si>
    <t>Röntgen-/ Laser-/ Maserstrahlen/
künstlich erzeugte UV-Strahlen</t>
  </si>
  <si>
    <t>BBU; Ziff. 3.10.1</t>
  </si>
  <si>
    <t>BBU; Ziff. 3.10.2</t>
  </si>
  <si>
    <t>BBU; Ziff. 3.11 / ZB; Ziff. 3.8</t>
  </si>
  <si>
    <t>BBU; Ziff. 3.12 / Ziff. 5.7</t>
  </si>
  <si>
    <t>BBU; Ziff. 4.3.1</t>
  </si>
  <si>
    <t>BBU; Ziff. 5.1</t>
  </si>
  <si>
    <t>BBU; Ziff. 5.3</t>
  </si>
  <si>
    <t>Leistungsreduzierung
nach 6 Monaten</t>
  </si>
  <si>
    <t>BBU; Ziff. 5.4</t>
  </si>
  <si>
    <t>BBU; Ziff. 5.5</t>
  </si>
  <si>
    <t>ZB; EASY CARE</t>
  </si>
  <si>
    <t>Besondere Tarifbestimmungen zu Gesundheit und Vorerkrankungen</t>
  </si>
  <si>
    <t>AUB; Ziff. 1.4 / ZB; Ziff. 3.1</t>
  </si>
  <si>
    <t>WÜBA Unfall AKTIV Premium</t>
  </si>
  <si>
    <t>ja (auch Wundinfektionen)</t>
  </si>
  <si>
    <t>ja, für Minderjährige/ Geschäftsunfähige/ Betreute</t>
  </si>
  <si>
    <t>Eintritt: 18 Monate
ärztliche Feststellung: 24 Monate</t>
  </si>
  <si>
    <t>48 h ab Kenntnisnahme (Leistung auch bei Verschollenheit)</t>
  </si>
  <si>
    <t>48 h ab Kenntnisnahme des Unfalltodes</t>
  </si>
  <si>
    <t>max. 6 Monate</t>
  </si>
  <si>
    <t>AUB AKTIV Premium
Stand 10-2012</t>
  </si>
  <si>
    <t>AUB; Ziff. 2.1.3</t>
  </si>
  <si>
    <t>AUB; Ziff. 1.3.1</t>
  </si>
  <si>
    <t>AUB; Ziff. 1.3.2</t>
  </si>
  <si>
    <t>AUB; Ziff. 1.3.3</t>
  </si>
  <si>
    <t>AUB; Ziff. 1.3.4</t>
  </si>
  <si>
    <t>ja 
(als Folge eines Unfallereignisses)</t>
  </si>
  <si>
    <t>AUB; Ziff. 1.3.5</t>
  </si>
  <si>
    <t>AUB; Ziff. 1.3.6</t>
  </si>
  <si>
    <t>AUB; Ziff. 1.3.7 / Ziff. 6.1.6</t>
  </si>
  <si>
    <t>unvorhergesehen bis 21 Tage (auch gewalttätige Auseinandersetzung)</t>
  </si>
  <si>
    <t>unvorhergesehen bis 21 Tage (auch gewalt. Auseinandersetzung/Terror)</t>
  </si>
  <si>
    <t>unvorhergesehen bis 14 Tage (auch gewalttätige Auseinandersetzung)</t>
  </si>
  <si>
    <t>AUB; Ziff. 1.3.8</t>
  </si>
  <si>
    <t>ja
(kein Sauerstoffentzug)</t>
  </si>
  <si>
    <t>AUB; Ziff. 2.1.1</t>
  </si>
  <si>
    <t>AUB; Ziff. 2.1.2</t>
  </si>
  <si>
    <t>AUB; Ziff. 2.3</t>
  </si>
  <si>
    <t>im Notfall/anschließend an station. Behandlung max. 60 Tage, max. 50%</t>
  </si>
  <si>
    <t>in Höhe des UKHTG,
ab dem 8. Tag, max. 12 Wochen</t>
  </si>
  <si>
    <t>AUB; Ziff. 2.4</t>
  </si>
  <si>
    <t>AUB; Ziff. 2.5.1 / Ziff. 8.2.1</t>
  </si>
  <si>
    <t>AUB; Ziff. 2.6.1</t>
  </si>
  <si>
    <t>bis 20.000 € (unter bestimmten 
Voraussetzungen bis 35.000 €)</t>
  </si>
  <si>
    <t>AUB; Ziff. 2.6.1 / Ziff. 2.6.10</t>
  </si>
  <si>
    <t>bis 20.000 € (unter bestimmten Voraussetzungen bis 35.000 €)
(auch Zahnbehandlung/ Zahnersatz)</t>
  </si>
  <si>
    <t>AUB; Ziff. 2.6.2 / Ziff. 2.6.10</t>
  </si>
  <si>
    <t>15 € pro Tag (unter bestimmten Vor-aussetzungen 30 €) max. 100 Tage</t>
  </si>
  <si>
    <t>AUB; Ziff. 2.6.4</t>
  </si>
  <si>
    <t>5% der Invaliditätsgrundsumme,
max. 15.000 €</t>
  </si>
  <si>
    <t>1% d. Inv.-summe, max. 6.000 € (unter Voraussetzungen max. 10.000 €)</t>
  </si>
  <si>
    <t>5% d. Inv.-summe, max. 15.000 € (un-ter Voraussetzungen max. 20.000 €)</t>
  </si>
  <si>
    <t>AUB; Ziff. 2.6.7 / Ziff. 2.6.10</t>
  </si>
  <si>
    <t>AUB; Ziff. 2.6.3 / Ziff. 2.6.10</t>
  </si>
  <si>
    <t>AUB; Ziff. 2.6.6 / Ziff. 2.6.10</t>
  </si>
  <si>
    <t>AUB; Ziff. 2.6.4 / Ziff. 2.6.10</t>
  </si>
  <si>
    <t>15€ je Tag, max. 200 Übernachtungen
(unter Voraussetzungen 20 € je Tag)</t>
  </si>
  <si>
    <t>AUB; Ziff. 3.1</t>
  </si>
  <si>
    <t>bis 1 Jahr ab Geburt
Inv. - 50.000 € (ohne Mehrleistung)</t>
  </si>
  <si>
    <t>AUB; Ziff. 3.2</t>
  </si>
  <si>
    <t>max. 1 Jahr ab Heirat
Inv. - 50.000 € (ohne Mehrleistung)</t>
  </si>
  <si>
    <t>AUB; Ziff. 5.2</t>
  </si>
  <si>
    <t>AUB; Ziff. 6.1.4</t>
  </si>
  <si>
    <t>Röntgen-/Laser-/Maserstrahlen, künstlich erzeugte UV-Strahlung</t>
  </si>
  <si>
    <t>AUB; Ziff. 6.2.3.2</t>
  </si>
  <si>
    <t>Tollwut, Wundstarrkrampf
Sofern sich durch eine nachfolgend genannte Infektion ein Invaliditätsgrad von &gt; 20% ergibt:
 Borreliose, Brucellose, Cholera, Diphterie, Dreitagefieber, epidemische Kinderlähmung (Poliomyelitis), Fleckfieber, FSME, Gelbfieber, Genickstarre, Keuchhusten, Lepra, Malaria, Masern, Pest, Pocken, Scharlach, Schlaf-/ Tsetse-Krankheit, Hasenpest (Tularämie), Typhus/ Paratyphus, Windpocken</t>
  </si>
  <si>
    <t>AUB; Ziff. 6.2.4</t>
  </si>
  <si>
    <t>AUB; Ziff. 7.1.1</t>
  </si>
  <si>
    <t>AUB; Ziff. 8.1.1</t>
  </si>
  <si>
    <t>AUB; Ziff. 6.2.3.1 / Ziff. 6.2.3.2 / Ziff. 11.2.1</t>
  </si>
  <si>
    <t>AUB; Ziff. 6.2.3.1 / Ziff. 6.2.3.2 / Ziff. 8.3 / Ziff. 11.2.1</t>
  </si>
  <si>
    <t>AUB; Ziff. 12.8.1</t>
  </si>
  <si>
    <t>AUB; Ziff. 12.8.2</t>
  </si>
  <si>
    <t>AUB; Ziff. 12.8.3</t>
  </si>
  <si>
    <t>BB Progr.-/Mehrleistungsmodelle</t>
  </si>
  <si>
    <t>sofern vereibart 200% Mehrleistung ab 50% Invalidität</t>
  </si>
  <si>
    <t>BB Assistance; Ziff. 1.1</t>
  </si>
  <si>
    <t>ohne Mehrbeitrag innerhalb der 
"Assistance-Leistungen"</t>
  </si>
  <si>
    <t>BB Assistance; Ziff. 1.2.9</t>
  </si>
  <si>
    <t>AUB; Ziff. 6.1.5 / Ziff. 7.4 / Ziff. 7.5 / Ziff. 6.2.2 / Ziff. 8.1.3 / Ziff. 10.5
BB Assistance Unfallversicherung</t>
  </si>
  <si>
    <t xml:space="preserve">Für Minderjährige. Die Leistung richtet sich nach der Entfernung </t>
  </si>
  <si>
    <t>BB Assistance; Ziff. 1.4.2</t>
  </si>
  <si>
    <t>50 € pro Tag, max. 30 Tage; während KH-Aufenthalt und Kind &lt;14 Jahre</t>
  </si>
  <si>
    <t>75 € pro Tag, max. 14 Tage; während KH-Aufenthalt und Kind &lt;18 Jahre</t>
  </si>
  <si>
    <t>BB Assistance; Ziff. 1.4.3</t>
  </si>
  <si>
    <t>Betreuung Minderjähriger bis 75 € je Tag, max. 48 Stunden</t>
  </si>
  <si>
    <t>BB Assistance; Ziff. 3</t>
  </si>
  <si>
    <t>Pflegeleistungen über "Senioren-Assistance Plus" versicherbar</t>
  </si>
  <si>
    <t>AUB; Ziff. 6.2.3.2 / Ziff. 11.2.1</t>
  </si>
  <si>
    <t>siehe "Medizinische Hilfsmittel"
(keine Umschulung)</t>
  </si>
  <si>
    <t>HKD Vollschutz
(Stand 01-2012)</t>
  </si>
  <si>
    <t>HKD Komfortschutz Plus</t>
  </si>
  <si>
    <t>ja (+ epilept.-/Krampfanfälle, Herz-/ Kreislaufstörungen, Schlafwandel)</t>
  </si>
  <si>
    <t>keine Anzeigefrist;
auch Verschollenheit ist versichert</t>
  </si>
  <si>
    <t>ja, auch durch Medikamente/ KO-Tropfen (Führen von Kfz bis 1,5‰)</t>
  </si>
  <si>
    <t>ja, auch durch Medikamente/ KO-Tropfen (Führen von Kfz bis 1,6‰)</t>
  </si>
  <si>
    <t>HKD Komfortschutz</t>
  </si>
  <si>
    <t>HKD Basisschutz</t>
  </si>
  <si>
    <t>BB 1. I. A. 6.1</t>
  </si>
  <si>
    <t>BB 1. I. A. 6.2</t>
  </si>
  <si>
    <t>im Rahmen der Bergungskosten
bis 50.000 €</t>
  </si>
  <si>
    <t>BB 1. I. B. 12</t>
  </si>
  <si>
    <t>BB 1. I. B. 17</t>
  </si>
  <si>
    <t>im Rahmen der Bergungskosten
bis 20.000 €</t>
  </si>
  <si>
    <t>BB. 1. I. B. 19.2 / 19.3</t>
  </si>
  <si>
    <t>gemischte Institute: bei Notfalleinweisung / Sanatorium: ja</t>
  </si>
  <si>
    <t>BB. 1. I. B. 19.4.</t>
  </si>
  <si>
    <t>ja (+ 3 Tagessätze UKHTG bei Leisten-/ Nabel-/ Bauchbruch)</t>
  </si>
  <si>
    <t>BB. 1. I. B. 19.6.</t>
  </si>
  <si>
    <t>BB 1. I. B. 19.1 / 19.7</t>
  </si>
  <si>
    <t>sofern UKHTG vereinbart wurde
11 € pro Tag, max. 28 Tage</t>
  </si>
  <si>
    <t>BB. 1. I. B. 19.10</t>
  </si>
  <si>
    <t>bis 30.000 € (+ 13 € je Tag bei ambu-lanter Reha, wenn UKHTG mind.25 €)</t>
  </si>
  <si>
    <t>BB. 1. I. B. 20.1</t>
  </si>
  <si>
    <t>BB. 1. I. B. 20.2</t>
  </si>
  <si>
    <t>BB 1. I. B. 21.3 / F. 45</t>
  </si>
  <si>
    <t>BB 1. I. B. 21.4</t>
  </si>
  <si>
    <t>BB 1. I. B. 21.5</t>
  </si>
  <si>
    <t>BB 1. I. B. 22</t>
  </si>
  <si>
    <t>im Rahmen der behinderungsbe-dingten Kosten (auch Blindenhund)</t>
  </si>
  <si>
    <t>BB 1. I.B. 24.1.1 + S. 45</t>
  </si>
  <si>
    <t>BB. 1. I. B. 24.1.6</t>
  </si>
  <si>
    <t>BB. 1. I. B. 25 + S. 45</t>
  </si>
  <si>
    <t>BB. 1. I. B. 19.9 / B. 25.2 + S. 45</t>
  </si>
  <si>
    <t>BB 1. I. B. 26.2.1 + S. 45</t>
  </si>
  <si>
    <t>bis 50.000 € (auch Zahnarzt-/ Zahnlabor-/ Zahnbehandlungs-/ Zahnersatzkosten)</t>
  </si>
  <si>
    <t>BB. 1. I. B. 29</t>
  </si>
  <si>
    <t>BB. 1. I. C. 31</t>
  </si>
  <si>
    <t>BB. 1. I. D. 32</t>
  </si>
  <si>
    <t xml:space="preserve">  BB 1. I. E. 33.1 / 33.5</t>
  </si>
  <si>
    <t>BB 1. I. A. 9. / E. 33.2 / 33.3</t>
  </si>
  <si>
    <t>BB 1. I. E. 38</t>
  </si>
  <si>
    <t>BB 1. I. E. 40.1 a) / 40.3</t>
  </si>
  <si>
    <t>BB 1. I. E. 40.1 b) / 40.4</t>
  </si>
  <si>
    <t>BB 1. I. E. 40.2</t>
  </si>
  <si>
    <t>Tollwut, Wundstarrkrampf, Wundinfektionen,
Cholera, Diphterie, Gürtelrose, Keuchhusten, spinale Kinderlähmung, Masern, Mumps, Pfeiffersches Drüsenfieber, Pocken/ Windpocken, Röteln, Scharlach, Tuberkulose, Lepra, Typhus/ Paratyphus</t>
  </si>
  <si>
    <t>BB 1. I. E. 41</t>
  </si>
  <si>
    <t>BB. 1. I. H. 49 / 50</t>
  </si>
  <si>
    <t>BB 1. I. H. 51</t>
  </si>
  <si>
    <t>BB. 1. I. H. 54</t>
  </si>
  <si>
    <t>BB. 1. II. 1</t>
  </si>
  <si>
    <t>BB. 1. II. 4</t>
  </si>
  <si>
    <t>BB 1. I. E. 41 / II. 4</t>
  </si>
  <si>
    <t>nicht ausgeschlossen / BB. 1. II. 4.3</t>
  </si>
  <si>
    <t>BB. 1. II. 5</t>
  </si>
  <si>
    <t>bis 3 Monate ab Heirat
Inv. - 100.000 € (ohne Progression)
Tod - 10.000 €
UKHTG/GG - 20 €</t>
  </si>
  <si>
    <t>BB. 1. II. 7.1</t>
  </si>
  <si>
    <t>BB. 1. II. 7.1 / 7.2</t>
  </si>
  <si>
    <t xml:space="preserve">bis Ende des Jahres, in dem Kind 18. Lj. vollendet (gilt auch ab 50% Inv.) </t>
  </si>
  <si>
    <t>BB. 1. II. 8</t>
  </si>
  <si>
    <t>BB 1. I. F. 43</t>
  </si>
  <si>
    <t>BB 2. I. A. 1</t>
  </si>
  <si>
    <t>BB 2. I. A. 2</t>
  </si>
  <si>
    <t>BB 2. I. A. 3</t>
  </si>
  <si>
    <t>BB 2. I. A. 4</t>
  </si>
  <si>
    <t>BB 2. I. A. 5</t>
  </si>
  <si>
    <t>BB 2. I. A. 6.1</t>
  </si>
  <si>
    <t>BB 2. I. A. 6.2</t>
  </si>
  <si>
    <t xml:space="preserve"> BB 2. I. E. 28 / BB 2. I. A. 7.2</t>
  </si>
  <si>
    <t xml:space="preserve"> BB 1. I. E. 34 / BB 1. I. A. 7.2</t>
  </si>
  <si>
    <t>BB 1. I. A. 8 / B. 19.5</t>
  </si>
  <si>
    <t>BB 1. I. A. 8</t>
  </si>
  <si>
    <t>BB 1. I. A. 11</t>
  </si>
  <si>
    <t>BB 2. I. B. 11</t>
  </si>
  <si>
    <t>BB 2. I. B. 15</t>
  </si>
  <si>
    <t>5% der Invaliditätsgrundsumme, max. 10.000 €</t>
  </si>
  <si>
    <t>BB 2. I. B. 17.1 / 17.7</t>
  </si>
  <si>
    <t>BB. 2. I. B. 17.2 / 17.3</t>
  </si>
  <si>
    <t>BB. 2. I. B. 17.4</t>
  </si>
  <si>
    <t>BB 2. I. A. 8 / B. 17.5</t>
  </si>
  <si>
    <t>BB. 2. I. B. 17.8</t>
  </si>
  <si>
    <t>BB. 1. I. B. 19.8</t>
  </si>
  <si>
    <t>BB. 2. I. B. 17.6</t>
  </si>
  <si>
    <t>bis 20.000 € (+ 13 € je Tag bei ambu-lanter Reha, wenn UKHTG mind.25 €)</t>
  </si>
  <si>
    <t>BB. 2. I. B. 17.7 / B. 22.2 + S. 45</t>
  </si>
  <si>
    <t>BB. 1. I. B. 22 + S. 45</t>
  </si>
  <si>
    <t>BB. 2. I. B. 17.9</t>
  </si>
  <si>
    <t>BB. 2. I. B. 18</t>
  </si>
  <si>
    <t>ab dem 8. Tag in Höhe des verein-barten UKHTG, max. 12 Wochen</t>
  </si>
  <si>
    <t>BB 2. I. B. 19.3 / F. 38</t>
  </si>
  <si>
    <t>BB. 2. I. B. 19.4</t>
  </si>
  <si>
    <t>BB. 2. I. B. 19.5</t>
  </si>
  <si>
    <t>BB. 2. I. B. 20</t>
  </si>
  <si>
    <t>BB 2. I.B. 21.1.1 + S. 45</t>
  </si>
  <si>
    <t>BB. 2. I. B. 21.1.5</t>
  </si>
  <si>
    <t>BB 2. I. B. 23.2.1 + S. 45</t>
  </si>
  <si>
    <t>bis 10.000 € (auch Zahnarzt-/ Zahn- behandlungs-/ Zahnersatzkosten
 für Schneide-/Eckzähne)</t>
  </si>
  <si>
    <t>BB. 2. I. B. 24</t>
  </si>
  <si>
    <t>bis 3 Monate ab Heirat
Inv. - 30.000 € (ohne Progression)</t>
  </si>
  <si>
    <t>BB. 2. I. C. 25</t>
  </si>
  <si>
    <t>BB. 2. I. D. 26</t>
  </si>
  <si>
    <t xml:space="preserve">  BB 2. I. E. 27.1 / 27.5</t>
  </si>
  <si>
    <t>BB 2. I. E. 27.2 / 27.3</t>
  </si>
  <si>
    <t>ja 
(auch Übermüdung)</t>
  </si>
  <si>
    <t>BB 1. I. A. 10 / B. 16 / B. 21 / B. 23 / 
B. 27 / B. 28 / B. 30 / 
E. 35 / E. 36 / E. 37 / E. 39 / E. 42 /
F. 44 /
G. 47 / 
H. 52 /
BB. 1. II. 2 / II. 3 / II. 6 / II. 9
BB. 1. III. 1 / III. 2 / III. 3 / III. 5</t>
  </si>
  <si>
    <t>BB 2. I. E. 31</t>
  </si>
  <si>
    <t>BB 2. I. E. 33. 1 a) / 33.3)</t>
  </si>
  <si>
    <t>BB 1. I. A. 7.1</t>
  </si>
  <si>
    <t>BB 2. I. A. 7.1</t>
  </si>
  <si>
    <t>BB 2. I. E. 33.1 b) / 33.4</t>
  </si>
  <si>
    <t>BB 2. I. E. 33.2</t>
  </si>
  <si>
    <t>BB 2. I. E. 34</t>
  </si>
  <si>
    <t>BB 2. I. F. 36</t>
  </si>
  <si>
    <t>max. 2 Jahre, 
12 Monate Wartezeit</t>
  </si>
  <si>
    <t>BB. 2. I. H. 41</t>
  </si>
  <si>
    <t>BB 2. I. H. 42</t>
  </si>
  <si>
    <t>BB. 2. I. H. 44</t>
  </si>
  <si>
    <t>BB. 2. II. 1</t>
  </si>
  <si>
    <t>50 € je Übernachtung,
max. 10 Übernachtungen</t>
  </si>
  <si>
    <t>BB 2. II. 4</t>
  </si>
  <si>
    <t>BB 2. I. E. 34 / II. 4</t>
  </si>
  <si>
    <t>nicht ausgeschlossen / BB. 2. II. 4.3</t>
  </si>
  <si>
    <t>BB. 2. II. 5</t>
  </si>
  <si>
    <t>BB. 2. II. 7</t>
  </si>
  <si>
    <t>BB 2. I. A. 9 / 
B. 19 /
E. 29 / E. 30 / E. 32 / E. 35 /
F. 37 /
G. 40 /
BB. 2. II. 2 / II. 3 / II. 6 / II. 8
BB. 2. III. 1 / III. 2 / III. 3</t>
  </si>
  <si>
    <t>BB 3. I. A. 1</t>
  </si>
  <si>
    <t>BB 3. I. A. 2</t>
  </si>
  <si>
    <t>BB 3. I. A. 3</t>
  </si>
  <si>
    <t>BB 3. I. A. 4</t>
  </si>
  <si>
    <t>BB 3. I. A. 5</t>
  </si>
  <si>
    <t xml:space="preserve"> BB 3. I. E. 23 / BB 3. I. A. 6.2</t>
  </si>
  <si>
    <t>BB 3. I. A. 7</t>
  </si>
  <si>
    <t xml:space="preserve">BB 3. I. B. 9 </t>
  </si>
  <si>
    <t>BB 3. I. B. 13</t>
  </si>
  <si>
    <t>BB 3. I. B. 14</t>
  </si>
  <si>
    <t>BB. 3. I. B. 14.2 / 14.3</t>
  </si>
  <si>
    <t>BB. 3. I. B. 14.4</t>
  </si>
  <si>
    <t>BB. 3. I. B. 14.5</t>
  </si>
  <si>
    <t>BB 3. I. B. 15.2 / F. 30</t>
  </si>
  <si>
    <t>7 Tage ab Kenntnisnahme;
auch Verschollenheit ist versichert</t>
  </si>
  <si>
    <t>BB 3. I.B. 16.1.1 + S. 45</t>
  </si>
  <si>
    <t>BB 3. I.B. 16.1.5 + S. 45</t>
  </si>
  <si>
    <t>im Rahmen der Bergungskosten
bis 10.000 €</t>
  </si>
  <si>
    <t>BB 3. I.B. 17 + S. 45</t>
  </si>
  <si>
    <t>BB 3. I.B. 18.2.1 + S. 45</t>
  </si>
  <si>
    <t>BB 3. I. B. 19</t>
  </si>
  <si>
    <t>bis 3 Monate ab Heirat
Inv. - 25.000 € (ohne Progression)</t>
  </si>
  <si>
    <t xml:space="preserve">BB 3. I. C. 20 </t>
  </si>
  <si>
    <t>BB 3. I. D. 21</t>
  </si>
  <si>
    <t>ja
(Führen von Kfz bis 1,1‰)</t>
  </si>
  <si>
    <t>BB 3. I. E. 22.2</t>
  </si>
  <si>
    <t>BB 3. I. E. 22.1</t>
  </si>
  <si>
    <t>nur Übermüdung</t>
  </si>
  <si>
    <t>BB 3. I. E. 24</t>
  </si>
  <si>
    <t>BB 3. I. E. 26</t>
  </si>
  <si>
    <t>BB 3. I. F. 28</t>
  </si>
  <si>
    <t>BB 3. I. H. 33</t>
  </si>
  <si>
    <t>max. 3 Jahre Außerkraftsetzung
(keine Leistung)</t>
  </si>
  <si>
    <t>BB 3. I. H. 34</t>
  </si>
  <si>
    <t>BB 3. I. H. 36</t>
  </si>
  <si>
    <t>BB. 3. II. 1</t>
  </si>
  <si>
    <t>25 € je Übernachtung,
max. 10 Übernachtungen</t>
  </si>
  <si>
    <t>BB. 3. II. 3</t>
  </si>
  <si>
    <t>BB. 3. II. 4</t>
  </si>
  <si>
    <t>ab der Schwangerschaft bis zur auf die Geburt folgende Hauptfälligkeit (mind. 3 Monate)
Inv. - 25.000 € (ohne Progression)</t>
  </si>
  <si>
    <t>ab der Schwangerschaft bis zur Vollendung des 1. Lebensjahrs
Inv. - 30.000 € (ohne Progression); 
Tod - 5.000 €; UKHTG/GG - 5 €</t>
  </si>
  <si>
    <t>ab der Schwangerschaft bis zur Vollendung des 1. Lebensjahrs
Inv. - 60.000 € (ohne Progression); Tod - 10.000 €; UKHTG/GG - 11 €
(adoptierte &lt; 14 Jahre: Inv. 30.000 €)</t>
  </si>
  <si>
    <t>BB. 3. II. 6</t>
  </si>
  <si>
    <t xml:space="preserve">BB 3. I. E. 25 / E. 27 /
F. 29 /
G. 32 /
BB. 3. II. 2 / II. 5
BB. 3. III. 1 / III. 2
</t>
  </si>
  <si>
    <t>BB 4. I. A. 1</t>
  </si>
  <si>
    <t>BB 4. I. A. 2</t>
  </si>
  <si>
    <t>BB 4. I. A. 3</t>
  </si>
  <si>
    <t>BB 4. I. A. 4</t>
  </si>
  <si>
    <t>BB 4. I. A. 5.1</t>
  </si>
  <si>
    <t>BB 4. I. C. 16 / BB 4. I. A. 5.2</t>
  </si>
  <si>
    <t>BB 4. I. B. 10</t>
  </si>
  <si>
    <t>BB 4. I. B. 10.3</t>
  </si>
  <si>
    <t>BB 4. I. B. 11 / D. 22</t>
  </si>
  <si>
    <t>BB 4. I. B. 12.1.1 + S. 45</t>
  </si>
  <si>
    <t>BB 4. I. B. 12.1.5 + S. 45</t>
  </si>
  <si>
    <t>BB 4. I. B. 13 + S. 45</t>
  </si>
  <si>
    <t>BB 4. I. B. 14.2.1 + S. 45</t>
  </si>
  <si>
    <t>BB 4. I. C. 15.2</t>
  </si>
  <si>
    <t>BB 4. I. C. 15.1</t>
  </si>
  <si>
    <t>ja
(Führen von Kfz bis 0,8‰)</t>
  </si>
  <si>
    <t>BB 4. I. C. 17</t>
  </si>
  <si>
    <t>BB 4. I. C. 18</t>
  </si>
  <si>
    <t>BB 4. I. D. 20</t>
  </si>
  <si>
    <t>BB 4. I. E. 24</t>
  </si>
  <si>
    <t>BB 4. I. E. 25</t>
  </si>
  <si>
    <t>BB 4. I. E. 27</t>
  </si>
  <si>
    <t>BB. 4. II. 1</t>
  </si>
  <si>
    <t>BB 4. I. C. 19 /
D. 21
BB. 4. III. 1 / III. 2</t>
  </si>
  <si>
    <t>-Psychische Erkrankungen aufgrund Unfall
-nicht konkret nachgewiesener Verdienstausfall bei Selbstständigen infolge vom VR veranlassster ärztlicher Untersuchung i.H.d. gültigen Jahresbruttobeitrags, max. 500 €
-ab Vollendung des 67. Lj. Wahlrecht, ob VS reduziert, Beitrag erhöht, oder Integralfranchise i.H.v. 25% gilt
-Eintritt einer Oberschenkelhals-fraktur, unabhängig von der Unfallursache ab Vollendung des 67. Lj.</t>
  </si>
  <si>
    <t>AUB; Zif. 2.1.1.1 / BB 4. I. A. 6</t>
  </si>
  <si>
    <t>AUB; Zif. 2.1.1.1 / BB 3. I. A. 8</t>
  </si>
  <si>
    <t>AUB; Zif. 2.1.1.1 / BB 2. I. A. 10</t>
  </si>
  <si>
    <t>AUB; Ziff. 1.4 / Ziff. 4.2.7</t>
  </si>
  <si>
    <t>2 Jahre nach Unfalltag</t>
  </si>
  <si>
    <t>AUB; Ziff. 4.2.4.2</t>
  </si>
  <si>
    <t>AUB; Ziff. 4.2.4.1</t>
  </si>
  <si>
    <t>AUB; Ziff. 4.2.3</t>
  </si>
  <si>
    <t>AUB; Ziff. 5.2.1</t>
  </si>
  <si>
    <t>AUB; Ziff. 10.7.1</t>
  </si>
  <si>
    <t>BB 1. I. E. 40.1 b)</t>
  </si>
  <si>
    <t>BB 1. I. E. 33.1 b)</t>
  </si>
  <si>
    <t>siehe BB. 2. II. 7</t>
  </si>
  <si>
    <t>siehe BB. 1. II. 8</t>
  </si>
  <si>
    <t>siehe BB. 3. II. 6</t>
  </si>
  <si>
    <t>sofern UKHTG und GG vereinbart ist drei Tagessätze, mind. 200 €</t>
  </si>
  <si>
    <t>versicherbar über
"Hilfe-Paket"</t>
  </si>
  <si>
    <t>BB 6.</t>
  </si>
  <si>
    <t>Hilfeleistungen versicherbar 
über "Hilfe-Paket"</t>
  </si>
  <si>
    <t>Interlloyd Premium
(Stand 01-2010)</t>
  </si>
  <si>
    <t>Interlloyd Premium Plus</t>
  </si>
  <si>
    <t>AUB 2013 Premium Plus
Stand 12-2012</t>
  </si>
  <si>
    <t>AUB 2013 Premium
Stand 12-2012</t>
  </si>
  <si>
    <t>BB; Ziff. 2.2</t>
  </si>
  <si>
    <t>BB; Ziff. 1.1.2</t>
  </si>
  <si>
    <t>BB; Ziff. 1.1.3</t>
  </si>
  <si>
    <t>BB; Ziff. 1.1.1</t>
  </si>
  <si>
    <t>BB; Ziff. 1.1.4</t>
  </si>
  <si>
    <t>BB; Ziff. 1.1.7</t>
  </si>
  <si>
    <t>ja, auch Hitzschlag
(auch Erwachsene)</t>
  </si>
  <si>
    <t>BB; Ziff. 1.1.6 / Ziff. 1.1.8</t>
  </si>
  <si>
    <t>BB; Ziff. 1.2</t>
  </si>
  <si>
    <t>BB; Ziff. 2.1</t>
  </si>
  <si>
    <t>BB; Ziff. 2.4.2 a)</t>
  </si>
  <si>
    <t>BB; Ziff. 2.4.2 b)</t>
  </si>
  <si>
    <t>BB; Ziff. 2.4.2 c)</t>
  </si>
  <si>
    <t>BB; Ziff. 2.4.4 a)</t>
  </si>
  <si>
    <t>BB; Ziff. 2.4.4 b)</t>
  </si>
  <si>
    <t>sofern UKHTG vereinbart:
30 € pro Tag, max. 3 Jahre</t>
  </si>
  <si>
    <t>sofern UKHTG vereinbart ab Pflege-stufe I: 30 € pro Tag, max. 3 Jahre</t>
  </si>
  <si>
    <t>BB; Ziff. 2.5.2 / Ziff. 9.3</t>
  </si>
  <si>
    <t>BB; Ziff. 2.5.3</t>
  </si>
  <si>
    <t>BB; Ziff. 2.5.4</t>
  </si>
  <si>
    <t>BB; Ziff. 2.4.2 c) / Ziff. 2.7</t>
  </si>
  <si>
    <t>zusätzlich versicherbar + ergänzend,
sofern UKHTG und GG vereinbart ist drei Tagessätze, mind. 200 €</t>
  </si>
  <si>
    <t>BB; Ziff. 2.8</t>
  </si>
  <si>
    <t xml:space="preserve">bis 75.000 € </t>
  </si>
  <si>
    <t>BB; Ziff. 3 / Ziff. 3.4</t>
  </si>
  <si>
    <t>BB; Ziff. 3 / Ziff. 3.2.1 / Ziff. 3.2.2</t>
  </si>
  <si>
    <t>im Rahmen der Bergungskosten (+ Zahnbehandl./Zahnersatz Backen-/ Eck-/ Schneidezähne + Kronen, etc.)</t>
  </si>
  <si>
    <t>im Rahmen der Bergungskosten 
bis 75.000 €</t>
  </si>
  <si>
    <t>BB; Ziff. 3 / Ziff. 3.14</t>
  </si>
  <si>
    <t>nachgewiesene Mehraufwendungen im Rahmen der Bergungskosten</t>
  </si>
  <si>
    <t>BB; Ziff. 3 / Ziff. 3.9</t>
  </si>
  <si>
    <t>im Rahmen der Bergungskosten
(auch Blindenhund)</t>
  </si>
  <si>
    <t>im Rahmen der Bergungskosten
(auch künstl. Organe bis 10.000 €)</t>
  </si>
  <si>
    <t>ja
(auch künstl. Organe)</t>
  </si>
  <si>
    <t>-keine Kündigungsfrist
-Oberschenkelhals-/ Armbruch sind unabhängig von der Ursache mitversichert
-Minderjährige beim Umgang mit selbstgebauten Feuerwerkskörpern
-Mitversicherung von Terroranschlägen
-1.000 € für psychologische Betreuung (auch bei indirekter Unfalleinwirkung)
-diverse beitragsfreie Unfall-Pflegeleistungen
-keine Operationspflicht
-keine Pflicht zur pauschalen Auskunftsermächtigung</t>
  </si>
  <si>
    <t>ja
(auch Blindenhund)</t>
  </si>
  <si>
    <t>bis 10.000 €
(auch künstl. Organe)</t>
  </si>
  <si>
    <t>bis 6.000 €
(auch künstl. Organe)</t>
  </si>
  <si>
    <t>BB; Ziff. 3 / Ziff. 3.11</t>
  </si>
  <si>
    <t>bis 10.000 € im Rahmen der
Bergungskosten</t>
  </si>
  <si>
    <t>50 € pro Tag 
max. 30 Tage</t>
  </si>
  <si>
    <t>BB; Ziff. 4.5</t>
  </si>
  <si>
    <t>sofern mind. 10 € UKHTG/GG verein-bart wurden 20 €/Tag, max. 20 Tage</t>
  </si>
  <si>
    <t>BB; Ziff. 4.8</t>
  </si>
  <si>
    <t>BB; Ziff. 4.6</t>
  </si>
  <si>
    <t>100 € pro Tag
max. 14 Tage</t>
  </si>
  <si>
    <t>BB; Ziff. 5.1</t>
  </si>
  <si>
    <t>BB; Ziff. 5.2</t>
  </si>
  <si>
    <t>BB; Ziff. 6.1</t>
  </si>
  <si>
    <t>ja (Personen mit bestimmten Krank-heiten keine Anrechnung bei &lt; 25%)</t>
  </si>
  <si>
    <t>BB; Ziff. 6.2 / Ziff. 6.3.2 / AUB; Ziff. 3</t>
  </si>
  <si>
    <t>ab 70% (bei Personen ab 60 o. mit bestimmten Krankheiten ab 25%)</t>
  </si>
  <si>
    <t>BB; Ziff. 6.1 / Ziff. 6.3.2 / Ziff. 6.4 / AUB; Ziff. 3</t>
  </si>
  <si>
    <t>ab der Schwangerschaft bis zur Vollendung des 1. Lebensjahrs (mit Annahmegarantie) Inv. - 60.000 € (ohne Progression); Tod - 10.000 €
(adoptierte &lt; 14 Jahre: Inv. 30.000 €)</t>
  </si>
  <si>
    <t>BB; Ziff. 7.2</t>
  </si>
  <si>
    <t>BB; Ziff. 7.1 / Ziff. 7.3 / Ziff. 7.4</t>
  </si>
  <si>
    <t>ja (+ epilept.-/Krampfanfälle, Über-müdung Schlafwandel / Ohnmacht)</t>
  </si>
  <si>
    <t>BB; Ziff. 7.7</t>
  </si>
  <si>
    <t>BB; Ziff. 7.11</t>
  </si>
  <si>
    <t>BB; Ziff. 7.13.1 a)</t>
  </si>
  <si>
    <t>BB; Ziff. 7.13.1</t>
  </si>
  <si>
    <t>BB; Ziff. 7.14</t>
  </si>
  <si>
    <t>BB; Ziff. 7.14 / nicht ausgeschlossen</t>
  </si>
  <si>
    <t>BB; Ziff. 7.15</t>
  </si>
  <si>
    <t>BB; Ziff. 8.1</t>
  </si>
  <si>
    <t>BB; Ziff. 9.1</t>
  </si>
  <si>
    <t>Vorauszahlung i.H.v. 15.000 € (bei Oberschenkelhalsbruch 5.000 €)</t>
  </si>
  <si>
    <t>BB; Ziff. 10.2.4 / Ziff. 10.2.5</t>
  </si>
  <si>
    <t>BB; Ziff. 11.1</t>
  </si>
  <si>
    <t>BB; Ziff. 11.2</t>
  </si>
  <si>
    <t>max. 2 Jahre</t>
  </si>
  <si>
    <t>max. 36 Monate, 6 Mon. Wartezeit
(Arbeitsunfähigkeit max. 12 Monate)</t>
  </si>
  <si>
    <t>BB; Ziff. 11.3 / Ziff. 11.4</t>
  </si>
  <si>
    <t>BB; Ziff. 1.1.5 / Ziff. 2.5.5 / Ziff. 2.7 /
Ziff. 4.9 / Ziff. 5.3 / Ziff. 7.5 / Ziff. 7.6 / Ziff. 7.8 / Ziff. 7.9 / Ziff. 7.10 / Ziff. 7.12 / Ziff. 8.2 / Ziff. 9.2 / Ziff. 10.1 /
Ziff. 3.7 / Ziff. 3.10 / Ziff. 3.12 / Ziff. 3.15 / Ziff. 3.16 / Ziff. 3.17 / Ziff. 3.18 / Ziff. 3.19 / Ziff. 3.20</t>
  </si>
  <si>
    <t>BB; Ziff. 1.1.6</t>
  </si>
  <si>
    <t>ja (bis Ablauf des VJ, in dem VP 67. Lebensjahr vollendet hat)</t>
  </si>
  <si>
    <t>BB; Ziff. 2.5.2 / Ziff. 6.2</t>
  </si>
  <si>
    <t>1 Woche ab Kenntnisnahme;
auch Verschollenheit ist versichert</t>
  </si>
  <si>
    <t>BB; Ziff. 2.7</t>
  </si>
  <si>
    <t>zusätzlich versicherbar
(Erwachsene: 500 € / Kinder: 250 €)</t>
  </si>
  <si>
    <t>BB; Ziff. 2.9.1.2</t>
  </si>
  <si>
    <t>BB; Ziff. 2.9.2.1</t>
  </si>
  <si>
    <t>BB; Ziff. 2.9.3.1 / Ziff. 2.9.3.2</t>
  </si>
  <si>
    <t>im Rahmen der Kurkostenbeihilfe</t>
  </si>
  <si>
    <t>BB; Ziff. 2.9.4</t>
  </si>
  <si>
    <t>BB; Ziff. 2.9.6</t>
  </si>
  <si>
    <t>BB; Ziff. 2.9.7</t>
  </si>
  <si>
    <t>BB; Ziff. 2.9.8.1</t>
  </si>
  <si>
    <t>BB; Ziff. 2.9.8.2</t>
  </si>
  <si>
    <t>bei mind. 10 € UKHTG/GG: 
ab 21. Tag 30 € pro Tag, max. 3.000 €</t>
  </si>
  <si>
    <t>BB; Ziff. 2.9.8.3</t>
  </si>
  <si>
    <t>BB; Ziff. 2.9.9 a)</t>
  </si>
  <si>
    <t>BB; Ziff. 2.9.9 b)</t>
  </si>
  <si>
    <t>BB; Ziff. 2.10.3</t>
  </si>
  <si>
    <t>BB; Ziff. 2.11.1</t>
  </si>
  <si>
    <t>ab der Geburt bis 1 Jahr
Inv. bis 40.000 €
Tod bis 10.000 €</t>
  </si>
  <si>
    <t>bis 1 Jahr ab Heirat
Inv. bis 40.000 €
Tod bis 10.000 €
(sofern keine andere private Unfallversicherung besteht)</t>
  </si>
  <si>
    <t>bis 3 Monate ab Heirat
Inv. - 100.000 € (ohne Progression)
Tod - 10.000 € / UKHTG/GG - 20 €
(sofern keine andere private Unfallversicherung besteht)</t>
  </si>
  <si>
    <t>ab 50% 
(bei Personen ab 60 ab 25%)</t>
  </si>
  <si>
    <t>BB; Ziff. 4.6.1 a)</t>
  </si>
  <si>
    <t>AUB; Ziff. 4.2.4.2 / BB; Ziff. 7.13.1 b)</t>
  </si>
  <si>
    <t>AUB; Ziff. 4.2.4.2 / BB; Ziff. 4.6.1 b)</t>
  </si>
  <si>
    <t>Tollwut, Wundstarrkrampf,
Cholera, Enchinokokkose (Fuchsbandwurm), Diphterie, Gürtelrose, Keuchhusten, spinale Kinderlähmung, Masern, Mumps, Pfeiffersches Drüsenfieber, Pocken/ Windpocken, Röteln, Scharlach, Schlafkrankheit, Lepra, Tuberkulose, Tularämie (Hasenpest), Typhus/ Paratyphus</t>
  </si>
  <si>
    <t>BB; Ziff. 4.6.1</t>
  </si>
  <si>
    <t>BB; Ziff. 4.7</t>
  </si>
  <si>
    <t>BB; Ziff. 7.2.4 / Ziff. 7.2.5</t>
  </si>
  <si>
    <t>BB; Ziff. 8.2</t>
  </si>
  <si>
    <t>BB; Ziff. 8.3</t>
  </si>
  <si>
    <t>bis max. 24 Monate,
6 Monate Wartezeit</t>
  </si>
  <si>
    <t>gemäß LÜ in Handbuch</t>
  </si>
  <si>
    <t>AUB; Ziff. 19</t>
  </si>
  <si>
    <t>AUB; Ziff. 1.4.1</t>
  </si>
  <si>
    <t>AUB; Ziff. 1.6</t>
  </si>
  <si>
    <t>ab der Geburt bis 1 Jahr
Inv. bis 30.000 €</t>
  </si>
  <si>
    <t>ja
(Verrentung auf Wunsch möglich)</t>
  </si>
  <si>
    <t>AUB; Ziff. 2.1.2.4</t>
  </si>
  <si>
    <t>AUB; Ziff. 2.1.3.1.1</t>
  </si>
  <si>
    <t>ab 90% Invalidität, max. 150.000 €
(vor Vollendung des 70. Lj.)</t>
  </si>
  <si>
    <t>2 Tagessätze</t>
  </si>
  <si>
    <t>AUB; Ziff. 2.4.3 b)</t>
  </si>
  <si>
    <t>AUB; Ziff. 2.4.3 c)</t>
  </si>
  <si>
    <t>AUB; Ziff. 2.6.2</t>
  </si>
  <si>
    <t>AUB; Ziff. 2.7</t>
  </si>
  <si>
    <t>AUB; Ziff. 2.8 / Handbuch</t>
  </si>
  <si>
    <t>AUB; Ziff. 2.9 / Handbuch</t>
  </si>
  <si>
    <t>AUB; Ziff. 2.10.1.2</t>
  </si>
  <si>
    <t>AUB; Ziff. 2.10.2.1</t>
  </si>
  <si>
    <t>AUB; Ziff. 2.10.3</t>
  </si>
  <si>
    <t>AUB; Ziff. 2.10.4</t>
  </si>
  <si>
    <t>AUB; Ziff. 2.10.5</t>
  </si>
  <si>
    <t>AUB; Ziff. 2.10.6</t>
  </si>
  <si>
    <t>ab 40% 
(bei Personen ab 60 ab 25%)</t>
  </si>
  <si>
    <t>AUB; Ziff. 4.3</t>
  </si>
  <si>
    <t>Röntgen-/Laserstrahlen, 
künstlich erzeugte UV-Strahlung</t>
  </si>
  <si>
    <t>1 Woche ab Kenntnisnahme</t>
  </si>
  <si>
    <t>AUB; Ziff. 18</t>
  </si>
  <si>
    <t>Besonderheiten Teil I</t>
  </si>
  <si>
    <t>Besonderheiten Teil II</t>
  </si>
  <si>
    <t>-Minderjährige beim Fahren ohne Fahrerlaubnis
-Minderjährige beim Umgang mit selbstgebauten Feuerwerkskörpern
-Vollwaisenrente an alle versicherten minderjährigen Kinder (50-facher Bruttojahresbeitrag des Kindes, max. 8.000 € pro Jahr und Kind)
-logopädische/ psychotherapeu-tische Therapie infolge eines Unfalls für das versicherte Kind, max. 1.500 €
-ab Vollendung des 67. Lj. Wahlrecht, ob VS reduziert, Beitrag erhöht, oder Integralfranchise i.H.v. 25% gilt
-Eintritt einer Oberschenkelhals- oder Oberarmfraktur, unabhängig von der Unfallursache ab Vollendung des 67. Lj.
-2.000 € Kapitalleistung bei Blindheit ab Vollendung des 67. Lj.</t>
  </si>
  <si>
    <t>Im Rahmen der Bergungskosten:
-Heilbehandlung aufgrund Unfall im Ausland bei Aufenthalten bis 42 Tage bis 5.000 €
-Reparatur von Gliedmaßenprothesen bis 2.500 €
-Bei Entführung, Geiselnahme oder Raubüberfall 1% der Inv.-Summe, max. 3.000 €
-Erstattung der Zuzahlung zur GKV 
-telefonische Psychologische Hilfe nach einem Unfall
-bis 10 Sitzungen für psychologische Betreuung aufgrund Unfall
-Rehamanagement ab 50% Inv., max. 30.000 €
-Leistung bei bestimmten Krebserkrankungen (10% der VS, max. 20.000 €)
-kosm. OP bei Brustkrebs (bis 10.000 €)
-Mitversicherung von beschädigten Sportgeräten ab 50 €, max. 5.000 € (Zeitwert: 1. Jahr: 90%; 2. Jahr: 70%; 3. Jahr:60%; 4.Jahr:40%; 5.Jahr:20%)</t>
  </si>
  <si>
    <t>Provinzial Top
(Stand 04-2009)</t>
  </si>
  <si>
    <t>ab 21. Tag 25 € pro Tag
max. 40 Tage</t>
  </si>
  <si>
    <t>Provinzial Rundumschutz</t>
  </si>
  <si>
    <t>AUB; Ziff. 1.4.2</t>
  </si>
  <si>
    <t>AUB; Ziff. 1.4.3</t>
  </si>
  <si>
    <t>AUB; Ziff. 1.4.4</t>
  </si>
  <si>
    <t>AUB; Ziff. 1.4.5</t>
  </si>
  <si>
    <t>Eintritt: 12 Monate
ärztliche Feststellung: 15 Monate</t>
  </si>
  <si>
    <t>AUB; Ziff. 2.3 / Leistungsübersicht</t>
  </si>
  <si>
    <t>AUB; Ziff. 2.5.1</t>
  </si>
  <si>
    <t>einmalig 150 €</t>
  </si>
  <si>
    <t>AUB; Ziff. 2.7.2</t>
  </si>
  <si>
    <t>AUB; Ziff. 2.8.3</t>
  </si>
  <si>
    <t>AUB; Ziff. 2.9.2 / Leistungsübersicht</t>
  </si>
  <si>
    <t>AUB; Ziff. 2.10.3.1 / Leistungsübersicht</t>
  </si>
  <si>
    <t>AUB; Ziff. 2.10.3.1</t>
  </si>
  <si>
    <t>AUB; Ziff. 2.11.3.3</t>
  </si>
  <si>
    <t>innerhalb des Reha-Managements Beratung + ggf. Kostenübernahme</t>
  </si>
  <si>
    <t>AUB; Ziff. 2.12.2</t>
  </si>
  <si>
    <t>Einmalzahlung 
in vereinbarter Höhe</t>
  </si>
  <si>
    <t>AUB; Ziff. 2.13.2</t>
  </si>
  <si>
    <t xml:space="preserve">Tollwut, Wundstarrkrampf und durch Unfall in Körper gelangte Infektionen </t>
  </si>
  <si>
    <t>Infektionen durch Zeckenstiche</t>
  </si>
  <si>
    <t>AUB; Ziff. 1.4.1 / Ziff. 5.2.7</t>
  </si>
  <si>
    <t>-Ab Vollendung des 60. Lj. alle 5 Jahre 10% Beitragserhöhung
-zusätzliches UKHTG in Höhe von 25 €, max. 5 Tage, bei Unfällen durch die Benutzung öffentlicher Verkehrsmittel
-ab 25% Inv. Reha-Manager für max. 3 Jahre (Kostenübernahme für Persönliche Betreuung, Reha-Beratung, Hilfsmittelversorgung, Mobilitätssicherung, Wohnungsberatung, Pflegeberatung bis 50% der zu erwartenden Invaliditätsleistung, max. 100.000 €)</t>
  </si>
  <si>
    <t>AUB; Ziff. 6.4 / 2.5.5 / Ziff. 2.11</t>
  </si>
  <si>
    <t>AUB 2012
Stand 12-2012</t>
  </si>
  <si>
    <t>AUB; Ziff. 11.6</t>
  </si>
  <si>
    <t>BB Familienvorsorge</t>
  </si>
  <si>
    <t>bis 3 Monate ab Geburt 
(+ 3 Monate) mit Versicherungssummen 
des VN</t>
  </si>
  <si>
    <t>bis 3 Monate ab Heirat (+ 3 Monate)
mit Versicherungssummen des VN</t>
  </si>
  <si>
    <t>BB Mehrleistung 300</t>
  </si>
  <si>
    <t xml:space="preserve">Mehrleistung versicherbar
ab 50% Invalidität </t>
  </si>
  <si>
    <t>ZB Aktiv 50Plus</t>
  </si>
  <si>
    <t>Baden Badener Top 2011
(Stand 03-2012)</t>
  </si>
  <si>
    <t>ja; auch Folgen von Insektenstichen/ Wundinfektionen</t>
  </si>
  <si>
    <t>10%, max. 1.000.000 € + 3 Tage KHTG
(innerhalb "KinderSicher")</t>
  </si>
  <si>
    <t>bis 10.000 € (KinderSicher: 15.000 €)
(inkl. Zahnbehandlung/ -ersatz/ Zahnlaborkosten)</t>
  </si>
  <si>
    <t>über International Service Card</t>
  </si>
  <si>
    <t>AUB; 1); §2; I. (2) b)</t>
  </si>
  <si>
    <t>4 Jahre nach Unfallereignis 
(max. 1.000 Tage)</t>
  </si>
  <si>
    <t>ab 8. Tag 100 € je Woche,
max. 12 Wochen</t>
  </si>
  <si>
    <t>AUB; 1); §2; V. (2) c)</t>
  </si>
  <si>
    <t>bei Pflegestufe II
15 € pro Tag, max. 1 Jahr</t>
  </si>
  <si>
    <t>13 € je Tag bei ambulanter Reha, wenn UKHTG mind. 26 €</t>
  </si>
  <si>
    <t>AUB; 1); §2; VI. (1) / §7 (5)</t>
  </si>
  <si>
    <t>48 h ab Kenntnisnahme
(auch Verschollenheit ist versichert)</t>
  </si>
  <si>
    <t>bis zur nächsten Hauptfälligkeit 
ab Geburt
Inv. bis 26.000 €
Tod bis 3.000 €
KHTG/GG 11 €</t>
  </si>
  <si>
    <t>i.H. VS des 1. Kindes bis Ablauf des Jahres in dem Kind 18. Lj. vollendet</t>
  </si>
  <si>
    <t>AUB; 1); §2; VIII. (6)</t>
  </si>
  <si>
    <t>bis 3 Monate ab Eheschließung
Inv. - 50.000 € (ohne Progression)</t>
  </si>
  <si>
    <t>AUB; 1); §2; IX. (1) / (4)</t>
  </si>
  <si>
    <t>AUB; 1); §2; IX. (2)</t>
  </si>
  <si>
    <t>bis 2,0‰ (auch durch Medikamente)
(Kfz bis 1,1 ‰ / Fahhrad: 1,6‰)</t>
  </si>
  <si>
    <t>Tollwut, Wundstarrkrampf,
Borreliose, Brucellose, Cholera, Diphterie, Dreitagefieber, epidemische Kinderlähmung/ Poliomyelitis, Fleckfieber, FSME, Gelbfieber, Genickstarre, Keuchhusten, Lepra, Malaria, Masern, Pest, Pocken, Scharlach, Schlafkrankheit/ Tsetse-Krankheit, Tularämie/ Hasenpest, Typhus/ Paratyphus, Windpocken/ Gürtelrose</t>
  </si>
  <si>
    <t>AUB; 1); §5; II. (4) b) / (4) Ziff. 1.1</t>
  </si>
  <si>
    <t>AUB; 1); §5; II. (4) Ziff. 1.1</t>
  </si>
  <si>
    <t>AUB; 1); §5; II. (4) Ziff. 1.3</t>
  </si>
  <si>
    <t>Lebensmittel (bei Tod max. 11.000 € / bei UKHTG+GG max. 3 Tagessätze)</t>
  </si>
  <si>
    <t>ja (+ 3 Tagessätze UKHTG/GG in vereinbarter Höhe)</t>
  </si>
  <si>
    <t>AUB; 1); §6; II. (1)</t>
  </si>
  <si>
    <t>Vorschuss in Höhe der 
Todesfallleistung, max. 15.000 €</t>
  </si>
  <si>
    <t>-einmalig 3.000 € bei Raubüberfall/ Geiselnahme
-einmalig 3.000 € bei unfallbedingter Fehlgeburt bei Frauen
-Teilnahme an Fahrtveranstaltungen
-Gesundheitsschäden durch Maniküre/Pediküre sind versichert
-Folgen psychischer und nervöser Störungen infolge eines Unfalls mitversichert
-nicht konkret nachgewiesener Verdienstausfall bei Selbstständigen infolge vom VR veranlassster ärztlicher Untersuchung i.H.v. 1,5‰ der Invaliditätsgrundsumme, max. 500 €
-Sonderrecht zur Kündigung zu jedem Monatsende für den VN für Verträge mit einer Laufzeit unter 3 Jahren</t>
  </si>
  <si>
    <t>AUB; 1); §1 (3) g) /
§2; IX. (3) /
§5; I. (5) / II. (3) / II. (6) /
§7 (3) /
§10 (3)</t>
  </si>
  <si>
    <t>AUB; 1); §11 (7) a)</t>
  </si>
  <si>
    <t>BBU 040</t>
  </si>
  <si>
    <t>versicherbar ab 90% Invalidität, 
max. 150.000 €</t>
  </si>
  <si>
    <t>AUB; 1); §2; VIII. (5) / AUB; 2) BBU 241</t>
  </si>
  <si>
    <t>AUB; 3) BBU 261</t>
  </si>
  <si>
    <t>Reiserückholkosten für mitreisende Partner/ Kinder</t>
  </si>
  <si>
    <t>AUB; 2) BBU 200; Ziff. 2 / Ziff. 3</t>
  </si>
  <si>
    <t>AUB; 1); §2; VIII. (5) / AUB; 2) BBU 191</t>
  </si>
  <si>
    <t>AUB; 1); §2; V. (2) a) / AUB KinderSicher; §2; I. (2) i)</t>
  </si>
  <si>
    <t>3 Tagessätze UKHTG/GG + Schmerzensgeld  innerhalb "KinderSicher"</t>
  </si>
  <si>
    <t>AUB KinderSicher; §1 (3) h)</t>
  </si>
  <si>
    <t>AUB KinderSicher; §2; I. (2) g) / IV. (2) f)</t>
  </si>
  <si>
    <t>AUB KinderSicher; §2; I. (2) h) / IV. (2) g)</t>
  </si>
  <si>
    <t>AUB KinderSicher; §2; III. (2)</t>
  </si>
  <si>
    <t>ja (in Bedingungen genannte Krankheiten)</t>
  </si>
  <si>
    <t>nicht ausgeschlossen / AUB KinderSicher; §5; II. (5)</t>
  </si>
  <si>
    <t>AUB KinderSicher; §2; IV. (2) a)</t>
  </si>
  <si>
    <t>Öffentliche Braunschweig Spezial</t>
  </si>
  <si>
    <t>aktuell
(geprüft am 02.01.2013)</t>
  </si>
  <si>
    <t>Basler Ambiente Top
(Stand 04-2011)</t>
  </si>
  <si>
    <t>Condor Comfort
(Stand 01-2009)</t>
  </si>
  <si>
    <t>DEVK Komplett
(Stand 05-2011)</t>
  </si>
  <si>
    <t>Dt. Ring up-unfallprotect max (Stand 10-2010)</t>
  </si>
  <si>
    <t>wie 07-2010 / 04-2012</t>
  </si>
  <si>
    <t>GUB 2010
Stand 01-2013</t>
  </si>
  <si>
    <t>Signal Iduna Exklusiv
(Stand 10-2011)</t>
  </si>
  <si>
    <t>Signal Iduna Exklusiv (ÖD)
z.B. PVAG, VÖDAG
(Stand 10-2011)</t>
  </si>
  <si>
    <t>Basler UnfallProtect - Max</t>
  </si>
  <si>
    <t>7 Tagessätze</t>
  </si>
  <si>
    <t>bis 50.000 € (+ Zahnarzt-, Zahn-behandlungs-, Zahnersatz-/ Zahn-laborkosten f. Schneide-/Eckzähne)</t>
  </si>
  <si>
    <t>bis 1 Jahr ab Eheschließung
Inv. - 60.000 € (ohne Mehrleistung)
Tod - 20.000 €
KHTG/GG - 20 €
Bergung/Service - 10.000 €</t>
  </si>
  <si>
    <t>bis 1 Jahr ab Geburt
Inv. - 60.000 € (ohne Mehrleistung)
Tod - 20.000 €
KHTG/GG - 20 €
Bergung/Service - 10.000 €</t>
  </si>
  <si>
    <t>AUB; U 200</t>
  </si>
  <si>
    <t>25%, max. 50.000 € (bei Kopfverletzung) - auch Erwachsene</t>
  </si>
  <si>
    <t>AUB; U 201</t>
  </si>
  <si>
    <t>AUB; U 209; Ziff. 1</t>
  </si>
  <si>
    <t>AUB; U 209; Ziff. 2</t>
  </si>
  <si>
    <t>AUB; U 212</t>
  </si>
  <si>
    <t>AUB; U 213</t>
  </si>
  <si>
    <t>AUB; U 214</t>
  </si>
  <si>
    <t>Erhöhung des UKHTG 
um 50%; max. 100 Tage</t>
  </si>
  <si>
    <t>AUB; U 215</t>
  </si>
  <si>
    <t>AUB; U 216; Ziff. 2</t>
  </si>
  <si>
    <t>je Anwendungstag
in Höhe des UKHTG</t>
  </si>
  <si>
    <t>AUB; U 218 / U 219 / Leistungsübersicht</t>
  </si>
  <si>
    <t>Kinder-Betreuungsgeld
50 € pro Tag, max. 20 Tage</t>
  </si>
  <si>
    <t>AUB; U 220; Ziff. 1 / Leistungsübersicht</t>
  </si>
  <si>
    <t>AUB; U 220; Ziff. 2 / Leistungsübersicht</t>
  </si>
  <si>
    <t xml:space="preserve">ab 20. Ausfalltag: 60% von 50 €/Tag, ab 100. Ausfalltag: 50 €/Tag; max. 1 J. </t>
  </si>
  <si>
    <t>bis 15.000 € (auch Mehrkosten für Einzelzimmerunterbringung)</t>
  </si>
  <si>
    <t>AUB; U 221 / Leistungsübersicht</t>
  </si>
  <si>
    <t>AUB; U 228</t>
  </si>
  <si>
    <t>AUB; U 228 / Leistungsübersicht</t>
  </si>
  <si>
    <t>80% (Schultergelenkersatz durch Prothese: 30%)</t>
  </si>
  <si>
    <t>75% (Ellenbogengelenkersatz durch Prothese: 30%)</t>
  </si>
  <si>
    <t>70% (Handgelenkersatz durch Prothese: 30%)</t>
  </si>
  <si>
    <t>80% (Hüftgelenkersatz durch Prothese: 30%)</t>
  </si>
  <si>
    <t>75% (Kniegelenkersatz durch Prothese: 30%)</t>
  </si>
  <si>
    <t>50% (Sprunggelenkersatz durch Prothese: 30%)</t>
  </si>
  <si>
    <t>AUB; U 810</t>
  </si>
  <si>
    <t>Schmerzensgeld
zusätzlich versicherbar</t>
  </si>
  <si>
    <t>AUB; U 811; Ziff. 3 / Leistungsübersicht</t>
  </si>
  <si>
    <t>AUB; U 810 / U 817</t>
  </si>
  <si>
    <t>Schmerzensgeld/Kapitalleistung für schwere Verletzungen versicherbar</t>
  </si>
  <si>
    <t>AUB; U 102</t>
  </si>
  <si>
    <t>im Rahmen der Bergungskosten
(auch für Haustiere bis 250 €)</t>
  </si>
  <si>
    <t>im Rahmen der Bergungskosten bis 50% d. Gesamtkosten, max. 10.000 €</t>
  </si>
  <si>
    <t>AUB; U 822; Ziff. 1 / Ziff. 13 / Leistungsübersicht</t>
  </si>
  <si>
    <t>AUB; U 822; Ziff. 6 / Ziff. 5.3 / Ziff. 13</t>
  </si>
  <si>
    <t>AUB; U 822; Ziff. 9 / Ziff. 10 / Ziff. 13</t>
  </si>
  <si>
    <t>AUB; U 822; Ziff. 9 / Ziff. 13</t>
  </si>
  <si>
    <t>AUB; U 826</t>
  </si>
  <si>
    <t>AUB; Ziff. 1.5</t>
  </si>
  <si>
    <t>ja (max. Einwirkung: 10 Std.)
(keine Kernenergie)</t>
  </si>
  <si>
    <t>AUB; Ziff. 1.7</t>
  </si>
  <si>
    <t>AUB; Ziff. 1.8</t>
  </si>
  <si>
    <t>AUB; Ziff. 2.3.1.2</t>
  </si>
  <si>
    <t>Condor Premium</t>
  </si>
  <si>
    <t>AUB 2012
Stand 01-2013</t>
  </si>
  <si>
    <t>BB; Ziff. 2</t>
  </si>
  <si>
    <t>BB; Ziff. 4</t>
  </si>
  <si>
    <t>Impfungen gegen versicherte Infektionen (Kinder bis 10 Jahre: ja)</t>
  </si>
  <si>
    <t>BB; Ziff. 12</t>
  </si>
  <si>
    <t>bei Mitwirkungsanteil &lt; 35% (bei Oberschenkelhalsbruch &lt; 45%)</t>
  </si>
  <si>
    <t>BB; Ziff. 12 / Ziff. 13</t>
  </si>
  <si>
    <t>ab 35% (bei Oberschenkelhalsbruch ab 45%)</t>
  </si>
  <si>
    <t>BB; Ziff. 14</t>
  </si>
  <si>
    <t>BB; Ziff. 15</t>
  </si>
  <si>
    <t>15.000 € (auch Zahnbehandlung/ 
-ersatz für Schneide-/ Eckzähne)</t>
  </si>
  <si>
    <t>AUB; Ziff. 2.9.2 / BB; Ziff. 20</t>
  </si>
  <si>
    <t>ärztlich verordnete bei 
kosmetischen Operationen</t>
  </si>
  <si>
    <t>BB; Ziff. 23</t>
  </si>
  <si>
    <t>AUB; Ziff. 2.10.2.1 / BB; Ziff. 23</t>
  </si>
  <si>
    <t>bis 20.000 € im Rahmen der Serviceleistungen</t>
  </si>
  <si>
    <t>BB; Ziff. 27</t>
  </si>
  <si>
    <t xml:space="preserve">500 € (sofern länger als 14 Tage ärztl. verordneter Gipsverband getragen wird) </t>
  </si>
  <si>
    <t>5% der Grundversicherungssumme, 
max. 10.000 €</t>
  </si>
  <si>
    <t>25 € pro Tag,
max. 365 Tage</t>
  </si>
  <si>
    <t>nachgewiesene Kosten
bis 10.000 €</t>
  </si>
  <si>
    <t>BB; Ziff. 31</t>
  </si>
  <si>
    <t>zusätzlich vereinbartes UKHTG je Übernachtung; max. 30 Tage</t>
  </si>
  <si>
    <t>10% (Kopfverletzung)</t>
  </si>
  <si>
    <t>bis 30 € pro Tag,
max. 3.000 €</t>
  </si>
  <si>
    <t>BB; Ziff. 35</t>
  </si>
  <si>
    <t>bis 10% d. Inv.-Grundsumme, 
max. 10.000 € (keine Umschulung)</t>
  </si>
  <si>
    <t>BB; Ziff. 36</t>
  </si>
  <si>
    <t>BB; Ziff. 37</t>
  </si>
  <si>
    <t>bis 6 Monate ab Geburt
Inv. - 50.000 € (ohne Progression) 
Tod - 5.000 € / Service - 10.000 €
UKHTG/UKHTG Plus - je 10 €
UKHTG Extra - 1.000 €</t>
  </si>
  <si>
    <t>bis 6 Monate ab Heirat
Inv. - 50.000 € (ohne Progression) 
Tod - 5.000 € / Service - 10.000 €
UKHTG/UKHTG Plus - je 10 €
UKHTG Extra - 1.000 €</t>
  </si>
  <si>
    <t>BB; Ziff. 7 / Ziff. 11 / Ziff. 24 / Ziff. 26 /
Ziff. 41</t>
  </si>
  <si>
    <t>-Teilnahme an Fahrten zur Erzielung einer Durchschnittsgeschwindigkeit
-Folgen psychischer und nervöser Störungen durch einen Unfall sind versichert
-einmalig 500 € bei Abbruch eines Auslandsurlaubs infolge eines Unfalls
-max. 3 psychologische Beratungen nach schweren Unfällen
-nicht konkret nachgewiesener Verdienstausfall bei Selbstständigen infolge vom VR veranlassster ärztlicher Untersuchung i.H.v. 1‰ der Inv.-Grundsumme, max. 300 €</t>
  </si>
  <si>
    <t>Lebensmittel 
(nur für Kinder bis 14 Jahre)</t>
  </si>
  <si>
    <t>AUB; Ziff. 2.9.2 / BB; Ziff. 18</t>
  </si>
  <si>
    <t>10.000 € (auch Zahnbehandlung/ 
-ersatz für Schneide-/ Eckzähne)</t>
  </si>
  <si>
    <t>AUB; Ziff. 2.10.2.1 / BB; Ziff. 19</t>
  </si>
  <si>
    <t>bis 15.000 € im Rahmen der Serviceleistungen</t>
  </si>
  <si>
    <t>-Teilnahme an Fahrten zur Erzielung einer Durchschnittsgeschwindigkeit
-Folgen psychischer und nervöser Störungen durch einen Unfall sind versichert
-einmalig 250 € bei Abbruch eines Auslandsurlaubs infolge eines Unfalls
-max. 3 psychologische Beratungen nach schweren Unfällen</t>
  </si>
  <si>
    <t>BB; Ziff. 7 / Ziff. 11 / Ziff. 20 / Ziff. 22</t>
  </si>
  <si>
    <t xml:space="preserve">250 € (sofern länger als 14 Tage ärztl. verordneter Gipsverband getragen wird) </t>
  </si>
  <si>
    <t>nachgewiesene Kosten
bis 5.000 €</t>
  </si>
  <si>
    <t>BB; Ziff. 25</t>
  </si>
  <si>
    <t>BB; Ziff. 26</t>
  </si>
  <si>
    <t>AUB; Ziff. 2.1.2.2</t>
  </si>
  <si>
    <t>AUB; Ziff. 2.5.2.2</t>
  </si>
  <si>
    <t>Krankenhaustagegeld Plus
bis 2 Jahre</t>
  </si>
  <si>
    <t>AUB; Ziff. 2.10.2.5</t>
  </si>
  <si>
    <t>AUB; Ziff. 5.2.7 / BB; Ziff. 1</t>
  </si>
  <si>
    <t>ja ((nur Leistenbruch) Bauch-/ Unter-leibsbruch d. gewaltt. Einwirkung)</t>
  </si>
  <si>
    <t>AUB; Ziff. 6.2.2</t>
  </si>
  <si>
    <t>BB zuschlagfreie Todesfallsumme</t>
  </si>
  <si>
    <t>BB Mehrleistung 100</t>
  </si>
  <si>
    <t>ab 70% Invalidität:  100% Leistung 
aus der Invaliditätssumme</t>
  </si>
  <si>
    <t>Auslandsreise Assistance</t>
  </si>
  <si>
    <t>AUB; C.; Ziff. 10</t>
  </si>
  <si>
    <t>AUB; B.; §7; I. (2) a)</t>
  </si>
  <si>
    <t>AUB; C.; Ziff. 01.1 a) / A.; Erläuterungen und Hinweise</t>
  </si>
  <si>
    <t>AUB; C.; Ziff. 16 a) / A.; Erläuterungen und Hinweise</t>
  </si>
  <si>
    <t>AUB; C.; Ziff. 16 b) / A.; Erläuterungen und Hinweise</t>
  </si>
  <si>
    <t>AUB; C.; Ziff. 16 c) / A.; Erläuterungen und Hinweise</t>
  </si>
  <si>
    <t>AUB; C.; Ziff. 08 / A.; Erläuterungen und Hinweise</t>
  </si>
  <si>
    <t>AUB; C.; Ziff. 73 / A.; Erläuterungen und Hinweise</t>
  </si>
  <si>
    <t>AUB; C.; Ziff. 74 / A.; Erläuterungen und Hinweise</t>
  </si>
  <si>
    <t>3 Monate ab Heirat 
+ 3 Monate bei Anzeige
Inv. - 30.000 € (Progression 500)
Tod - 3.000 €
KHTG / GG - 15 €</t>
  </si>
  <si>
    <t>3 Monate ab Geburt
+ 3 Monate bei Anzeige
Inv. - 30.000 € (Progression 500)
Tod - 3.000 €
KHTG / GG - 15 €</t>
  </si>
  <si>
    <t>bis 10.000 € (Zahnersatz/-behandlung von Schneide-/Eckzähnen bis 750 €)</t>
  </si>
  <si>
    <t>AUB; C.; Ziff. 83.4 / Ziff. 84 / A.; Erläuterungen und Hinweise</t>
  </si>
  <si>
    <t>AUB; C.; Ziff. 06 / A.; Erläuterungen und Hinweise</t>
  </si>
  <si>
    <t>AUB; B.; §2; II. (5)</t>
  </si>
  <si>
    <t>AUB; B.; §2; I. (1)</t>
  </si>
  <si>
    <t>A.; Erläuterungen und Hinweise</t>
  </si>
  <si>
    <t>AUB; C.; Ziff. 83.2 / A.; Erläuterungen und Hinweise</t>
  </si>
  <si>
    <t>AUB; C.; Ziff. 83.3 / A.; Erläuterungen und Hinweise</t>
  </si>
  <si>
    <t>Schmerzensgeld je nach Verletzung
bis 2.000 €</t>
  </si>
  <si>
    <t>AUB; C.; Ziff. 83.3 a. / A.; Erläuterungen und Hinweise</t>
  </si>
  <si>
    <t>AUB; C.; Ziff. 83.5 b) / Ziff. 83.8 / A.; Erläuterungen und Hinweise</t>
  </si>
  <si>
    <t>AUB; B.; §2; II. (3) / C.; Ziff. 83.5 a) / Ziff. 83.8 / A.; Erläuterungen und Hinweise</t>
  </si>
  <si>
    <t>AUB; B.; §2; II. (3) / C.; Ziff. 83.5 a) / Ziff. 83.6 / Ziff. 83.8 / A.; Erläuterungen und Hinweise</t>
  </si>
  <si>
    <t>AUB; C.; Ziff. 83.6 / Ziff. 83.8 / A.; Erläuterungen und Hinweise</t>
  </si>
  <si>
    <t>AUB; C.; Ziff. 83.7 / Ziff. 83.8 / A.; Erläuterungen und Hinweise</t>
  </si>
  <si>
    <t>Tollwut, Wundstarrkrampf,
Borreliose, Brucellose, Cholera, Dreitagefieber, Fleckfieber, FSME, Zeckenenzephalitis, Gelbfieber, Genickstarre, Lepra, Malaria, Pest, Pocken, Schlaft-(Tsetse)-Krankheit, Tularämie (Hasenpest), Typhus / Paratyphus
ab 25% Inv.
Inv. max. 60.000 €, 
Tod max. 10.000 €</t>
  </si>
  <si>
    <t>ja (auch allergische Reaktionen) ab 25% Inv. (Inv.- 60.000 €, Tod- 10.000 €)</t>
  </si>
  <si>
    <t>Impfungen gegen vers. Infektion (ab 25% Inv.; Inv.-60.000 €, Tod-10.000 €)</t>
  </si>
  <si>
    <t>max. Einwirkung: mehrere Std. (ab 25% Inv.; Inv.-60.000 €, Tod-10.000 €)</t>
  </si>
  <si>
    <t>ab 25% Inv. - künstl. UV-/Röntgen-/ Laser-Stra(Inv-60.000 €/Tod-10.000 €)</t>
  </si>
  <si>
    <t>AUB; B.; §1; IV. / §2; III. (1)</t>
  </si>
  <si>
    <t>AUB; B.; §2; I. (3)</t>
  </si>
  <si>
    <t>innere Unruhen, wenn VN nicht als Unruhestifter teilnahm</t>
  </si>
  <si>
    <t>AUB; C.; Ziff. 05.4 a) / A.; Erläuterungen und Hinweise</t>
  </si>
  <si>
    <t>AUB; C.; Ziff. 05.2 / A.; Erläuterungen und Hinweise</t>
  </si>
  <si>
    <t>siehe "sonstige Infektionen"</t>
  </si>
  <si>
    <t>AUB; B.; §8</t>
  </si>
  <si>
    <t>AUB; B.; §3</t>
  </si>
  <si>
    <t>AUB; B.; §6</t>
  </si>
  <si>
    <t>AUB; B.; §7; V.</t>
  </si>
  <si>
    <t>max. 100 Tage
(gestaffelt)</t>
  </si>
  <si>
    <t>AUB; B.; §7; V. (1)</t>
  </si>
  <si>
    <t>AUB; B.; §7; V. (2)</t>
  </si>
  <si>
    <t>AUB; B.; §7; V. (3)</t>
  </si>
  <si>
    <t>ambulantes Krankenhaustagegeld</t>
  </si>
  <si>
    <t>x Tagessätze</t>
  </si>
  <si>
    <t>3 Tagessätze,
max. 250 €</t>
  </si>
  <si>
    <t>AUB; B.; §7; VI.</t>
  </si>
  <si>
    <t>AUB; B.; §9; VII.</t>
  </si>
  <si>
    <t>AUB; B.; §7; I. (1)</t>
  </si>
  <si>
    <t>Eintritt: 1 Jahr
ärztliche Feststellung: 24 Monate</t>
  </si>
  <si>
    <t>Eintritt: 24 Monate
ärztliche Feststellung: 24 Monate</t>
  </si>
  <si>
    <t>Eintritt: 2 Jahre
ärztliche Feststellung: 2 Jahre</t>
  </si>
  <si>
    <t>Eintritt: 12 Monate
ärztliche Feststellung: 18 Monate</t>
  </si>
  <si>
    <t>Eintritt: 12 Monate
ärztliche Feststellung: 24 Monate</t>
  </si>
  <si>
    <t>Eintritt: 24 Monate
ärztliche Feststellung: 42 Monate</t>
  </si>
  <si>
    <t>Eintritt: 18 Monate
ärztliche Feststellung: 42 Monate</t>
  </si>
  <si>
    <t>Eintritt: 1 Jahr
ärztliche Feststellung: 3 Jahre</t>
  </si>
  <si>
    <t>Eintritt: 2 Jahre;
ärztliche Feststellung: 3 Jahre</t>
  </si>
  <si>
    <t>Eintritt: 21 Monate
ärztliche Feststellung: 30 Monate</t>
  </si>
  <si>
    <t>Eintritt: 21 Monate
ärztliche Feststellung: 21 Monate</t>
  </si>
  <si>
    <t>Eintritt: 2 Jahre
ärztliche Feststellung: 30 Monate</t>
  </si>
  <si>
    <t>AUB; B.; §1; V.</t>
  </si>
  <si>
    <t>R+V PrivatPolice (classic)
(Stand 07-2012)</t>
  </si>
  <si>
    <t>BB; C.; Ziff. 9</t>
  </si>
  <si>
    <t>BB; C.; Ziff. 10</t>
  </si>
  <si>
    <t>AUB; Ziff. 5.2.7 / BB; C.; Ziff. 1</t>
  </si>
  <si>
    <t>BB; C.; Ziff. 16</t>
  </si>
  <si>
    <t>UNB; Ziff. 2.9.2 / BB; C.; Ziff. 18</t>
  </si>
  <si>
    <t>UNB; Ziff. 2.10.2.1 / BB; C.; Ziff. 19</t>
  </si>
  <si>
    <t>BB; C.; Ziff. 7 / Ziff. 11 / Ziff. 20 / 
Ziff. 22</t>
  </si>
  <si>
    <t>BB; C.; Ziff. 23</t>
  </si>
  <si>
    <t>BB; C.; Ziff. 24</t>
  </si>
  <si>
    <t>BB; C.; Ziff. 25</t>
  </si>
  <si>
    <t>BB; C.; Ziff. 26</t>
  </si>
  <si>
    <t>BB; C.; Ziff. 27</t>
  </si>
  <si>
    <t>BB; C.; Ziff. 29</t>
  </si>
  <si>
    <t>BB; C.; Ziff. 28</t>
  </si>
  <si>
    <t>BB; C.; Ziff. 30</t>
  </si>
  <si>
    <t>R+V PrivatPolice Comfort</t>
  </si>
  <si>
    <t>ab 50% Invalidität:  100% Leistung,
ab 70% Inv.: 200%; ab 90% Inv.: 300%</t>
  </si>
  <si>
    <t>UNB; Ziff. 4</t>
  </si>
  <si>
    <t>AUB 2012
Stand 11-2012</t>
  </si>
  <si>
    <t>BB; B.; Ziff. 2</t>
  </si>
  <si>
    <t>BB; B.; Ziff. 9</t>
  </si>
  <si>
    <t>3 Monate ab Heirat
Inv. - 50.000 €</t>
  </si>
  <si>
    <t>3 Monate ab Heirat
Inv. - 25.000 €</t>
  </si>
  <si>
    <t>ab Geburt bis zum Ende des laufenden Versicherungsjahres
Inv. - 50.000 €
Tod - 5.000 €
Bergungskosten - 10.000 €</t>
  </si>
  <si>
    <t>ab Heirat bis zum Ende des laufenden Versicherungsjahres
Inv. - 50.000 €
Tod - 5.000 €
Bergungskosten - 10.000 €</t>
  </si>
  <si>
    <t>BB; B.; Ziff. 14</t>
  </si>
  <si>
    <t>BB; B.; Ziff. 16.2</t>
  </si>
  <si>
    <t>BB; B.; Ziff. 16.3</t>
  </si>
  <si>
    <t>BB; B.; Ziff. 16.4</t>
  </si>
  <si>
    <t>Verdoppelung des UKHTG
max. 100 Tage</t>
  </si>
  <si>
    <t>BB; B.; Ziff. 16.7</t>
  </si>
  <si>
    <t>BB; B.; Ziff. 16.8</t>
  </si>
  <si>
    <t>BB; B.; Ziff. 16.9</t>
  </si>
  <si>
    <t>BB; B.; Ziff. 16.10</t>
  </si>
  <si>
    <t>BB; B.; Ziff. 16.12</t>
  </si>
  <si>
    <t>BB; B.; Ziff. 16.13</t>
  </si>
  <si>
    <t>ja 
(max. Einwirkung: einige Stunden)</t>
  </si>
  <si>
    <t>AUB; Ziff. 2.5.2.1</t>
  </si>
  <si>
    <t>AUB; Ziff. 2.8.2 / Tarif</t>
  </si>
  <si>
    <t>AUB; Ziff. 2.9.2.1 / Tarif</t>
  </si>
  <si>
    <t>AUB; Ziff. 2.10.2</t>
  </si>
  <si>
    <t>einmalig 1.500 €</t>
  </si>
  <si>
    <t>AUB; Ziff. 4.2</t>
  </si>
  <si>
    <t>AUB; Ziff. 5.1.1 / BB; B.; Ziff. 16.1</t>
  </si>
  <si>
    <t>AUB; Ziff. 5.2.4.2 / BB; B.; Ziff. 16.6</t>
  </si>
  <si>
    <t>Infektionen durch Zeckenstiche
sowie allergische Reaktionen</t>
  </si>
  <si>
    <t>14 Tage</t>
  </si>
  <si>
    <t>versicherbar innerhalb der
Assistance-Leistungen</t>
  </si>
  <si>
    <t>BB; B.; Ziff. 14.3.1</t>
  </si>
  <si>
    <t>Serviceleistungen versicherbar über
Assistance-Leistungen</t>
  </si>
  <si>
    <t>BB; B.; Ziff. 14.3.2</t>
  </si>
  <si>
    <t>Pflegeleistungen versicherbar über
Assistance-Leistungen</t>
  </si>
  <si>
    <t>Kinderbetreuung versicherbar über
Assistance-Leistungen</t>
  </si>
  <si>
    <t>BB; B.; Ziff. 14.3.3</t>
  </si>
  <si>
    <t>BB; B.; Ziff. 13.1.2</t>
  </si>
  <si>
    <t>versicherbar im Rahmen des Reha-Managements; einmalig 250 €</t>
  </si>
  <si>
    <t>-Psychische und nervöse Störungen durch einen Unfall sind versichert
-Hinterbliebenen Betreuung bei Todesfällen durch Unfall sofern Todesfallleistung vereinbart wurde)
-Kosmetische Operation bei Brustkrebs unabhängig von einem Unfall im Rahmen der Entschädigung für kosmetische OP
-Reha-Management versicherbar</t>
  </si>
  <si>
    <t>BB; B.; Ziff. 16.5 / Ziff. 16.11 / Ziff. 13
AUB; Ziff. 2.9.2.2</t>
  </si>
  <si>
    <t>AUB; Ziff. 2.8.2</t>
  </si>
  <si>
    <t>BB; B.; Ziff. 13.3.5.4</t>
  </si>
  <si>
    <t>versicherbar im Rahmen des
Reha-Managements</t>
  </si>
  <si>
    <t>BB. S. 79</t>
  </si>
  <si>
    <t>BB. S. 84</t>
  </si>
  <si>
    <t>BB. S. 70</t>
  </si>
  <si>
    <t>ja 
(auch Schwindel / Ohnmacht)</t>
  </si>
  <si>
    <t>AUB Ziff. 5.1.1 / BB. S. 70</t>
  </si>
  <si>
    <t>bis 1,3‰, auch ärztl. verordnete Me-dikamente(Führen von Kfz bis 0,8‰)</t>
  </si>
  <si>
    <t>BB. S. 67, Ziff. 2.3</t>
  </si>
  <si>
    <t>bis 12.500 € (Zahnbehandlung/-ersatz für Eck-/ Schneidezähne / Reparatur von Zahnprothesen bis 5.000 €)</t>
  </si>
  <si>
    <t>BB. S. 75, Ziff. 2.1</t>
  </si>
  <si>
    <t xml:space="preserve">Rechner + BB S. 80, Ziff. 3.1 </t>
  </si>
  <si>
    <t>BB. S. 66, Ziff. 2</t>
  </si>
  <si>
    <t>BB. S. 67</t>
  </si>
  <si>
    <t>Rechner + BB. S. 68, Ziff. 2.1</t>
  </si>
  <si>
    <t>einmalig max. 1.000 €;
innerhalb max. 3 Jahre ab Unfalltag</t>
  </si>
  <si>
    <t>BB. S. 77, Ziff. 1.</t>
  </si>
  <si>
    <t>max. 6 Monate ab Geburt
Inv. - 60.000 € (Progression 400)
Tod - 5.000 €
Bergungskosten/kosm. OP-10.000 €
KHTG - 20 €</t>
  </si>
  <si>
    <t>BB. S. 79, Ziff. 2.1</t>
  </si>
  <si>
    <t>BB. S. 84; Ziff. 1.1</t>
  </si>
  <si>
    <t>AUB Ziff. 5.2.3</t>
  </si>
  <si>
    <t>AUB 2013
Stand 01-2013</t>
  </si>
  <si>
    <t>HUV 2011
Stand 12-2012</t>
  </si>
  <si>
    <t>Borreliose, Brucellose, Cholera, Diphtherie, Dreitagefieber, echinokokkose, Fleckfieber, Gelbfieber, Gürtelrose, Keuchhusten, Lepra, Masern, Mumps, Paratyphus, Pest, Pfeiffersches Drüsenfieber, Pocken, Röteln, Scharlach, Schlafkrankheit, spinale Kinderlähmung, Tollwut, Tuberkulose, Tularämie, Typhus, Windpocken, Wundstarrkrampf</t>
  </si>
  <si>
    <t>BB I. Ziff. 9 b) / 11 / 12</t>
  </si>
  <si>
    <t>BB I. Ziff. 14</t>
  </si>
  <si>
    <t>BB I. Ziff. 14.1.5</t>
  </si>
  <si>
    <t>BB I. Ziff. 15</t>
  </si>
  <si>
    <t>bis 5.000 €
(auch künstl. Organe)</t>
  </si>
  <si>
    <t>BB I. Ziff. 17</t>
  </si>
  <si>
    <t>BB I. Ziff. 27.1</t>
  </si>
  <si>
    <t>BB I. Ziff. 27.2</t>
  </si>
  <si>
    <t>BB I. Ziff. 29.1</t>
  </si>
  <si>
    <t>ja, auch Medikamente
(Führen von Kfz bis 1,3‰)</t>
  </si>
  <si>
    <t>BB I. Ziff. 29.2 / Ziff. 29.3</t>
  </si>
  <si>
    <t>ja (auch Übermüdung, Schlaftrunkenheit, Einschlafen)</t>
  </si>
  <si>
    <t>Vollwaisenrente: 50-fachen Brutto-prämie, max. 6.000 € pro Jahr / Kind</t>
  </si>
  <si>
    <t>bis 50 € pro ausgefallenem Schultag, max. 100 Tage</t>
  </si>
  <si>
    <t>BB I. Ziff. 13 / Ziff. 24 / Ziff. 30 / 
Ziff. 36
BB II. Ziff. 2 / Ziff. 3</t>
  </si>
  <si>
    <t>BB I. Ziff. 27.3</t>
  </si>
  <si>
    <t>Verdoppelung bis 3 Wochen 
(mit Genesungsgeld 3-facher Satz)</t>
  </si>
  <si>
    <t>HUV Ziff. 11.6.1</t>
  </si>
  <si>
    <t>siehe BB II. Ziff. 6</t>
  </si>
  <si>
    <t>ja
(max. Einwirkung: nicht definiert)</t>
  </si>
  <si>
    <t>Ziff. 2.1.2.1.1 / BB verbesserte Gliedertaxe</t>
  </si>
  <si>
    <t>-
(verbessert: 20%)</t>
  </si>
  <si>
    <t>20%
(verbessert: 25%)</t>
  </si>
  <si>
    <t>40%
(verbessert: 100%)</t>
  </si>
  <si>
    <t>5%
(verbessert: 20%)</t>
  </si>
  <si>
    <t>10%
(verbessert: 20%)</t>
  </si>
  <si>
    <t>30%
(verbessert: 45%)</t>
  </si>
  <si>
    <t>50%
(verbessert: 60%)</t>
  </si>
  <si>
    <t>2%
(verbessert: 10%)</t>
  </si>
  <si>
    <t>-
(verbessert: 75%)</t>
  </si>
  <si>
    <t>5%
(verbessert: 15%)</t>
  </si>
  <si>
    <t>10%
(verbessert: 25%)</t>
  </si>
  <si>
    <t>20%
(verbessert: 35%)</t>
  </si>
  <si>
    <t>AUB 2011
Stand 01-2013</t>
  </si>
  <si>
    <t>Ziff. 4.2</t>
  </si>
  <si>
    <t>zusätzlich  versicherbar ab dem 10. Ausfalltag, max. 1 Jahr</t>
  </si>
  <si>
    <t>Ziff. 2.7</t>
  </si>
  <si>
    <t>Ziff. 2.1.3.7 / Ziff. 2.1.3.7</t>
  </si>
  <si>
    <t>je nach Vereinbarung ab 70% / 90% Invalidität, max. 150.000 €</t>
  </si>
  <si>
    <t>Ziff. 2.24</t>
  </si>
  <si>
    <t>6 Monate ab Geburt 
Inv. - 25.000 € (Modell 1000)
Tod / Übergangsleistung je 1.500 €
kosmet. OP - 5.000; 
Bergung - 100.000 €; UKHT 15 €</t>
  </si>
  <si>
    <t>3 Monate ab Heirat
Inv. - 25.000 € (Modell 1000)
Tod / Übergangsleistung je 1.500 €
kosmet. OP - 5.000; 
Bergung - 100.000 €; UKHT 15 €</t>
  </si>
  <si>
    <t>BBA-Modell 3</t>
  </si>
  <si>
    <t>zusätzlich versicherbar
(max. 5 Jahre)</t>
  </si>
  <si>
    <t>Ziff. 11.6.1</t>
  </si>
  <si>
    <t>Ziff. 2.6.2.2</t>
  </si>
  <si>
    <t>Ziff. 2.4.3</t>
  </si>
  <si>
    <t>Ziff. 2.4.1</t>
  </si>
  <si>
    <t>Ziff. 2.4.5</t>
  </si>
  <si>
    <t>Ziff. 2.5.2</t>
  </si>
  <si>
    <t>Ziff. 2.4.4</t>
  </si>
  <si>
    <t>in Höhe des UKHTG,
max. 2 Jahre</t>
  </si>
  <si>
    <t>70%
(verbessert: 80%)</t>
  </si>
  <si>
    <t>65%
(verbessert: 80%)</t>
  </si>
  <si>
    <t>60%
(verbessert: 80%)</t>
  </si>
  <si>
    <t>55% 
(verbessert: 75%)</t>
  </si>
  <si>
    <t>50%
(verbessert: 80%)</t>
  </si>
  <si>
    <t>45%
(verbessert: 80%)</t>
  </si>
  <si>
    <t>40% 
(verbessert: 70%)</t>
  </si>
  <si>
    <t>Ziff. 2.8.1.4</t>
  </si>
  <si>
    <t>Ziff. 2.8.1.1 + Tarif</t>
  </si>
  <si>
    <t>Ziff. 2.9.2.2 / Tarif</t>
  </si>
  <si>
    <t>Ziff. 2.9.3.10</t>
  </si>
  <si>
    <t>bis 21 Std. Grundpflegeleistungen pro Woche, max. 4 Wochen</t>
  </si>
  <si>
    <t>Ziff. 2.4.6</t>
  </si>
  <si>
    <t>Ziff. 2.2.2</t>
  </si>
  <si>
    <t>sofern vereinbart in Höhe der vereinbarten Übergangsleistung</t>
  </si>
  <si>
    <t>zusätzlich versicherbar (auch Zahnersatz / Zahnbehandlung)</t>
  </si>
  <si>
    <t>zusätzlich versicherbar
bis 5.000 €</t>
  </si>
  <si>
    <t>Ziff. 2.15.2 / Tarif / Rechner</t>
  </si>
  <si>
    <t>Ziff. 2.13.4.1.1</t>
  </si>
  <si>
    <t>zusätzlich versicherbar über 
Reha-Management</t>
  </si>
  <si>
    <t>Ziff. 2.13.4.2.1</t>
  </si>
  <si>
    <t>Ziff. 2.13.4.2.2 / Ziff. 2.13.4.2.3 / Ziff. 2.13.4.2.4</t>
  </si>
  <si>
    <t>Ziff. 2.11.4.1</t>
  </si>
  <si>
    <t>Ziff. 2.11.4</t>
  </si>
  <si>
    <t>nur Zeckenbisse (FSME)</t>
  </si>
  <si>
    <t>Ziff. 2.21 / Ziff. 2.22 / Ziff. 2.9 / 
Ziff. 2.12 / Ziff. 2.13 / Ziff. 2.18 /
Tarif / Leistungsübersicht</t>
  </si>
  <si>
    <t>-keine Gesundheitsfragen und Versicherervoranfragen
-Einmalzahlung bei schwerer Erkrankung versicherbar (bestimmte Krebsformen, Herzinfarkt, Schlaganfall, Nierenversagen, Erblindung)
-diverse ambulante Hilfeleistungen
-Esatz von bei einem Unfall beschädigten Sportgeräten versicherbar
-Reha-Management versicherbar
-Soforthilfe bei Krebserkrankung beim versicherten Kind
-Mahnverfahren / Ermittlung der Anschrift / Ersatz-Versicherungsschein / Vertragsänderung mit Nachtrag 
wird dem VN gesondert in Rechnung gestellt</t>
  </si>
  <si>
    <t>nur Zeckenbisse -
Meningitis, Borreliose</t>
  </si>
  <si>
    <t>AUB; U 100</t>
  </si>
  <si>
    <t>AUB; U 101</t>
  </si>
  <si>
    <t>AUB; U 103</t>
  </si>
  <si>
    <t>AUB; U 104</t>
  </si>
  <si>
    <t>Stoffe, deren Schädlichkeit der 
vers. Person nicht bekannt war</t>
  </si>
  <si>
    <t>AUB; U 300</t>
  </si>
  <si>
    <t>AUB; Ziff. 5.1.1 / U 503 / U 510</t>
  </si>
  <si>
    <t>ja (+ epileptische-/Krampfanfälle, Übermüdung, Schlaftrunkenheit)</t>
  </si>
  <si>
    <t>AUB; U 506</t>
  </si>
  <si>
    <t>AUB; U 218; Ziff. 2 / U 500 /
U 822; Ziff. 11; Ziff. 15
U 103 / U 106 / U 107 / U 504 / U 507 /
U 508</t>
  </si>
  <si>
    <t>AUB; Ziff. 5.1.3 / Ziff. 5.1.3.1 / Ziff. 5.1.3.2 / U 509</t>
  </si>
  <si>
    <t>AUB; U210 / U700</t>
  </si>
  <si>
    <t>21 Tage;
auch Verschollenheit ist versichert</t>
  </si>
  <si>
    <t>AUB; Ziff. 11.7.2</t>
  </si>
  <si>
    <t>AUB; Ziff. 6.3.1</t>
  </si>
  <si>
    <t>Antrag</t>
  </si>
  <si>
    <t>AUB; U 502</t>
  </si>
  <si>
    <t>alle schutzimpfungsfähigen Krankheiten</t>
  </si>
  <si>
    <t>alle schutzimpfungsfähigen Krankheiten 
Bei fehlender oder inaktiver Impfung 50% der vereinbarten Versicherungssumme</t>
  </si>
  <si>
    <t>AUB; Ziff. 5.2.3.1 / U 105</t>
  </si>
  <si>
    <t>Infektionen d. Zeckenbiss + Tollwut/ Wundstarrkrampf / Blutvergiftung</t>
  </si>
  <si>
    <t>AUB; U 216</t>
  </si>
  <si>
    <t>Reha-Geld in Höhe d. vereinbarten
Krankenhaustagegeldes</t>
  </si>
  <si>
    <t>Cosmos Comfort-Schutz</t>
  </si>
  <si>
    <t>Cosmos Comfort-Schutz Plus</t>
  </si>
  <si>
    <t>bis 5.000 € (Zahnersatz/-behandlung v. Schneide-/Eckzähnen; + kieferor-thop. Behandlung 35%, max. 500 €)</t>
  </si>
  <si>
    <t>BB; Ziff. 1.2.1 / PIB</t>
  </si>
  <si>
    <t>Eintritt: 15 Monate
ärztliche Feststellung: 24 Monate</t>
  </si>
  <si>
    <t>BB; Ziff. 5 / 6</t>
  </si>
  <si>
    <t>AUB; Ziff. 5.2.4.2 / BB; Ziff. 5</t>
  </si>
  <si>
    <t>Meningitis, Borreliose durch
Zeckenbiss</t>
  </si>
  <si>
    <t>BB; Ziff. 7 / PIB</t>
  </si>
  <si>
    <t>BB; Ziff. 8 / PIB</t>
  </si>
  <si>
    <t>50 € je Übernachtung,
max. 2 Jahre</t>
  </si>
  <si>
    <t>innerhalb "Unfallassistent"</t>
  </si>
  <si>
    <t>BB; Ziff. 10.2.8</t>
  </si>
  <si>
    <t>Hilfeleistungen innerhalb
"Unfallassistent", max. 4 Wochen</t>
  </si>
  <si>
    <t>BB; Ziff. 12.4 / PIB</t>
  </si>
  <si>
    <t>-Unfall-Assistent (Beratungs-/ Vermittlungsleistungen von Hilfeleistungen und Informationsdienstleistungen - Keine Kostenübernahme bis auf wenige Ausnahmen)
-Kostenübernahme für Unterbringung im Ein- oder Zweibettzimmer oder stattdessen 
15 € UKHTG für jeden Tag
-25% Mehrleistung bei Unfällen in einem bei CosmosDirekt versicherten Pkw</t>
  </si>
  <si>
    <t>BB; Ziff. 10.4 / Ziff. 11
BB f. erhöhte Leistungen bei gleichzeitigem Bestehen einer KH</t>
  </si>
  <si>
    <t>BB f. erhöhte Leistungen bei gleichzeitigem Bestehen einer KH</t>
  </si>
  <si>
    <t>-25% Mehrleistung bei Unfällen in einem bei CosmosDirekt versicherten Pkw</t>
  </si>
  <si>
    <t>BB Bergungskosten 2000 / PIB</t>
  </si>
  <si>
    <t>bis 1,1‰, auch ärztl. verordnete Me-dikamente (Führen v. Kfz bis 0,5‰)</t>
  </si>
  <si>
    <t>AUB; Ziff. 11.2</t>
  </si>
  <si>
    <t>max. 2 Monate rückwirkender Versicherungschutz für Neugeborene</t>
  </si>
  <si>
    <t>AUB; Ziff. 12.7.1</t>
  </si>
  <si>
    <t>AUB; Ziff. 9.5</t>
  </si>
  <si>
    <t>Folgende durch Insektenstiche oder sonstige von Tieren verursachte Hautverletzungen entstandene Infektionen:
Brucelose, Fleckfieber, Gelbfieber, Malaria, Pest, Trypanoso-miasis (Schlafkrankheit), Tularämie (Hasenpest)
Es sind auch versichert:
Tollwut, Wundstarrkrampf und durch Unfall in Körper gelangte Infektionen</t>
  </si>
  <si>
    <t>VGH AUB 2008
(Stand 11-2010)</t>
  </si>
  <si>
    <t>AUB 2008
Stand 11-2010</t>
  </si>
  <si>
    <t>ja (max. Einwirkung: 
kurz bemessener Zeitraum)</t>
  </si>
  <si>
    <t>3 Jahre nach Unfalltag</t>
  </si>
  <si>
    <t>AUB; Ziff. 2.8.3.1 / Versicherungsschein</t>
  </si>
  <si>
    <t>AUB; Ziff. 2.9.2.1 / Versicherungsschein</t>
  </si>
  <si>
    <t>bis 10.000 €  (auch Zahnbehandlung-/ ersatz für Schneide-/ Eckzähne)</t>
  </si>
  <si>
    <t>AUB; Ziff. 2.10.2 / Versicherungsschein</t>
  </si>
  <si>
    <t>unvorhergesehen bis 7 Tage</t>
  </si>
  <si>
    <t>AUB; Ziff. 5.2.4.3</t>
  </si>
  <si>
    <t>Meningitis / Borreliose
durch Zeckenbiss</t>
  </si>
  <si>
    <t>-doppelte Leistung bei Raubüberfall für Invaliditätsleistung, Unfall-Rente, UKHTG/GG, Tod (max. 250.000 €)</t>
  </si>
  <si>
    <t>BB.</t>
  </si>
  <si>
    <t>max. 3 Monate ab Geburt
Inv. - 50.000 € (ohne Progression)
Tod - 10.000 €</t>
  </si>
  <si>
    <t>max. 3 Monate ab Heirat
Inv. - 50.000 € (ohne Progression)
Tod - 10.000 €</t>
  </si>
  <si>
    <t>Ammerländer Exclusiv</t>
  </si>
  <si>
    <t>Ammerländer Excellent</t>
  </si>
  <si>
    <t>ja (auch durch Medikamente)
(Führen von Kfz bis 1,5 ‰)</t>
  </si>
  <si>
    <t>Unfälle als Folge erhöhter Kraftanstrengungen (auch Bauch- und 
Unterleibsbrüche)</t>
  </si>
  <si>
    <t>50 € pro Tag,
max. 10 Tage</t>
  </si>
  <si>
    <t>100 € pro Tag,
max. 10 Tage</t>
  </si>
  <si>
    <t>BB; A.; Ziff. 1</t>
  </si>
  <si>
    <t>BB; A.; Ziff. 2</t>
  </si>
  <si>
    <t>BB; A.; Ziff. 3</t>
  </si>
  <si>
    <t>BB; A.; Ziff. 4.1</t>
  </si>
  <si>
    <t>BB; A.; Ziff. 4.2</t>
  </si>
  <si>
    <t>BB; A.; Ziff. 5</t>
  </si>
  <si>
    <t>Tollwut, Wundstarrkrampf,
Cholera, Diphtherie, Gürtelrose, Keuchhusten, spinale Kinderlähmung, Masern, Mumps, Pfeiffersches Drüsenfieber, Pocken/ Windpocken, Röteln, Scharlach, Tuberkulose, Typhus/ Paratyphus</t>
  </si>
  <si>
    <t>AUB; Ziff. 5.2.4.2 / BB; A.; Ziff. 6.1 b)</t>
  </si>
  <si>
    <t>BB; A.; Ziff. 6.2</t>
  </si>
  <si>
    <t>BB; A.; Ziff. 6.1 a) / Ziff. 6.3 / Ziff. 8</t>
  </si>
  <si>
    <t>ja (auch allergische Reaktionen, Blutvergiftung, Wundinfektionen)</t>
  </si>
  <si>
    <t>BB; A.; Ziff. 6.1 a) / Ziff. 6.3</t>
  </si>
  <si>
    <t>ja (auch durch Medikamente)
(Führen von Kfz bis 1,9 ‰)</t>
  </si>
  <si>
    <t>BB; A.; Ziff. 9.1</t>
  </si>
  <si>
    <t>BB; A.; Ziff. 8.1</t>
  </si>
  <si>
    <t>BB; A.; Ziff. 7 / Ziff. 9.2</t>
  </si>
  <si>
    <t>BB; A.; Ziff. 7 / Ziff. 8.2</t>
  </si>
  <si>
    <t>BB; A.; Ziff. 10</t>
  </si>
  <si>
    <t>BB; A.; Ziff. 11</t>
  </si>
  <si>
    <t>ja, max. 61.500 €</t>
  </si>
  <si>
    <t>BB; A; Ziff. 11 / AUB; Ziff. 17</t>
  </si>
  <si>
    <t>BB; A; Ziff. 12 / AUB; Ziff. 17</t>
  </si>
  <si>
    <t>AUB; Ziff. 7.5 / BB; A; Ziff. 11 / Ziff. 12</t>
  </si>
  <si>
    <t>AUB; Ziff. 7.5 / BB; A; Ziff. 12 / Ziff. 13</t>
  </si>
  <si>
    <t>BB; A.; Ziff. 14</t>
  </si>
  <si>
    <t>BB; A.; Ziff. 13</t>
  </si>
  <si>
    <t>BB; A.; Ziff. 15</t>
  </si>
  <si>
    <t>max. 14 Tage im Ausland (Terror-anschläge auch in Deutschland)</t>
  </si>
  <si>
    <t>BB; A.; Ziff. 17</t>
  </si>
  <si>
    <t>BB; A.; Ziff. 16</t>
  </si>
  <si>
    <t>BB; A.; Ziff. 18</t>
  </si>
  <si>
    <t>BB; A.; Ziff. 19</t>
  </si>
  <si>
    <t>AUB; Ziff. 2.1.1.1 / BB; A.; Ziff. 18</t>
  </si>
  <si>
    <t>BB; A.; Ziff. 20</t>
  </si>
  <si>
    <t>BB; A.; Ziff. 21</t>
  </si>
  <si>
    <t>BB; A.; Ziff. 22</t>
  </si>
  <si>
    <t>BB; B.; Ziff. 23</t>
  </si>
  <si>
    <t>BB; B.; Ziff. 22</t>
  </si>
  <si>
    <t>Verlust: 85%
Funktionsunfähigkeit: 80%</t>
  </si>
  <si>
    <t>Verlust: 15%
Funktionsunfähigkeit: 10%</t>
  </si>
  <si>
    <t>Verlust: 8%
Funktionsunfähigkeit: 5%</t>
  </si>
  <si>
    <t>Verlust: 60%
Funktionsunfähigkeit: 50%</t>
  </si>
  <si>
    <t>BB; B.; Ziff. 27</t>
  </si>
  <si>
    <t>BB; B.; Ziff. 26</t>
  </si>
  <si>
    <t>BB; B.; Ziff. 28</t>
  </si>
  <si>
    <t>im Rahmen der Kurkostenbeihilfe
für teilstationäre Reha</t>
  </si>
  <si>
    <t>BB; B.; Ziff. 29</t>
  </si>
  <si>
    <t>bis 50.000 € (auch Zahnarzt/ -behandlungskosten für Schneide-/ Eckzähne)</t>
  </si>
  <si>
    <t>bis 10.000 € (auch Zahnarzt/ -behandlungskosten für Schneide-/ Eckzähne)</t>
  </si>
  <si>
    <t>BB; B.; Ziff. 31</t>
  </si>
  <si>
    <t>BB; B.; Ziff. 29.1 c)</t>
  </si>
  <si>
    <t>BB; B.; Ziff. 31.1 c)</t>
  </si>
  <si>
    <t>BB; B.; Ziff. 32</t>
  </si>
  <si>
    <t>BB; B.; Ziff. 30</t>
  </si>
  <si>
    <t>BB; B.; Ziff. 34</t>
  </si>
  <si>
    <t>15 € pro Tag</t>
  </si>
  <si>
    <t>BB; B.; Ziff. 34.1</t>
  </si>
  <si>
    <t>BB; B.; Ziff. 34.2</t>
  </si>
  <si>
    <t>15 € pro Tag,
max. 2 Jahre ab Unfalltag</t>
  </si>
  <si>
    <t>BB; B.; Ziff. 35.1</t>
  </si>
  <si>
    <t>BB; B.; Ziff. 33.1</t>
  </si>
  <si>
    <t>BB; B.; Ziff. 35.2 / Ziff. 38</t>
  </si>
  <si>
    <t>BB; B.; Ziff. 33.2 / Ziff. 36</t>
  </si>
  <si>
    <t>1.-100. Tag: 100%; 101.-200. Tag: 50%
201.-500. Tag: 25% (+ bei Tod im KH)</t>
  </si>
  <si>
    <t>1.-100. Tag: 100%; 101.-200. Tag: 50%
(auch bei Tod im Krankenhaus)</t>
  </si>
  <si>
    <t>BB; B.; Ziff. 33.3</t>
  </si>
  <si>
    <t>BB; B.; Ziff. 35.3</t>
  </si>
  <si>
    <t>BB; B.; Ziff. 36</t>
  </si>
  <si>
    <t>2 Tagessätze im Rahmen des UKHTG für ambulante Operationen</t>
  </si>
  <si>
    <t>BB; B.; Ziff. 40</t>
  </si>
  <si>
    <t>250 € Schmerzensgeld</t>
  </si>
  <si>
    <t>BB; B.; Ziff. 35</t>
  </si>
  <si>
    <t>BB; B.; Ziff. 37</t>
  </si>
  <si>
    <t>BB; B.; Ziff. 40.4</t>
  </si>
  <si>
    <t>BB; B.; Ziff. 43.4</t>
  </si>
  <si>
    <t>BB; C.; Ziff. 41</t>
  </si>
  <si>
    <t>BB; C.; Ziff. 44</t>
  </si>
  <si>
    <t>ab Heirat bis zur nächsten Hauptfälligkeit
Inv. - 30.000 €</t>
  </si>
  <si>
    <t>ab Heirat bis zur nächsten Hauptfälligkeit
Inv. - 50.000 €</t>
  </si>
  <si>
    <t>BB; C.; Ziff. 47</t>
  </si>
  <si>
    <t>BB; D.; Ziff. 48</t>
  </si>
  <si>
    <t>BB; D.; Ziff. 45</t>
  </si>
  <si>
    <t>bis 1 Jahr ab Geburt
Inv. - 50.000 €</t>
  </si>
  <si>
    <t>bis 1 Jahr ab Geburt
Inv. - 40.000 €</t>
  </si>
  <si>
    <t>BB; D.; Ziff. 46</t>
  </si>
  <si>
    <t>BB; D.; Ziff. 49</t>
  </si>
  <si>
    <t>BB; D.; Ziff. 52</t>
  </si>
  <si>
    <t>BB; A.; Ziff. 9 / Ziff. 11 / Ziff. 15 / 
Ziff. 20 /
BB; B.; Ziff. 26 / Ziff. 37 / Ziff. 38 /
Ziff. 39 /
BB; D.; Ziff. 45 / Ziff. 47 / Ziff. 49</t>
  </si>
  <si>
    <t>BB; A.; Ziff. 10 / Ziff. 12 / Ziff. 16 /
Ziff. 21 /
BB; B.; Ziff. 27 / Ziff. 30 / Ziff. 31.1 d) /
Ziff. 39 / Ziff. 41 / Ziff. 42 /
BB; D.; Ziff. 48 / Ziff. 50 / Ziff. 51 /
Ziff. 53</t>
  </si>
  <si>
    <t>BB; D.; Ziff. 50</t>
  </si>
  <si>
    <t>BB; D.; Ziff. 54</t>
  </si>
  <si>
    <t>BB; D.; Ziff. 51</t>
  </si>
  <si>
    <t>BB; D.; Ziff. 55</t>
  </si>
  <si>
    <t>30 € je Tag, max. 3.000 € (wenn Eltern Kind nicht betreuen können (Unfall))</t>
  </si>
  <si>
    <t>BB; D.; Ziff. 56</t>
  </si>
  <si>
    <t>AUB; Ziff. 2.4.5</t>
  </si>
  <si>
    <t>BB; A.; Ziff. 6.1 b)</t>
  </si>
  <si>
    <t>VdVA Classic</t>
  </si>
  <si>
    <t>VdVA Exclusiv</t>
  </si>
  <si>
    <t>Gesundheitsschädigungen durch Gase und Dämpfe</t>
  </si>
  <si>
    <t>bis 50 € pro Tag,
max. 30 Tage</t>
  </si>
  <si>
    <t>ja, für Kinder bis 18 Jahre
(nicht Alkohol)</t>
  </si>
  <si>
    <t>unvorhergesehen bis 14 Tage 
(auch gewalt. Auseinandersetzung)</t>
  </si>
  <si>
    <t>UB 2013 Exclusiv
Stand 12-2012</t>
  </si>
  <si>
    <t>UB 2013 Classic
Stand 12-2012</t>
  </si>
  <si>
    <t>UB; §1; II. / Infektionsklausel I. B.</t>
  </si>
  <si>
    <t>UB; §1; II. / Infektionsklausel I. A.</t>
  </si>
  <si>
    <t>UB; §1; II. / §2; II.; Ziff. 3 / Infektionsklausel I. B.</t>
  </si>
  <si>
    <t>UB; §1; II. / §2; II.; Ziff. 3 / Infektionsklausel I. A.</t>
  </si>
  <si>
    <t>Tollwut, Wundstarrkrampf,
Brucellose, Cholera, Diphtherie, Dreitagefieber, epidemische Kinderlähmung (Poliomyelitis), Fleckfieber, FSME, Zeckenenzephalitis, Gelbfieber, Genickstarre, Keuchhusten, Lepra, Malaria, Pest, Pocken, Scharlach, Schlaf-/ Tsetse-Krankheit, Tularämie (Hasenpest), Typhus/ Paratyphus, Windpocken, Borreliose</t>
  </si>
  <si>
    <t>Tollwut, Wundstarrkrampf
sowie bei einer Invalidität &gt; 20%:
Brucellose, Cholera, Diphtherie, Dreitagefieber, epidemische Kinderlähmung (Poliomyelitis), Fleckfieber, FSME, Zeckenenzephalitis, Gelbfieber, Genickstarre, Keuchhusten, Lepra, Malaria, Pest, Pocken, Scharlach, Schlaf-/ Tsetse-Krankheit, Tularämie (Hasenpest), Typhus/ Paratyphus, Windpocken, Borreliose</t>
  </si>
  <si>
    <t>Anlage; VIII. / IX.</t>
  </si>
  <si>
    <t>sofern vereinbart ab 70% o. 90% Inv. doppelte Leistung, max. 300.000 €</t>
  </si>
  <si>
    <t>UB; §1; III.</t>
  </si>
  <si>
    <t>UB; §1; IV.</t>
  </si>
  <si>
    <t>UB; §1; V.</t>
  </si>
  <si>
    <t>ja (sofern mind. 5% 
Invaliditätsgrad erreicht wird)</t>
  </si>
  <si>
    <t>UB; §1; IV.; Ziff. 4</t>
  </si>
  <si>
    <t>UB; §1; IV.; Ziff. 5</t>
  </si>
  <si>
    <t>ja 
(allmähliche Einwirkung)</t>
  </si>
  <si>
    <t>ja (auch epileptische Anfälle und Krampfanfälle)</t>
  </si>
  <si>
    <t>UB; §1; VI. / §2; I.; Ziff. 1</t>
  </si>
  <si>
    <t>UB; §2; I.; Ziff. 1</t>
  </si>
  <si>
    <t>ja, auch durch Medikamente
(Führen von Kfz bis 1,3‰)</t>
  </si>
  <si>
    <t>ja, auch durch Medikamente
(Führen von Kfz bis 1,5‰)</t>
  </si>
  <si>
    <t>ja,
(Führen von Kfz bis 1,3‰)</t>
  </si>
  <si>
    <t>UB; §1; IV.; Ziff. 3 / §2; I.; Ziff. 3</t>
  </si>
  <si>
    <t>UB; §2; II.; Ziff. 1</t>
  </si>
  <si>
    <t>Laser-/Maserstrahlen,energiereiche Strahlen bis 100 Elektronen-Volt</t>
  </si>
  <si>
    <t>UB; Infektionsklausel; I. b)</t>
  </si>
  <si>
    <t>UB; §2; II.; Ziff. 4</t>
  </si>
  <si>
    <t>UB; §6; I.</t>
  </si>
  <si>
    <t>UB; §7; I.; Ziff. 1</t>
  </si>
  <si>
    <t>UB; §7; I.; Ziff. 2</t>
  </si>
  <si>
    <t>UB; §7; III.</t>
  </si>
  <si>
    <t>bis 10% der VS;
max. 10.000 €</t>
  </si>
  <si>
    <t>bis 10% der VS;
max. 5.000 €</t>
  </si>
  <si>
    <t>UB; §7; V.; Ziff. 1</t>
  </si>
  <si>
    <t>in Sanatorien 50% des versicherten UKHTG, max. 60 Tage</t>
  </si>
  <si>
    <t>UB; §7; V.; Ziff. 2</t>
  </si>
  <si>
    <t>UB; §7; V.; Ziff. 3</t>
  </si>
  <si>
    <t>UB; §7; VI.; Ziff. 1</t>
  </si>
  <si>
    <t>bis 20.000 € (auch Zahnersatz-/ Zahnbehandlungskosten für Schneide-/Eckzähne)</t>
  </si>
  <si>
    <t>UB; §7; IX.; Ziff. 4</t>
  </si>
  <si>
    <t>UB; §7; IX.; Ziff. 1 d)</t>
  </si>
  <si>
    <t>UB; §7; IX.; Ziff. 1 f)</t>
  </si>
  <si>
    <t>UB; §7; XI.</t>
  </si>
  <si>
    <t>UB; §7; XII.</t>
  </si>
  <si>
    <t>bis 10% der VS, 
max. 10.000 €</t>
  </si>
  <si>
    <t>UB; §7; XII. / XIII.</t>
  </si>
  <si>
    <t>UB; §7; XIV.</t>
  </si>
  <si>
    <t>ab 22. Tag: UKHTG, max. 50 € pro Tag, max. 100 Tage (Kind &lt;14 Jahre)</t>
  </si>
  <si>
    <t>UB; §7; XV.</t>
  </si>
  <si>
    <t>UB; §7; XVI.</t>
  </si>
  <si>
    <t>ab Geburt für das erste Lebensjahr
Invalidität - 30% der Invaliditätsgrundsumme des Elternteils, max. 50.000 €)</t>
  </si>
  <si>
    <t>UB; §7; XVII.</t>
  </si>
  <si>
    <t>UB; §7; XVIII.</t>
  </si>
  <si>
    <t>ab 22. Ausfalltag pro Tag das vereinbarte UKHTG, max. 3.000 €</t>
  </si>
  <si>
    <t>UB; §8</t>
  </si>
  <si>
    <t>UB; §9; I.</t>
  </si>
  <si>
    <t>UB; §9; VII.</t>
  </si>
  <si>
    <t>UB; §2; I.; Ziff. 2 /
§9; IV. /
§18</t>
  </si>
  <si>
    <t>-Minderjährige/ Entmündigte beim Fahren ohne Fahrerlaubnis
-Nicht konkret nachgewiesener Verdienstausfall bei Selbstständigen aufgrund vom Versicherer veranlasster Untersuchung bis 1,5‰ der Invaliditätsgrundsumme, max. 200 €
-Versehensklausel bei Obliegenheitsverletzungen</t>
  </si>
  <si>
    <t>UB; §17; IV.</t>
  </si>
  <si>
    <t xml:space="preserve"> bei einer Invalidität &gt; 20%</t>
  </si>
  <si>
    <t>Eintritt: 1 Jahr
ärztliche Feststellung: 21 Monate</t>
  </si>
  <si>
    <t>UB; §7; VIII.; Ziff. 1 / Ziff. 4</t>
  </si>
  <si>
    <t>bis 10.000 € (auch Zahnersatz-/ Zahnbehandlungskosten für Schneide-/Eckzähne)</t>
  </si>
  <si>
    <t>bis 10% der VS, max. 5.000 € 
(keine Umschulung)</t>
  </si>
  <si>
    <t>UB; §7; XIII.</t>
  </si>
  <si>
    <t>UB; §20</t>
  </si>
  <si>
    <t>ja
(auch allergische Reaktionen)</t>
  </si>
  <si>
    <t>Annahmerichtlinien; Ziff. 9.1 b)</t>
  </si>
  <si>
    <t>-Unfall-Schutzbrief mit umfangreichen Leistungen versicherbar
-Kitesurfen ist versichert, sofern dafür nach deutschem Recht keine Erlaubnis benötigt wird</t>
  </si>
  <si>
    <t>BB; Ziff. 1.1.5 / Ziff. 2.9.5 / Ziff. 2.11.3 / Ziff. 4.4 / Ziff. 5.2 / Ziff. 7.1 /
AUB; Ziff. 4.1.4</t>
  </si>
  <si>
    <t>AUB; Ziff. 5.1.4</t>
  </si>
  <si>
    <t>wie 12-2012</t>
  </si>
  <si>
    <t>AUB Top 2012
Stand 03-2013</t>
  </si>
  <si>
    <t>wie 07-2012</t>
  </si>
  <si>
    <t>KT2012U
Stand 01-2013</t>
  </si>
  <si>
    <t>wie 10-2012</t>
  </si>
  <si>
    <t>Interrisk XL (Plus-Taxe)
(Stand 07-2011)</t>
  </si>
  <si>
    <t>Interrisk XXL (Maxi-Taxe)
(Stand 07-2011)</t>
  </si>
  <si>
    <t>Janitos Balance
(Stand 04-2011)</t>
  </si>
  <si>
    <t>Prokundo ExklusivPaket
(Stand 08-2012)</t>
  </si>
  <si>
    <t>Prokundo Komfort
(Stand 08-2012)</t>
  </si>
  <si>
    <t>SLP Primus
(Stand 04-2012)</t>
  </si>
  <si>
    <t>SLP Primus Plus
(Stand 04-2012)</t>
  </si>
  <si>
    <t>B18; §1, Ziff. 2 a)</t>
  </si>
  <si>
    <t>B18; §1, Ziff. 2 b)</t>
  </si>
  <si>
    <t>B18; §1, Ziff. 2 c)</t>
  </si>
  <si>
    <t>B18; §1, Ziff. 2 d)</t>
  </si>
  <si>
    <t>B18; §1, Ziff. 3.3</t>
  </si>
  <si>
    <t>B18; §1, Ziff. 3.2 / Ziff. 3.4 / verbindliche Erläuterungen zu §1, Ziff. 3</t>
  </si>
  <si>
    <t>(als vers. Ereignis gilt Ausbruch d. Krankheit (erstmalige ärztliche Diagnose - 3 Monate Wartezeit)
Tollwut, Wundstarrkrampf, 
Borreliose, Brucellose, Cholera, Diphtherie, Dreitagefieber, Echinokokkose, Fleckfieber, Gelbfieber, Gürtelrose, Keuchhusten, Lepra, Malaria, Masern, Mumps, Paratyphus, Pest, Pfeiffersches Drüsenfieber, Pocken, Röteln, Scharlach, Schlafkrankheit, spinale Kinderlähmung, Tuberkulose, Tularämie, Typhus, Windpocken</t>
  </si>
  <si>
    <t>B18; §1, Ziff. 3 / verbindliche Erläuterungen zu §1, Ziff. 3</t>
  </si>
  <si>
    <t>verbindliche Erläuterungen zu §1, Ziff. 1</t>
  </si>
  <si>
    <t>ja 
(max. Einwirkung: 7 Tage)</t>
  </si>
  <si>
    <t>ja, soweit Schädlichkeit der Person nicht bewusst war</t>
  </si>
  <si>
    <t>ja (weitere Bewusstseinsstörungen 
sind versichert)</t>
  </si>
  <si>
    <t>unvorhergesehen bis 14 Tage (auch gewalt. Auseinandersetzung/Terror)</t>
  </si>
  <si>
    <t>B18; §2 / verbindliche Erläuterungen zu §2</t>
  </si>
  <si>
    <t>B18; §3, Ziff. 1.1 / verbindliche Erläuterungen zu §1, Ziff. 1 / zu §3, Ziff. 1.1</t>
  </si>
  <si>
    <t>B18; §3, Ziff. 2.1 / verbindliche Erläuterungen zu §1, Ziff. 1</t>
  </si>
  <si>
    <t>B18; §4, Ziff. 3</t>
  </si>
  <si>
    <t>B18; §4, Ziff. 6 / Ziff. 7 / Ziff. 14.2 b)</t>
  </si>
  <si>
    <t>B18; §4, Ziff. 14.2</t>
  </si>
  <si>
    <t>Hilfeleistungen durch vom VR be-auftragte qualifizierte Dienstleister</t>
  </si>
  <si>
    <t>B18; §4, Ziff. 10</t>
  </si>
  <si>
    <t>B18; §4, Ziff. 11</t>
  </si>
  <si>
    <t>B18; §4, Ziff. 13 / Ziff. 23</t>
  </si>
  <si>
    <t>B18; §4, Ziff. 15</t>
  </si>
  <si>
    <t>B18; §4, Ziff. 9 / Ziff. 16 / Ziff. 18</t>
  </si>
  <si>
    <t>B18; §4, Ziff. 9 / Ziff. 16 / Ziff. 17 / Ziff. 18</t>
  </si>
  <si>
    <t>B18; §4, Ziff. 20</t>
  </si>
  <si>
    <t>B18; §4, Ziff. 21 / Ziff. 22</t>
  </si>
  <si>
    <t>20.000 € (+Erhöhung bei erstmaligem Bau/Erwerb von Wohneigentum)</t>
  </si>
  <si>
    <t>B18; §4, Ziff. 24</t>
  </si>
  <si>
    <t>B18; §4, Ziff. 26</t>
  </si>
  <si>
    <t>B18; §5, Ziff. 1</t>
  </si>
  <si>
    <t>Ab Heirat für 3 Monate
Inv. - 100.000 € (ohne Progression)
Tod - 10.000 €
UKHT/GG - 20 €</t>
  </si>
  <si>
    <t>B18; §5, Ziff. 2.2</t>
  </si>
  <si>
    <t>B18; §5, Ziff. 3.1</t>
  </si>
  <si>
    <t>B18; §5, Ziff. 3.2</t>
  </si>
  <si>
    <t>B18; §6, Ziff. 2 / verbindliche Erläuterungen zu §8</t>
  </si>
  <si>
    <t>Klausel 0652, Ziff. 2 a) / Klausel 0651, Ziff. 2 a)</t>
  </si>
  <si>
    <t xml:space="preserve"> Klausel 0651, Ziff. 2 a) / Klausel 0652, Ziff. 2 a)</t>
  </si>
  <si>
    <t>verbindliche Erläuterungen zu §1, Ziff. 2 / Leistungsübersicht</t>
  </si>
  <si>
    <t>verbindliche Erläuterungen zu §2</t>
  </si>
  <si>
    <t>verbindliche Erläuterungen zu §2 / zu §3, Ziff. 1.2</t>
  </si>
  <si>
    <t>B01; §16</t>
  </si>
  <si>
    <t>B18; §9, Ziff. 2.1</t>
  </si>
  <si>
    <t>Klausel 0650 / Klausel 0651 / Klausel 0652, Ziff. 1 a) / b)</t>
  </si>
  <si>
    <t>Klausel 0728</t>
  </si>
  <si>
    <t>B18; §4, Ziff. 4</t>
  </si>
  <si>
    <t>ja (+zusätzliche Übernachtungs-/Ver-pflegungskosten bis 300 € / Person)</t>
  </si>
  <si>
    <t>Klausel 0729 / Klausel 0730 / Klausel 0731, Ziff. 2</t>
  </si>
  <si>
    <t>Klausel 0729 / Klausel 0730 / Klausel 0731, Ziff. 3</t>
  </si>
  <si>
    <t>Klausel 0730 / Klausel 0731, Ziff. 4</t>
  </si>
  <si>
    <t>Klausel 0729, Ziff. 4 / Klausel 0730 / Klausel 0731, Ziff. 5</t>
  </si>
  <si>
    <t>Klausel 0729 / Klausel 0730 / Klausel 0731, Ziff. 1</t>
  </si>
  <si>
    <t>B17; §1, Ziff. 2.2 a)</t>
  </si>
  <si>
    <t>B17; §1, Ziff. 2.2 b)</t>
  </si>
  <si>
    <t>B17; §1, Ziff. 2.2 c)</t>
  </si>
  <si>
    <t>B17; §3, Ziff. 1.1 c) / verbindliche Erläuterungen zu §3, Ziff. 1.1</t>
  </si>
  <si>
    <t>ja (auch durch Übermüdung/ Erschrecken)</t>
  </si>
  <si>
    <t>B17; §3, Ziff. 1.1 a) / b) / verbindliche Erläuterungen zu §3, Ziff. 1.1 / Ziff. 1.3</t>
  </si>
  <si>
    <t>5 Jahre nach Unfallereignis,
max. 1.000 Tage</t>
  </si>
  <si>
    <t>max. 2 Monate (Anzeige nur nach Rückfrage des Versicherers nötig)</t>
  </si>
  <si>
    <t>bei Nachweis eines Versehens,
max. 2 Monate</t>
  </si>
  <si>
    <t>B17; §6, Ziff. 2 / verbindliche Erläuterungen zu §8</t>
  </si>
  <si>
    <t>B17; §2 / verbindliche Erläuterungen zu §2</t>
  </si>
  <si>
    <t>B17; §4, Ziff. 11</t>
  </si>
  <si>
    <t>B17; §4, Ziff. 7</t>
  </si>
  <si>
    <t>B17; §4, Ziff. 15</t>
  </si>
  <si>
    <t>B17; §4, Ziff. 14</t>
  </si>
  <si>
    <t>B17; §4, Ziff. 13</t>
  </si>
  <si>
    <t>B17; §4, Ziff. 12</t>
  </si>
  <si>
    <t>ab Pflegestufe II 15 € je Tag; 
max. 1 Jahr</t>
  </si>
  <si>
    <t>B17; §4, Ziff. 8</t>
  </si>
  <si>
    <t>30 € pro Tag, 
max. 3 Jahre</t>
  </si>
  <si>
    <t>15 € pro Tag, 
max. 1 Jahr</t>
  </si>
  <si>
    <t>B17; §4, Ziff. 3</t>
  </si>
  <si>
    <t>B17; §4, Ziff. 4 / Ziff. 5</t>
  </si>
  <si>
    <t>B17; §4, Ziff. 6</t>
  </si>
  <si>
    <t>B17; §4, Ziff. 10 a)</t>
  </si>
  <si>
    <t>B17; §4, Ziff. 10 b) / c)</t>
  </si>
  <si>
    <t>bis 25.000 € im Rahmen der med. Rehabilitation (auch Blindenhund)</t>
  </si>
  <si>
    <t>B17; §5, Ziff. 2.2</t>
  </si>
  <si>
    <t>B17; §5, Ziff. 3.2</t>
  </si>
  <si>
    <t>B17; §5, Ziff. 1</t>
  </si>
  <si>
    <t>bis 1 Jahr ab Geburt 
Inv. - 100.000 € (ohne Progression)
Tod - 10.000 €
UKHT/GG - 20 € / Einschluss 
ohne Gesundheitsprüfung</t>
  </si>
  <si>
    <t>bis 1 Jahr ab Geburt 
(auch für ungeborene Kinder)
Inv. - 100.000 € (ohne Progression)
Tod - 10.000 €  / UKHT/GG - 20 € /Ein- schluss ohne Gesundheitsprüfung)</t>
  </si>
  <si>
    <t>B17; §4, Ziff. 17</t>
  </si>
  <si>
    <t>Vollwaisenrente bis 6.000 € / Jahr, 
bis Jahr der Vollendung des 18. Lj.</t>
  </si>
  <si>
    <t>Vollwaisenrente bis 8.000 € / Jahr, 
bis Jahr der Vollendung des 18. Lj.</t>
  </si>
  <si>
    <t>B17; §5, Ziff. 3.1</t>
  </si>
  <si>
    <t>B17; §9, Ziff. 2.1</t>
  </si>
  <si>
    <t>ja (+ bei geringfügige Hautverletz-ungen innerhalb von 4 Wochen)</t>
  </si>
  <si>
    <t>B17; §7, Ziff. 1 / §1, Ziff. 3 d)</t>
  </si>
  <si>
    <t>B18; §7, Ziff. 1 / §1, Ziff. 3.4 d)</t>
  </si>
  <si>
    <t xml:space="preserve"> B17; §3, Ziff. 1.2 / verbindliche Erläuterungen zu §1, Ziff. 1.1 / zu §3, Ziff. 1.2</t>
  </si>
  <si>
    <t xml:space="preserve"> B17; §3, Ziff. 2.1 / verbindliche Erläuterungen zu §1, Ziff. 1.1</t>
  </si>
  <si>
    <t>B17; §1, Ziff. 3 b)</t>
  </si>
  <si>
    <t>Impfungen gegen durch Insekten/ Tiere übertragbare Infektionen</t>
  </si>
  <si>
    <t>B17; §1, Ziff. 3 a) / c) / verbindliche Erläuterungen zu §1, Ziff. 3</t>
  </si>
  <si>
    <t>B17; §1, Ziff. 3 c) / e)</t>
  </si>
  <si>
    <t>B01; §6, Ziff. 1.2 /
verb. Erläuterungen zu §3, Ziff. 1.3 / zu §3, Ziff. 1.4 / zu §3, Ziff. 1.5 / zu §3, Ziff. 2.3 / zu §3, Ziff. 2.4 / 
§7; Ziff. 1 / Ziff. 3 / Ziff. 4 /
§9, Ziff. 2.3 /
Klausel 0728</t>
  </si>
  <si>
    <t xml:space="preserve">-nicht konkret nachgewiesener Vierdienstausfall bei Selbstständigen infolge vom VR veranlasster ärztlicher Untersuchung i.H.v. 2‰ der Invaliditätsgrundsumme oder eines Bruttojahresbeitrags, max. 1.000 €
-keine Operationspflicht
-keine Pflicht zur pauschalen Auskunftsermächtigung
-Vorschuss auf Invaliditätsleistung auch ohne vereinbarte Todesfallleistung
-Kein Einwand von Geistes- oder Bewusstseinsstörung bei Unfalltod </t>
  </si>
  <si>
    <t>B01; §6, Ziff. 1.2 /
verb. Erläuterungen zu §1, Ziff. 2 / zu §3, Ziff. 1.2, Ziff. 1.3, Ziff. 1.4, Ziff. 2.3, Ziff. 2.4 /
B18; §4, Ziff. 5 / Ziff. 8 / Ziff. 12 / Ziff. 16/ Ziff. 19 /
§7, Ziff. 1 / Ziff. 4 /
§9, Ziff. 2.2 /
Klausel 0728</t>
  </si>
  <si>
    <t>B17; §1, Ziff. 2.1 / verbindliche Erläuterungen zu §1, Ziff. 2</t>
  </si>
  <si>
    <t>7 Tage ab Kenntnisnahme</t>
  </si>
  <si>
    <t>Prokundo Unfall</t>
  </si>
  <si>
    <t>AUB 2012
Stand 02-2013</t>
  </si>
  <si>
    <t>BB; Ziff. 1</t>
  </si>
  <si>
    <t>BB; Ziff. 7</t>
  </si>
  <si>
    <t>ja, für Kinder bis 14 Jahre
(keine Nahrungsmittel)</t>
  </si>
  <si>
    <t>Außerkraftsetzung für
max. 1 Jahr (keine Leistung)</t>
  </si>
  <si>
    <t>AUB; Ziff. 5.1.3 / BB; Ziff. 19</t>
  </si>
  <si>
    <t>nur im Ausland bis 7 Tage, soweit unvorhergesehen (+Terroranschlag)</t>
  </si>
  <si>
    <t>7 Tage nach Kenntnisnahme</t>
  </si>
  <si>
    <t>BB; Ziff. 3 / Ziff. 12 / Ziff. 23</t>
  </si>
  <si>
    <t>AUB; Ziff. 2.9.2</t>
  </si>
  <si>
    <t>AUB; Ziff. 2.7.2.2 / Leistungsübersicht</t>
  </si>
  <si>
    <t>AUB; Ziff. 5.2.4.2 / BB; Ziff. 6</t>
  </si>
  <si>
    <t>ja, auch Wundinfektionen
(nicht durch Insekten/Spinnentiere)</t>
  </si>
  <si>
    <t>AUB 2008 SLP Primus
Stand 12-2012</t>
  </si>
  <si>
    <t>AUB 2008 SLP Primus Plus
Stand 12-2012</t>
  </si>
  <si>
    <t>VHV Klassik Garant</t>
  </si>
  <si>
    <t>VHV Klassik Garant Exklusiv</t>
  </si>
  <si>
    <t>12%
(Kleiner Finger: 7%)</t>
  </si>
  <si>
    <t>BBU; Ziff. 2.1</t>
  </si>
  <si>
    <t>Reduzierung der VS
nach 6 Monaten</t>
  </si>
  <si>
    <t>BBU; Ziff. 3.1</t>
  </si>
  <si>
    <t>BBU; Ziff. 2.6</t>
  </si>
  <si>
    <t>BBU; Ziff. 2.5.2</t>
  </si>
  <si>
    <t>BBU; Ziff. 5.8</t>
  </si>
  <si>
    <t>BBU; Ziff. 4.1</t>
  </si>
  <si>
    <t>bis 1 Jahr ab Geburt
Inv. - 25.000 € (ohne Progression)</t>
  </si>
  <si>
    <t>BBU; Ziff. 4.2</t>
  </si>
  <si>
    <t>ab Heirat bis zur nächsten Hauptfälligkeit
Inv. - 100.000 € (ohne Progression)
Tod - 10.000 €
UKHTG / GG - 20 €</t>
  </si>
  <si>
    <t>ab Heirat bis zur nächsten Hauptfälligkeit
Inv. - 25.000 € (ohne Progression)</t>
  </si>
  <si>
    <t>ja (auch Wundinfektionen / Blutvergiftungen)</t>
  </si>
  <si>
    <t>BBU; Ziff. 2.4.2</t>
  </si>
  <si>
    <t>100 € pro Tag, max. 30 Tage (wenn Kind unter 14 Jahre im Haushalt lebt)</t>
  </si>
  <si>
    <t>BBU; Ziff. 1.3.1.4 / Ziff. 2.10.2</t>
  </si>
  <si>
    <t>BBU; Ziff. 2.10.2</t>
  </si>
  <si>
    <t>BBU; Ziff. 2.3.2</t>
  </si>
  <si>
    <t>bis 30.000 €
(auch Zahnbehandlung/ Zahnersatz)</t>
  </si>
  <si>
    <t>BBU; Ziff. 1.1.1.4</t>
  </si>
  <si>
    <t>BBU; Ziff. 1.1.2</t>
  </si>
  <si>
    <t>BBU; Ziff. 3.11 / Ziff. 3.13</t>
  </si>
  <si>
    <t>ja, auch durch Medikamente
(Führen von Kfz bis 1,1‰)</t>
  </si>
  <si>
    <t>BBU; Ziff. 1.4 / Ziff. 3.4 / Ziff. 3.14 / Ziff. 3.15 / Ziff. 3.16 / Ziff. 3.17 /
ZB; EASY CARE</t>
  </si>
  <si>
    <t>ZB; Ziff. 1 / Ziff. 3.5
BBU; Ziff. 1.4 / Ziff. 3.4 / Ziff. 3.14 / Ziff. 3.15 / Ziff. 3.16 / Ziff. 3.17 /
ZB; EASY CARE</t>
  </si>
  <si>
    <t>Janitos Best Selection</t>
  </si>
  <si>
    <t>entfällt (bei erhöhter Kraftanstreng-ung/ Eigenbewegungen: ab 75%)</t>
  </si>
  <si>
    <t>ja (bei erhöhter Kraftanstrengung/ Eigenbewegungen: bei Mwa. &lt; 75%)</t>
  </si>
  <si>
    <t>Schutzimpfungen gegen 
versicherte Infektionen</t>
  </si>
  <si>
    <t>bis 60.000 €</t>
  </si>
  <si>
    <t>bis 60.000 €
(auch Zahnersatz)</t>
  </si>
  <si>
    <t>40 € pro Tag,
max. 100 Tage</t>
  </si>
  <si>
    <t>20.000 € (bei schweren Verbrennungen: 23.000 €)</t>
  </si>
  <si>
    <t>10.000 € bei Tod beider versicherter Elternteile durch einen Unfall</t>
  </si>
  <si>
    <t>max. 300.000 € (+Vollwaisenrente i.H. v. 50-facher Prämie, max. 10.000 €)</t>
  </si>
  <si>
    <t>30 € pro Tag,
max. 3 Jahre</t>
  </si>
  <si>
    <t>bis 750 Tage (auch wenn VP wegen Unfall im Krankenhaus verstirbt)</t>
  </si>
  <si>
    <t>Arbeitslosigkeit: max. 18 Monate
Arbeitsunfähigkeit: max. 12 Monate</t>
  </si>
  <si>
    <t>Janitos Best Selection Plus</t>
  </si>
  <si>
    <t>Janitos Balance Plus</t>
  </si>
  <si>
    <t>ja
(auch Zahnersatz)</t>
  </si>
  <si>
    <t>PS I: 30 € / Tag; PS II: 40 € / Tag; 
PS III: 60 € / Tag (max. 3 Jahre)</t>
  </si>
  <si>
    <t>max. 300.000 € (+Vollwaisenrente i.H. v. 50-facher Prämie, mind. 12.000 €)</t>
  </si>
  <si>
    <t>ja,
max. 6 Monate</t>
  </si>
  <si>
    <t>Arbeitslosigkeit: max. 36 Monate
Arbeitsunfähigkeit: max. 12 Monate</t>
  </si>
  <si>
    <t>Top: 50%
Exklusiv: 80%</t>
  </si>
  <si>
    <t>Top: 60%
Exklusiv: 80%</t>
  </si>
  <si>
    <t>Top: 20%
Exklusiv: 25%</t>
  </si>
  <si>
    <t>Top: 100%
Exklusiv: 100%</t>
  </si>
  <si>
    <t>Top: 75%
Exklusiv: 100%</t>
  </si>
  <si>
    <t>Top: 30%
Exklusiv: 60%</t>
  </si>
  <si>
    <t>Top: 20%
Exklusiv: 60%</t>
  </si>
  <si>
    <t>Top: 10%
Exklusiv: 20%</t>
  </si>
  <si>
    <t>Top: 50%
Exklusiv: 100%</t>
  </si>
  <si>
    <t>Top: 8%
Exklusiv: 20%</t>
  </si>
  <si>
    <t>Top: 5%
Exklusiv: 10%</t>
  </si>
  <si>
    <t>Top: 25%
Exklusiv: 25%</t>
  </si>
  <si>
    <t>Top: 10%
Exklusiv: 10%</t>
  </si>
  <si>
    <t>Top: 20%
Exklusiv: 20%</t>
  </si>
  <si>
    <t>Dünndarm und Dickdarm
Top: 30% / Exklusiv: 30%</t>
  </si>
  <si>
    <t>Top: 30% / Exklusiv: 30% (Bauch- speicheldrüse: Top: 35% / Exkl: 35%)</t>
  </si>
  <si>
    <t>Top: 50% / Exklusiv: 50%
(Leber: Top: 50% / Exklusiv: 50%)</t>
  </si>
  <si>
    <t>Trend: 50%
Top: 60%</t>
  </si>
  <si>
    <t>Trend: 35%
Top: 50%</t>
  </si>
  <si>
    <t>Trend: 15%
Top: 20%</t>
  </si>
  <si>
    <t>Trend: 60%
Top: 100%</t>
  </si>
  <si>
    <t>Trend: 70%
Top: 75%</t>
  </si>
  <si>
    <t>Trend: 65%
Top: 75%</t>
  </si>
  <si>
    <t>Trend: 60%
Top: 75%</t>
  </si>
  <si>
    <t>Trend: 25%
Top: 30%</t>
  </si>
  <si>
    <t>Trend: 10%
Top: 20%</t>
  </si>
  <si>
    <t>Trend: 5%
Top: 10%</t>
  </si>
  <si>
    <t>Trend: 50%
Top: 75%</t>
  </si>
  <si>
    <t>Trend: 45%
Top: 50%</t>
  </si>
  <si>
    <t>Trend: 8%
Top: 8%</t>
  </si>
  <si>
    <t>Trend: 5%
Top: 5%</t>
  </si>
  <si>
    <t>Trend: 100%
Top: 100%</t>
  </si>
  <si>
    <t>Trend: 25%
Top: 25%</t>
  </si>
  <si>
    <t>Trend: 10%
Top: 10%</t>
  </si>
  <si>
    <t>Trend: 20%
Top: 20%</t>
  </si>
  <si>
    <t>Trend: -
Top: 10%</t>
  </si>
  <si>
    <t>Dünndarm und Dickdarm
Trend: - / Top: 30%</t>
  </si>
  <si>
    <t>Trend: - / Top: 50%
(Leber: Trend: - / Top: 50%)</t>
  </si>
  <si>
    <t>Trend: - / Top: 30% (Bauchspeichel-drüse: Trend: - / Top: 35%)</t>
  </si>
  <si>
    <t>AUB 2013
Stand 04-2013</t>
  </si>
  <si>
    <t>ZB; Ziff. 1.4</t>
  </si>
  <si>
    <t>ZB; Ziff. 1.5 a)</t>
  </si>
  <si>
    <t>ZB; Ziff. 1.5 c)</t>
  </si>
  <si>
    <t>ZB; Ziff. 1.5 d)</t>
  </si>
  <si>
    <t>ZB; Ziff. 1.5 e)</t>
  </si>
  <si>
    <t>ZB; Ziff. 1.5 i)</t>
  </si>
  <si>
    <t>ZB; Ziff. 1.5 j)</t>
  </si>
  <si>
    <t>ZB; Ziff. 1.5 k)</t>
  </si>
  <si>
    <t>ZB; Ziff. 1.5 l)</t>
  </si>
  <si>
    <t>ZB; Ziff. 1.6 a)</t>
  </si>
  <si>
    <t>Tollwut, Wundstarrkrampf,
Brucellose, Cholera, Diphtherie, Echinokokkose, Enzephalitis, Gürtelrose, Meningitis, Keuchhusten, Lepra, Masern, Mumps, Paratyphus, Pfeiffer-Drüsenfieber, Pocken, Röteln, Scharlach, Tuberkulose, Tularämie, Typhus, Windpocken</t>
  </si>
  <si>
    <t>ZB; Ziff. 2.1.1 b) / c)</t>
  </si>
  <si>
    <t>ZB; Ziff. 2.1.1.1 b) / c)</t>
  </si>
  <si>
    <t>ZB; Ziff. 2.1.1.2 a)</t>
  </si>
  <si>
    <t>ZB; Ziff. 2.1.1.2 c)</t>
  </si>
  <si>
    <t>ZB; Ziff. 2.1.4.1 d)</t>
  </si>
  <si>
    <t>ZB; Ziff. 2.1.4.1 b)</t>
  </si>
  <si>
    <t>ZB; Ziff. 2.1.4.2</t>
  </si>
  <si>
    <t>ZB; Ziff. 2.1.4.3</t>
  </si>
  <si>
    <t>ZB; Ziff. 2.1.5.3</t>
  </si>
  <si>
    <t>ZB; Ziff. 2.1.6.1</t>
  </si>
  <si>
    <t>ZB; Ziff. 2.1.7.2 / Ziff. 2.1.7.3</t>
  </si>
  <si>
    <t>30 € pro Tag,
max. 1 Jahr</t>
  </si>
  <si>
    <t>ZB; Ziff. 2.2.1 c)</t>
  </si>
  <si>
    <t>ZB; Ziff. 2.2.3</t>
  </si>
  <si>
    <t>ZB; Ziff. 2.2.5.1</t>
  </si>
  <si>
    <t>ZB; Ziff. 2.2.6.2 e)</t>
  </si>
  <si>
    <t>ZB; Ziff. 2.2.8 d)</t>
  </si>
  <si>
    <t>ZB; Ziff. 2.2.9</t>
  </si>
  <si>
    <t>ZB; Ziff. 2.2.9 / Ziff. 2.2.11</t>
  </si>
  <si>
    <t>ZB; Ziff. 2.1.6.2 / Ziff. 2.2.13.1</t>
  </si>
  <si>
    <t>ZB; Ziff. 2.2.13.2</t>
  </si>
  <si>
    <t>ZB; Ziff. 2.2.13.3</t>
  </si>
  <si>
    <t>60 € / Tag, max. 100 Tage (wenn minderjährige Kinder im Haushalt)</t>
  </si>
  <si>
    <t>120 € / Tag, max. 6 Monate (wenn minderjährige Kinder im Haushalt)</t>
  </si>
  <si>
    <t>ZB; Ziff. 2.2.13.4</t>
  </si>
  <si>
    <t>ZB; Ziff. 2.2.13.5</t>
  </si>
  <si>
    <t>ZB; Ziff. 2.2.15.1 / Ziff. 2.2.15.2</t>
  </si>
  <si>
    <t>ZB; Ziff. 3</t>
  </si>
  <si>
    <t>ja (auch Medikamente)
(Führen von Kfz bis 1,6 ‰)</t>
  </si>
  <si>
    <t>ZB; Ziff. 4.1 c) / d)</t>
  </si>
  <si>
    <t>ZB; Ziff. 1.5 g) / Ziff. 4.1 e) / f) / g) / h)</t>
  </si>
  <si>
    <t>ja(+epileptische-/Krampfanfälle,Über- müdung, Erschrecken, Witterung)</t>
  </si>
  <si>
    <t>ZB; Ziff. 4.2 c) / Ziff. 4.3</t>
  </si>
  <si>
    <t>bis 21 Tage (auch gewalttätige Auseinandersetzungen + Terror)</t>
  </si>
  <si>
    <t>ZB; Ziff. 4.6</t>
  </si>
  <si>
    <t>ZB; Ziff. 4.8 a)</t>
  </si>
  <si>
    <t>ZB; Ziff. 5.1.2</t>
  </si>
  <si>
    <t>ZB; Ziff. 5.1.1</t>
  </si>
  <si>
    <t>bis 6 Monate ab Eheschließung
Inv. - 100.000 € (ohne Progression)
Tod - 10.000 €
UKHTG/GG - 20 € / Einschluss ohne Gesundheitsprüfung</t>
  </si>
  <si>
    <t>ZB; Ziff. 5.1.3 a)</t>
  </si>
  <si>
    <t>bis zum Ende des Vers.-jahres in dem jüngstes Kind 21. Lj. vollendet</t>
  </si>
  <si>
    <t>ZB; Ziff. 6.1 d) / Ziff. 6.2 d)</t>
  </si>
  <si>
    <t>max. 60 Tage</t>
  </si>
  <si>
    <t>ZB; Ziff. 9.1 / Ziff. 9.2</t>
  </si>
  <si>
    <t>ja (eine Tarifupdate-Garantie ist zusätzlich versicherbar)</t>
  </si>
  <si>
    <t>ZB; Ziff. 12 a)</t>
  </si>
  <si>
    <t>ja (auch Medikamente/Drogen)
(Führen v. Kfz ohne ‰-Begrenzung)</t>
  </si>
  <si>
    <t>ZB; Ziff. 4.1 d) / Ziff. 11.1 a)</t>
  </si>
  <si>
    <t>ZB; Ziff. 11.2.2 a)</t>
  </si>
  <si>
    <t>ZB; Ziff. 2.1.7.3 / Ziff. 11.2.3</t>
  </si>
  <si>
    <t>ZB; Ziff. 2.1.7.2 / Ziff. 11.2.4</t>
  </si>
  <si>
    <t>ZB; Ziff. 11.3.1</t>
  </si>
  <si>
    <t>ZB; Ziff. 11.3.3</t>
  </si>
  <si>
    <t>ZB; Ziff. 11.3.4</t>
  </si>
  <si>
    <t>ZB; Ziff. 11.3.5</t>
  </si>
  <si>
    <t>ZB; Ziff. 2.2.9 / Ziff. 11.3.6</t>
  </si>
  <si>
    <t>ZB; Ziff. 11.3.6 / Ziff. 11.3.7</t>
  </si>
  <si>
    <t>ZB; Ziff. 11.3.11 a)</t>
  </si>
  <si>
    <t>ZB;  Ziff. 6.2 d) / Ziff. 11.3.4</t>
  </si>
  <si>
    <t>ZB; Ziff. 5.1.2 / Ziff. 11.6 a)</t>
  </si>
  <si>
    <t>ZB; Ziff. 2.1.6.2 / Ziff. 11.3.9 a)</t>
  </si>
  <si>
    <t>ZB; Ziff. 11.3.9 b)</t>
  </si>
  <si>
    <t>ZB; Seite 1</t>
  </si>
  <si>
    <t>ZB; Ziff. 1.5 h) / Ziff. 1.6 a)</t>
  </si>
  <si>
    <t>auch Verschollenheit ist vesichert</t>
  </si>
  <si>
    <t>Annahmerichtlinien</t>
  </si>
  <si>
    <t>Tollwut, Wundstarrkrampf,
Brucellose, Cholera, Diphtherie, Echinokokkose, Gürtelrose, Keuchhusten, Lepra, Masern, Mumps, Paratyphus, Pfeiffer-Drüsenfieber, Pocken, Röteln, Scharlach, Tularämie, Typhus, Windpocken</t>
  </si>
  <si>
    <t>ZB; Ziff. 2.1.4.1</t>
  </si>
  <si>
    <t>ZB; Ziff. 2.1.6.2 / Ziff. 2.2.12.1</t>
  </si>
  <si>
    <t>max. 50.000 € (+Vollwaisenrente i.H. v. 50-facher Prämie, max. 8.000 €)</t>
  </si>
  <si>
    <t>bis 40.000 €</t>
  </si>
  <si>
    <t>im Rahmen der Bergungskosten
bis 60.000 €</t>
  </si>
  <si>
    <t>bis 40.000 €
(auch Zahnersatz)</t>
  </si>
  <si>
    <t>ZB; Ziff. 1.5 f) / Ziff. 2.6.6.1 / Ziff.2.2.6.2 / Ziff. 2.2.7 / Ziff. 2.2.10 / Ziff. 2.2.12 / Ziff. 2.2.14 / Ziff. 2.2.15.3 / Ziff. 4.1 / Ziff. 4.2 / Ziff. 4.4 a) / Ziff. 4.5 / Ziff. 4.7 / Ziff. 4.8 c) / Ziff. 4.9 / Ziff. 8.1 / Ziff. 8.2 / Ziff. 12 d) / Ziff. 14 a) / Ziff. 14 d) /
Ziff. 10  / Ziff. 2.2.5.2</t>
  </si>
  <si>
    <t>ZB; Ziff. 1.5 f) / Ziff. 2.6.6.1 / Ziff.2.2.6.2 / Ziff. 2.2.7 / Ziff. 2.2.10 / Ziff. 11.3.8 / Ziff. 11.3.10 / Ziff. 11.3.11 b) / Ziff. 11.1 a) / Ziff. 4.2 / Ziff. 4.4 a) / Ziff. 4.5 / Ziff. 11.1 b) / Ziff. 4.8 c) / Ziff. 4.9 / Ziff. 8.1 / Ziff. 8.2 / Ziff. 11.7 / Ziff. 14 a) / Ziff. 14 d) /
Ziff. 10 / Ziff. 2.2.5.2</t>
  </si>
  <si>
    <t>ZB; Ziff. 2.2.6 e)</t>
  </si>
  <si>
    <t>ZB; Ziff. 2.2.9 c) / Ziff. 2.2.10 b)</t>
  </si>
  <si>
    <t>bis 25.000 € (auch künstl. Organe/ Transplantationen (Umschulung: ja)</t>
  </si>
  <si>
    <t>bis 8.000 € (auch künstliche Organe/ Transplantationen)</t>
  </si>
  <si>
    <t>ZB; Ziff. 2.2.12.2</t>
  </si>
  <si>
    <t>ZB; Ziff. 2.2.12.3</t>
  </si>
  <si>
    <t>50 € / Tag, max. 30 Tage (wenn minderjährige Kinder im Haushalt)</t>
  </si>
  <si>
    <t>ZB; Ziff. 2.2.12.4</t>
  </si>
  <si>
    <t>30 € pro Tag,
max. 30 Tage</t>
  </si>
  <si>
    <t>ZB; Ziff. 2.2.12.5</t>
  </si>
  <si>
    <t>ZB; Ziff. 2.2.14 / Ziff. 2.2.15</t>
  </si>
  <si>
    <t>15.000 € (bei schweren Verbrennungen: 18.000 €)</t>
  </si>
  <si>
    <t>bei Mitwirkungsanteil &lt; 50% (Keine Anrechnung, sofern Inv.-Grad &gt;50%)</t>
  </si>
  <si>
    <t>ab 50% (Keine Anrechnung, sofern Invaliditätsgrad &gt; 50%)</t>
  </si>
  <si>
    <t>bis 14 Tage (auch gewalttätige Auseinandersetzungen + Terror)</t>
  </si>
  <si>
    <t>ZB; Ziff. 5.1</t>
  </si>
  <si>
    <t>bis 3 Monate ab Eheschließung
Inv. - 30.000 € (ohne Progression)
(Bei Einschluss des Ehepartners während der Vorsorge: Einschluss ohne Gesundheitsprüfung)</t>
  </si>
  <si>
    <t>ZB; Ziff. 5.2</t>
  </si>
  <si>
    <t>ZB; Ziff. 5.3 a)</t>
  </si>
  <si>
    <t>ZB; Ziff. 6 d)</t>
  </si>
  <si>
    <t>ZB; Ziff. 7.1 / Ziff. 7.2</t>
  </si>
  <si>
    <t>ZB; Ziff. 4.1 d) / Ziff. 9.1 a)</t>
  </si>
  <si>
    <t>ZB; Ziff. 9.2.2</t>
  </si>
  <si>
    <t>ZB; Ziff. 2.1.4.1 e)</t>
  </si>
  <si>
    <t>sofern UKHTG vereinbart wurde
3 Tagessätze</t>
  </si>
  <si>
    <t>sofern UKHTG vereinbart wurde
5 Tagessätze</t>
  </si>
  <si>
    <t>ZB; Ziff. 9.2.2 c)</t>
  </si>
  <si>
    <t>ZB; Ziff. 2.1.7.2 / Ziff. 9.2.4</t>
  </si>
  <si>
    <t>30 € pro Tag, max. 3-faches UKHTG
max. 3 Jahre</t>
  </si>
  <si>
    <t>in Höhe des UKHTG, max. 30 € pro Tag (ab dem 7. Tag), max. 100 Tage</t>
  </si>
  <si>
    <t>ZB; Ziff. 9.2.3</t>
  </si>
  <si>
    <t>ZB; Ziff. 9.3.1</t>
  </si>
  <si>
    <t>ZB; Ziff. 9.3.3</t>
  </si>
  <si>
    <t>ZB; Ziff. 9.3.4</t>
  </si>
  <si>
    <t>ZB; Ziff. 9.3.5</t>
  </si>
  <si>
    <t>ZB; Ziff. 9.3.6 / Ziff. 9.3.7</t>
  </si>
  <si>
    <t>bis 12.000 € (auch künstliche Organe/ Transplantationen)</t>
  </si>
  <si>
    <t>ZB; Ziff. 9.4</t>
  </si>
  <si>
    <t>bis max. 36 Monate</t>
  </si>
  <si>
    <t>max. 50.000 € (+Vollwaisenrente i.H. v. 50-facher Prämie, max. 12.000 €)</t>
  </si>
  <si>
    <t>ZB; Ziff. 2.1.6.2 / Ziff. 9.3.9 a)</t>
  </si>
  <si>
    <t>ZB; Ziff. 9.3.9 b)</t>
  </si>
  <si>
    <t>ZB; Ziff. 11.3.9 c)</t>
  </si>
  <si>
    <t>ZB; Ziff. 9.3.9 c)</t>
  </si>
  <si>
    <t>60 € pro Übernachtung oder tatsächlich angefallene Kosten</t>
  </si>
  <si>
    <t>50 € / Übernachtung oder tatsächlich angefallene Kosten; max. 20 Tage</t>
  </si>
  <si>
    <t>50 € pro Übernachtung,
max. 20 Tage</t>
  </si>
  <si>
    <t>ZB; Ziff. 2.2.12.5 / Ziff. 9.3.9 d)</t>
  </si>
  <si>
    <t>ZB; Ziff. 5.2 / Ziff. 9.6.2</t>
  </si>
  <si>
    <t>bis 1 Jahr ab Geburt
(auch Ungeborene)
Inv. - 50.000 € (ohne Progression)
Tod - 10.000 € / Einschluss ohne Gesundheitsprüfung</t>
  </si>
  <si>
    <t>bis 1 Jahr ab Geburt
(auch Ungeborene)
Inv. - 100.000 € (ohne Progression)
Tod -10.000 € / UKHTG/GG - 20 € /Ein-schluss ohne Gesundheitsprüfung</t>
  </si>
  <si>
    <t>-psychische/ nervöse Störungen infolge einer durch Unfall verursachten organischen Erkrankung des Nervensystems
-sofern Kfz bei Janitos versichert ist: Keine Anrechnung des Vollkasko-SB/ keine SF-Rückstufung bei Kfz-Unfall mit Krankenhausaufenthalt bis 1.000 €
-sofern Hausrat bei Janitos versichert ist: Unfallschäden am Hausrat (z.B. Fahrrad) bis 2.000 €
-Nicht konkret nachgewiesener Verdienstausfall für Selbstständige bei angeordneten Arztbesuchen i.H.v. 4‰ der VS, max. 1.000 €
-Vorschussleistung vor Abschluss des Heilverfahrens auch ohne vereinbarte Todesfallleistung
-Keine generelle Operationspflicht
Zusätzlich versicherbar:
-Medic Paket: diverse Pflege-Assistanceleistungen und Einmalleistung (2.000 €) bei schweren Erkrankungen sowie notwendige kosm. OP bei Schweren Erkrankungen (z.B. Brustkrebs) bis 5.000 €</t>
  </si>
  <si>
    <t>-psychische/ nervöse Störungen infolge einer durch Unfall verursachten organischen Erkrankung des Nervensystems
-sofern Kfz bei Janitos versichert ist: Keine Anrechnung des Vollkasko-SB/ keine SF-Rückstufung bei Kfz-Unfall mit Krankenhausaufenthalt bis 1.000 €
-sofern Hausrat bei Janitos versichert ist: Unfallschäden am Hausrat (z.B. Fahrrad) bis 2.000 €
-Nicht konkret nachgewiesener Verdienstausfall für Selbstständige bei angeordneten Arztbesuchen i.H.v. 2‰ der VS, max. 750 €
-Vorschussleistung vor Abschluss des Heilverfahrens auch ohne vereinbarte Todesfallleistung
-Keine generelle Operationspflicht
Zusätzlich versicherbar:
-Medic Paket: diverse Pflege-Assistanceleistungen und Einmalleistung (2.000 €) bei schweren Erkrankungen sowie notwendige kosm. OP bei Schweren Erkrankungen (z.B. Brustkrebs) bis 5.000 €</t>
  </si>
  <si>
    <t>ZB; Ziff. 9.6.1</t>
  </si>
  <si>
    <t>ZB; Ziff. 2.2.9 / Ziff. 9.7.3</t>
  </si>
  <si>
    <t>-Nicht konkret nachgewiesener Verdienstausfall für Selbstständige bei angeordneten Arztbesuchen i.H.v. 2‰ der VS, max. 500 €
-Keine generelle Operationspflicht
Zusätzlich versicherbar:
-Medic Paket: diverse Pflege-Assistanceleistungen und Einmalleistung (2.000 €) bei schweren Erkrankungen sowie notwendige kosm. OP bei Schweren Erkrankungen (z.B. Brustkrebs) bis 5.000 €</t>
  </si>
  <si>
    <t>-Nicht konkret nachgewiesener Verdienstausfall für Selbstständige bei angeordneten Arztbesuchen i.H.v. 4‰ der VS, max. 1.000 €
-Keine generelle Operationspflicht
Zusätzlich versicherbar:
-Medic Paket: diverse Pflege-Assistanceleistungen und Einmalleistung (2.000 €) bei schweren Erkrankungen sowie notwendige kosm. OP bei Schweren Erkrankungen (z.B. Brustkrebs) bis 5.000 €</t>
  </si>
  <si>
    <t>ZB; Ziff. 1.5 f) / Ziff. 2.2.6 h) / Ziff. 2.2.7 / Ziff. 2.2.11 / Ziff. 4.1 / Ziff. 4.2 / Ziff. 4.4 a) / Ziff. 4.5 / Ziff. 4.7 / Ziff. 4.8 c) / Ziff. 4.9 / Ziff. 10 a) / Ziff. 10 d) /
Ziff. 8  / Ziff. 2.2.5.2</t>
  </si>
  <si>
    <t>ZB; Ziff. 1.5 f) / Ziff. 2.2.6 h) / Ziff. 2.2.7 / Ziff. 9.3.8 / Ziff. 9.3.10 / Ziff. 9.1 a) / Ziff. 4.2 / Ziff. 4.4 a) / Ziff. 4.5 / Ziff. 9.1 b) / Ziff. 4.8 c) / Ziff. 4.9 / Ziff. 9.3.11 / Ziff. 9.7 / Ziff. 10 a)
Ziff. 8  / Ziff. 2.2.5.2</t>
  </si>
  <si>
    <t>ZB; Ziff. 10 a)</t>
  </si>
  <si>
    <t>AUB; Ziff. 7.3 c)</t>
  </si>
  <si>
    <t>max. 30 Tage</t>
  </si>
  <si>
    <t>ZB; Ziff. 9.3.11 a)</t>
  </si>
  <si>
    <t>ja 
(auch Knochenbrüche)</t>
  </si>
  <si>
    <t>AUB; Ziff. 1.4.1 / Ziff. 10</t>
  </si>
  <si>
    <t>AUB; Ziff. 2.1.1.1 / Ziff. 10</t>
  </si>
  <si>
    <t>AUB; Ziff. 10</t>
  </si>
  <si>
    <t>AUB; Ziff. 3 / Ziff. 10</t>
  </si>
  <si>
    <t>AUB; Ziff. 5.1.1 / Ziff. 10</t>
  </si>
  <si>
    <t>ja (auch epileptische und andere Krampfanfälle)</t>
  </si>
  <si>
    <t>AUB; Ziff. 5.1.3 / Ziff. 10</t>
  </si>
  <si>
    <t>bis 14 Tage
(auch Terroranschläge)</t>
  </si>
  <si>
    <t>AUB; Ziff. 5.2.2 / Ziff. 10</t>
  </si>
  <si>
    <t>Röntgen-/Laserstrahlen, künstlich erzeugte UV-Strahlung</t>
  </si>
  <si>
    <t>AUB; Ziff. 5.2.4 / Ziff. 10</t>
  </si>
  <si>
    <t>Tollwut, Wundstarrkrampf,
Borreliose, Brucellose, Cholera, Diphterie, Dreitagefieber, Echinokokose (Fuchsbandwurm), epidemische Kinderlähmung (Poliomyelitis), Fleckfieber, FSME, Gelbfieber, Keuchhusten, Lepra, Meningitis, Malaria, Masern, Mumps, Pest, Röteln, Schlafkrankheit, Tularämie (Hasenpest), Tuberkulose</t>
  </si>
  <si>
    <t>AUB; Ziff. 6.2.2 / Ziff. 10</t>
  </si>
  <si>
    <t>ja (nachträgliche Entrichtung der Mehrbeiträge)</t>
  </si>
  <si>
    <t>Leistung Nachhilfegeld - auch wenn keine Nachilfe genommen wird</t>
  </si>
  <si>
    <t>Helvetia Komfort</t>
  </si>
  <si>
    <t>AUB 2012
Stand 07-2012</t>
  </si>
  <si>
    <t>100% (50%, sofern eine Niere bereits funktionsuntüchtig war)</t>
  </si>
  <si>
    <t>10%
(auch für Erwachsen)</t>
  </si>
  <si>
    <t>bis 50.000 €
(Umschulung bis 6.000 €)</t>
  </si>
  <si>
    <t>doppelte Invaliditätsleistung ab 75% Invaliditätsgrad, max. 150.000 €</t>
  </si>
  <si>
    <t>4 Tagessätze</t>
  </si>
  <si>
    <t>ab dem 8. Tag wöchtentlich 250 €,
max. 12 Wochen</t>
  </si>
  <si>
    <t xml:space="preserve">1.-200. Tag: 100%; 201.-300. Tag: 50%
301.-500. Tag: 25% </t>
  </si>
  <si>
    <t>ja, max. 100.000 €
soweit Kind &lt; 18 Jahre</t>
  </si>
  <si>
    <t>25 € je Tag, max. 24 Monate</t>
  </si>
  <si>
    <t>50 € / Tag, max. 5.000 €  (sofern Kind unter 14 Jahren im Haushalt lebt)</t>
  </si>
  <si>
    <t>1. - 10. Tag: 25 €; ab 11. Tag: 12 €
 pro Übernachtung (max. 200 Tage)</t>
  </si>
  <si>
    <t>bis 10% der VS, max. 10.000 €</t>
  </si>
  <si>
    <t>bis 25.000 € (auch Zahnbehandlungs- und Zahnersatzkosten für 
Schneide-/ Eckzähne)</t>
  </si>
  <si>
    <t>BB; Ziff. 37 / Ziff. 38</t>
  </si>
  <si>
    <t>ja (auch epileptische Anfälle, Übermüdung oder Einschlafen)</t>
  </si>
  <si>
    <t>BB; Ziff. 37 / Ziff. 39</t>
  </si>
  <si>
    <t>BB; Ziff. 42 / Ziff. 43 / Ziff. 44</t>
  </si>
  <si>
    <t>BB; Ziff. 47</t>
  </si>
  <si>
    <t>Laser-/Maserstrahlen/energiereiche Strahlen bis 100 Elektronen-Volt</t>
  </si>
  <si>
    <t>BB; Ziff. 49</t>
  </si>
  <si>
    <t>ja (auch Stoffe, die irrtümlich für Nahrungsmittel gehalten wurden)</t>
  </si>
  <si>
    <t>BB; Ziff. 51</t>
  </si>
  <si>
    <t>ja (auch wenn Versicherter aus Pflichtgefühl weiter arbeitet)</t>
  </si>
  <si>
    <t>BB; Ziff. 56.1 / Ziff. 56.2</t>
  </si>
  <si>
    <t>ab der Geburt bis 1 Jahr
Inv. - bis 50% der VS der Eltern, max. 100.000 € (ohne Progression)</t>
  </si>
  <si>
    <t>BB; Ziff. 56.3</t>
  </si>
  <si>
    <t>bis 3 Monate ab Heirat
Inv. - 50% der Invaliditätsleistung des Partners (ohne Progression)
Tod - 10.000 € (sofern bei Partner vereinbart)</t>
  </si>
  <si>
    <t>BB; Ziff. 57</t>
  </si>
  <si>
    <t>bis 12 Monate</t>
  </si>
  <si>
    <t>AUB; Ziff. 5.2.4.2 / BB; Ziff. 48 / BB; Ziff. 59</t>
  </si>
  <si>
    <t>BB; Ziff. 59.1 c)</t>
  </si>
  <si>
    <t>Tollwut, Wundstarrkrampf,
Borreliose, Brucellose, Cholera, Diphtherie, Dreitagefieber, epidemische Kinderlähmung (Poliomyelitis), Fleckfieber, FSME/ Zeckenenzephalitis, Gelbfieber, Genickstarre, Keuchhusten, Lepra, Malaria, Masern, Pest, Pocken, Scharlach, Schlaf-/Tsetse-Krankheit, Tularämie (Hasenpest), Typhus/ Paratyphus, Windpocken 
sowie
Infektionen, die in Ausübung der versicherten Berufstätigkeit entstanden sind
(max. 500.000 € bei 100% Invalidität)</t>
  </si>
  <si>
    <t>BB; Ziff. 31 / Ziff. 60</t>
  </si>
  <si>
    <t>BB; Ziff. 61</t>
  </si>
  <si>
    <t>BB; Ziff. 64</t>
  </si>
  <si>
    <t>BB; Ziff. 3 / Ziff. 6 / Ziff. 24 / Ziff. 28 / Ziff. 40 / Ziff. 45 / Ziff. 46 / Ziff. 50 / Ziff. 52 / Ziff. 55 / Ziff. 58 / Ziff. 62</t>
  </si>
  <si>
    <t>zusätzlich versicherbar:
-diverse Assistance-Leistungen</t>
  </si>
  <si>
    <t>AUB; Ziff. 7.5 / BB; Ziff. 41 / BB; Ziff. 53</t>
  </si>
  <si>
    <t>21 Tage ab Kenntnisnahme,
auch Verschollenheit ist versichert</t>
  </si>
  <si>
    <t>AUB; Zif. 2.1.1.1</t>
  </si>
  <si>
    <t>Eintritt: 1 Jahr
ärztliche Feststellung: 36 Monate</t>
  </si>
  <si>
    <t>im Rahmen des Schulausfallgeldes,
ansonsten zusätzlich versicherbar</t>
  </si>
  <si>
    <t>ab 14. ausgefallenem Tag 
20 € pro Tag, max. 5.000 €</t>
  </si>
  <si>
    <t>B; Ziff. 59</t>
  </si>
  <si>
    <t>BB Reha-Manager / BB; Ziff. 62</t>
  </si>
  <si>
    <t>im Rahmen der medizinischen 
Reha-Beratung bis 100.000 €</t>
  </si>
  <si>
    <t>BB Unfall-Service; Ziff. 1 / BB; Ziff. 61</t>
  </si>
  <si>
    <t>BB Unfall-Service</t>
  </si>
  <si>
    <t>Generali Komfort Plus
(Stand 10-2012)</t>
  </si>
  <si>
    <t>UN 4095</t>
  </si>
  <si>
    <t>UN 4240</t>
  </si>
  <si>
    <t>bis 25.000 € (auch Zahnbehandlung/ Zahnersatz f. Schneide-/Eckzähne)</t>
  </si>
  <si>
    <t>UN 4244</t>
  </si>
  <si>
    <t>UN 4245</t>
  </si>
  <si>
    <t>UN 4300 / Leistungsübersicht</t>
  </si>
  <si>
    <t>UN 4301 K</t>
  </si>
  <si>
    <t>UN 4315</t>
  </si>
  <si>
    <t>UN 4323</t>
  </si>
  <si>
    <t>UN 4338 / UN 4242</t>
  </si>
  <si>
    <t>UN 4342</t>
  </si>
  <si>
    <t>UN 4388</t>
  </si>
  <si>
    <t>UN 4665</t>
  </si>
  <si>
    <t>UN 4666</t>
  </si>
  <si>
    <t>UN 4002 / UN 4672</t>
  </si>
  <si>
    <t>UN 4802</t>
  </si>
  <si>
    <t>UN 4824</t>
  </si>
  <si>
    <t>UN 4860</t>
  </si>
  <si>
    <t>UN 4179 / UN 4243 / UN 4312 / 
UN 4325 / UN 4339 / UN 4326 / 
UN 4413 / UN 4700 / UN 4800 /
AUB; Ziff. 5.2.6</t>
  </si>
  <si>
    <t>sofern vereinbart ab 90% Invalidität 5-fache Leistung, max. 500.000 €</t>
  </si>
  <si>
    <t>UN 4002 / UN 4671 / Leistungsübersicht</t>
  </si>
  <si>
    <t>ja, max. 50.000 €
soweit Kind &lt; 14 Jahre</t>
  </si>
  <si>
    <t>bis 1.000 € (ab 8. Tag vollstationärer Behandlung) (Erwachsene)</t>
  </si>
  <si>
    <t>UN 4310; Ziff. 2</t>
  </si>
  <si>
    <t>UN 4310; Ziff. 1</t>
  </si>
  <si>
    <t>kombiniert mit Schulausfallgeld
40 € pro Tag, max. 1 Jahr</t>
  </si>
  <si>
    <t>kombiniert mit Rooming-In ab 7. Ausfallwoche 40 € je Tag, max. 1 Jahr</t>
  </si>
  <si>
    <t>ja 
(mind. 3 Wochen Dauer)</t>
  </si>
  <si>
    <t>bis 3.000 €
(mind. 3 Wochen Dauer)</t>
  </si>
  <si>
    <t>UN 4328 / Leistungsübersicht</t>
  </si>
  <si>
    <t>UN 4442</t>
  </si>
  <si>
    <t>bis 15 Monate ab Heirat (50% d. VS)
Inv. bis 25.000 € 
Tod bis 25.000 €
UKHT bis 20 €</t>
  </si>
  <si>
    <t>ab Geburt bis 15 Monate (50% d. VS)
Inv. bis 25.000 €
Tod bis 5.000 €
UKHT bis 20 €</t>
  </si>
  <si>
    <t>UN 4445</t>
  </si>
  <si>
    <t>10% (auch angeschnallte Beifahrer und bei Benutzung von Straßenquerungshilfen)</t>
  </si>
  <si>
    <t>UN 4830 / Leistungsübersicht</t>
  </si>
  <si>
    <t>Röntgen-/ Laserstrahlen /
künstlich erzeugte UV-Strahlung</t>
  </si>
  <si>
    <t>AUB; Ziff. 5.2.4.2 / UN 4856</t>
  </si>
  <si>
    <t>Meningitis, Borreliose durch
Zeckenbiss/allergische Reaktionen</t>
  </si>
  <si>
    <t>Tollwut, Wundstarrkrampf
und durch Unfall in Körper gelangte Infektionen sowie Infektionen durch geringfügige Hautverletzungen</t>
  </si>
  <si>
    <t>AUB; Ziff. 5.2.4.2 / UN 4858</t>
  </si>
  <si>
    <t>ja 
(max. Einwirkung: mehrere Std.)</t>
  </si>
  <si>
    <t xml:space="preserve">AUB; Ziff. 2.4.1.2 / Ziff. 2.4.2 / Ziff. 2.5.2 </t>
  </si>
  <si>
    <t>AUB; Ziff. 2.5.2 / UN 4328 / Leistungsübersicht</t>
  </si>
  <si>
    <t>-Zahlung der Invaliditätsleistung bei bestimmten Diagnosestellungen für Personen über 15 Jahren
-psychologische Behandlungskosten bis 3.000 €  bei Raubüberfall oder Geiselnahme (nicht im Frauentarif)
-sofern vereinbart 3.000 € bei unfallbedingter Fehlgeburt (im Frauentarif inkl.)
-sofern vereinbart Organverlust infolge frauentypischer Krebserkrankungen bis 10.000 € (im Frauentarif inkl.)
-sofern vereinbart plastische OP infolge Brustkrebs / Organverlust infolge frauentypischer Krebserkrankungen bis 10.000 € (im Frauentarif inkl.)
-sofern vereinbart 1.000 € Haushaltshilfegeld bei frauentypischen Krebsleiden (im Frauentarif inkl.)
-um 25% erhöhte Leistungen bei Unfällen mit einem bei der Generali haftpflichtversicherten PKW
-sofern vereinbart Chefarztbehandlung/ Ein-/ Zweibettzimmer im Krankenhaus/ erforderliche Krankentransporte versicherbar (nicht im Frauentarif)
-Erwachsene bei der Teilnahme an lizenzfreien Motorsport-veranstaltungen (nicht im Frauentarif)
-psychische und nervöse Störungen nach einem Unfall</t>
  </si>
  <si>
    <t>Infektionen durch Insekten oder sonstige Tiere 
(u.a. Malaria, Meningitis, Pest)</t>
  </si>
  <si>
    <t>Janitos MLP Classic 2007
(Stand 01-2008)</t>
  </si>
  <si>
    <t>ZB; Ziff. 5.3</t>
  </si>
  <si>
    <t>ja (notwendige Impfungen sowie gegen Wundstarrkrampf/Tollwut)</t>
  </si>
  <si>
    <t>ZB; Ziff. 5.4</t>
  </si>
  <si>
    <t>ZB; Ziff. 5.1 / Ziff. 5.4</t>
  </si>
  <si>
    <t>ja 
(auch allergische Reaktionen)</t>
  </si>
  <si>
    <t>Röntgen-/ Maser-/ Laserstrahlen, ultraviolette Strahlung</t>
  </si>
  <si>
    <t>ZB; Ziff. 14</t>
  </si>
  <si>
    <t>ZB; Ziff. 15.2</t>
  </si>
  <si>
    <t>bis 6 Monate ab Eheschließung
Inv. - 50.000 € (ohne Progression)
Tod - 10.000 €
Bergung - 5.000 €
Kurbeihilfe - 5.000 €</t>
  </si>
  <si>
    <t>ZB; Ziff. 16</t>
  </si>
  <si>
    <t>ja (Versicherungssummen der anderen Kinder)</t>
  </si>
  <si>
    <t>ZB; Ziff. 17</t>
  </si>
  <si>
    <t>ZB; Ziff. 15.2 / Ziff. 18</t>
  </si>
  <si>
    <t>bis 6 Monate ab Geburt (auch Ungeborene
Inv. - 50.000 € (ohne Progression)
Tod - 10.000 €
Bergung/Kurbeihilfe - 5.000 €</t>
  </si>
  <si>
    <t>ZB; Ziff. 19</t>
  </si>
  <si>
    <t>1.-10. Übernachtung: 25 €;
ab 11. Übernachtung: 12,50 €</t>
  </si>
  <si>
    <t>ZB; Ziff. 20.2</t>
  </si>
  <si>
    <t>ZB; Ziff. 21 / Versicherungsschein</t>
  </si>
  <si>
    <t>bis 10.000 € (auch Behandlung/Zahn-ersatz für Schneide-/ Eckzähne)</t>
  </si>
  <si>
    <t>ZB; Ziff. 22.1 / Versicherungsschein</t>
  </si>
  <si>
    <t>ZB; Ziff. 22.1 e)</t>
  </si>
  <si>
    <t>ZB; Ziff. 23.1 / Versicherungsschein</t>
  </si>
  <si>
    <t>ZB; Ziff. 26</t>
  </si>
  <si>
    <t>ZB; Ziff. 27</t>
  </si>
  <si>
    <t>ab 50 %</t>
  </si>
  <si>
    <t>ZB; Ziff. 28</t>
  </si>
  <si>
    <t>ZB; Ziff. 29</t>
  </si>
  <si>
    <t>ZB; Ziff. 30</t>
  </si>
  <si>
    <t>ja, bei Nachweis eines Versehens (Rückw. Prämienberechnung)</t>
  </si>
  <si>
    <t>ZB; Ziff. 31</t>
  </si>
  <si>
    <t>ZB; Ziff. 32</t>
  </si>
  <si>
    <t>bis 14 Tage (auch gewalttätige Auseinandersetzungen)</t>
  </si>
  <si>
    <t>ZB; Ziff. 33 / Ziff. 38</t>
  </si>
  <si>
    <t>ZB; Ziff. 34</t>
  </si>
  <si>
    <t>ZB; Ziff. 4 / Ziff. 36</t>
  </si>
  <si>
    <t>ja (auch verordnete Medikamente)
(Führen von Kfz bis 1,3 ‰)</t>
  </si>
  <si>
    <t>ZB; Ziff. 3 / Ziff. 39</t>
  </si>
  <si>
    <t>ja (+epileptische-/ Krampfanfälle, Übermüdung, Schlaftrunkenheit)</t>
  </si>
  <si>
    <t>ZB; Ziff. 40.2</t>
  </si>
  <si>
    <t>im Rahmen der Hilfeleistungen, wenn Kind unter 16 Jahren</t>
  </si>
  <si>
    <t>ZB; Ziff. 41</t>
  </si>
  <si>
    <t>ZB; Ziff. 42</t>
  </si>
  <si>
    <t>ZB; Ziff. 43</t>
  </si>
  <si>
    <t>ZB; Ziff. 47</t>
  </si>
  <si>
    <t>Zusätzliche Todesfallleitung i.H.v. 10.000 € bei Tod beider Eltern</t>
  </si>
  <si>
    <t>ZB; Ziff. 12 / Ziff. 13 / Ziff. 35 / 
Ziff. 37 / Ziff. 40 / Ziff. 44 / Ziff. 45 / Ziff. 46 / Ziff. 49 / Ziff. 50 / Ziff. 52</t>
  </si>
  <si>
    <t>-Minderjährige/Entmündigte beim Fahren ohne Fahrerlaubnis
-psychische/ nervöse Störungen infolge einer durch Unfall verursachten organischen Erkrankung des Nervensystems
-psychologische Soforthilfe (max. 10 Sitzungen) bei Überfall/ Geiselnahme
-Teilnahme an Fahrtveranstaltungen bei denen es auf die Erzielung einer Durchschnittsgeschwindigkeit ankommt
-diverse Hilfeleistungen, z.B. Informationsdienst, Serviceleistungen im Ausland
-Vorschusszahlung von Abschluss des Heilverfahrens auch ohne vereinbarte Todesfallleistung
-Schäden durch Medikamentenentzug aufgrund Entführungen/Geiselnahme
-Kosten für psychologische Unterstützung bis 1.000 €, wenn mitversicherte Person aufgrund eines Unfalls verstirbt
-Nicht konkret nachgewiesener Verdienstausfall für Selbstständige bei angeordneten Arztbesuchen i.H.v. 2‰ der VS, max. 500 €
-Schäden durch Maniküre/ Pediküre sind versichert
-Minderjährige beim Umgang mit selbstgebauten Feuerwerkskörpern</t>
  </si>
  <si>
    <t>ZB; Ziff. 51</t>
  </si>
  <si>
    <t>Umschulung bis 5.000 €</t>
  </si>
  <si>
    <t>ZB; Ziff. 40</t>
  </si>
  <si>
    <t>im Rahmen der Hilfeleistungen</t>
  </si>
  <si>
    <t>die Bayerische Komfort</t>
  </si>
  <si>
    <t>die Bayerische Standard</t>
  </si>
  <si>
    <t>BB; Ziff. 2.4</t>
  </si>
  <si>
    <t>ja, sofern Krankheitserreger durch irgendeine Beschädigung der Haut oder durch ein plötzliches Eindringen infektiöser Massen in Auge, Mund oder Nase in den Körper gelangt sind</t>
  </si>
  <si>
    <t>ja
(bei Invalidität &gt; 20%)</t>
  </si>
  <si>
    <t>BB; Ziff. 2.8 / Ziff. 2.9</t>
  </si>
  <si>
    <t>ja (+ epilept.-/Krampfanfälle, Über-müdung, Schlafwandel / Ohnmacht)</t>
  </si>
  <si>
    <t>BB; Ziff. 2.8.1</t>
  </si>
  <si>
    <t>ja, auch durch Medikamente
(Führen von Kfz bis 1,6 ‰)</t>
  </si>
  <si>
    <t>BB; Ziff. 2.11</t>
  </si>
  <si>
    <t>Kinder bis 14 Jahre: ja
Kinder bis 18 Jahre: versehentlich</t>
  </si>
  <si>
    <t>BB; Ziff. 2.10 / Ziff. 2.15</t>
  </si>
  <si>
    <t>BB; Ziff. 3.5 a)</t>
  </si>
  <si>
    <t>1.-100. Tag: UKHTG
101.-200. Tag: 25% des UKHTG</t>
  </si>
  <si>
    <t>BB; Ziff. 3.6</t>
  </si>
  <si>
    <t>BB; Ziff. 4.2 / Ziff. 4.3 / Leistungsübersicht</t>
  </si>
  <si>
    <t>bis 10.000 € (für Zahnersatz von Schneide-/ Eckzähnen bis 5.000 €)</t>
  </si>
  <si>
    <t>einmalig 6.000 €</t>
  </si>
  <si>
    <t>bis 3.000 € 
für VN ab 60 Jahren</t>
  </si>
  <si>
    <t>BB; Ziff. 4.5 / Ziff. 4.7</t>
  </si>
  <si>
    <t>bis 10.000 € bei mind. 50% Invalidität
(Umschulung bis 6.000 €)</t>
  </si>
  <si>
    <t>bis 50 € pro Tag, max. 30 Tage (sofern Kind &lt; 14 J. im Haushalt lebt)</t>
  </si>
  <si>
    <t>BB; Ziff. 4.9</t>
  </si>
  <si>
    <t>1.-10. Übernachtung: 30 €
11.-100. Übernachtung: 15 €</t>
  </si>
  <si>
    <t>BB; Ziff. 4.10</t>
  </si>
  <si>
    <t>bis 1,5% der Grund-invaliditätssumme, max. 1.000 €</t>
  </si>
  <si>
    <t>BB; Ziff. 4.11</t>
  </si>
  <si>
    <t>15 € pro Tag,
max. 1 Jahr</t>
  </si>
  <si>
    <t>BB; Ziff. 4.13</t>
  </si>
  <si>
    <t>bis zur zweiten auf den Todestag folgenden Hauptfälligkeit</t>
  </si>
  <si>
    <t>bis 1 Jahr ab Vollendung der Geburt
Inv. - 60.000 €</t>
  </si>
  <si>
    <t>BB; Ziff. 6.2</t>
  </si>
  <si>
    <t>BB; Ziff. 6.5</t>
  </si>
  <si>
    <t>ärztliche Feststellung: 18 Monate
Geltendmachung: 21 Monate</t>
  </si>
  <si>
    <t>BB; Ziff. 6.6</t>
  </si>
  <si>
    <t>BB; Ziff. 6.7</t>
  </si>
  <si>
    <t>1 Woche
ab Kenntnisnahme</t>
  </si>
  <si>
    <t>BB; Ziff. 2.14 / Ziff. 6.4 / Ziff. 6.8 / Ziff. 6.9</t>
  </si>
  <si>
    <t>-Folgen psychischer/ nervöser Störungen infolge eines Unfalls
-nicht konkret nachgewiesener Verdienstausfall bei Selbstständigen bis 1,5‰ der Inv., max. 300 €
-Versehensklausel bei Obliegenheitsverletzungen
-Keine Benachteiligung durch Berufsausübung nach Unfall</t>
  </si>
  <si>
    <t>BB; Ziff. 6.12</t>
  </si>
  <si>
    <t>BB; Ziff. 7.2 / Ziff. 7.3</t>
  </si>
  <si>
    <t>verschiedene (2-fach / 5-fach) Mehrleistungsmodelle versicherbar</t>
  </si>
  <si>
    <t>sofern vereinbart</t>
  </si>
  <si>
    <t>AUB; Ziff. 5.2.7 / BB; Ziff. 2.2</t>
  </si>
  <si>
    <t>unfallbedingter Herzinfarkt oder Schlaganfall</t>
  </si>
  <si>
    <t>AUB; Ziff. 5.1.1 / BB; Ziff. 2.3</t>
  </si>
  <si>
    <t>BB; Ziff. 5.2.5</t>
  </si>
  <si>
    <t>ärztliche Feststellung: 15 Monate
Geltendmachung: 18 Monate</t>
  </si>
  <si>
    <t>-Versehensklausel bei Obliegenheitsverletzungen</t>
  </si>
  <si>
    <t>ab 75% Invalidität 5-fache Inva-liditätsgrundsumme versicherbar</t>
  </si>
  <si>
    <t>AUB; Ziff. 11.7 / BB; Ziff. 5.3</t>
  </si>
  <si>
    <t>Handbuch</t>
  </si>
  <si>
    <t>BB (Kompakt-Schutz) 1.10.1 a) / 1.10.3</t>
  </si>
  <si>
    <t>BB (Top-Schutz) 1.11.1 a) / 1.11.3</t>
  </si>
  <si>
    <t>Cholera, Diphtherie, Gürtelrose, Keuchhusten, spinale Kinderlähmung, Masern, Mumps, Pfeiffersches Drüsenfieber, Pocken/Windpocken, Röteln, Scharlach, Schweinegrippe, Tuberkulose, Typhus/Paratyphus, Vogelgrippe</t>
  </si>
  <si>
    <t>BB (Top-Schutz) 1.11.1 b)</t>
  </si>
  <si>
    <t>Schutzimpfungen gegen versichterte Infektionen</t>
  </si>
  <si>
    <t>BB (Kompatk-Schutz) 1.10.2</t>
  </si>
  <si>
    <t>BB (Top-Schutz) 1.11.2</t>
  </si>
  <si>
    <t>BB (Kompakt-Schutz) 1.8</t>
  </si>
  <si>
    <t>BB (Top-Schutz) 1.8</t>
  </si>
  <si>
    <t>BB (Grund-Schutz) 1.3</t>
  </si>
  <si>
    <t>BB (Kompakt-Schutz) 1.3</t>
  </si>
  <si>
    <t>BB (Top-Schutz) 1.3</t>
  </si>
  <si>
    <t>BB (Kompakt-Schutz) 1.4</t>
  </si>
  <si>
    <t>BB (Top-Schutz) 1.4</t>
  </si>
  <si>
    <t>BB (Kompakt-Schutz) 1.6</t>
  </si>
  <si>
    <t>BB (Top-Schutz) 1.6</t>
  </si>
  <si>
    <t>BB (Grund-Schutz) 1.1</t>
  </si>
  <si>
    <t>BB (Kompakt-Schutz) 1.1</t>
  </si>
  <si>
    <t>BB (Top-Schutz) 1.1</t>
  </si>
  <si>
    <t>BB (Grund-Schutz) 3.1</t>
  </si>
  <si>
    <t>BB (Kompakt-Schutz) 3.1</t>
  </si>
  <si>
    <t>BB (Top-Schutz) 3.1</t>
  </si>
  <si>
    <t>BB (Grund-Schutz) 3.2.1</t>
  </si>
  <si>
    <t>BB (Kompakt-Schutz) 3.2.1</t>
  </si>
  <si>
    <t>BB (Top-Schutz) 3.2.1</t>
  </si>
  <si>
    <t>AUB; Ziff. 1.4 / 5.2.7</t>
  </si>
  <si>
    <t>BB (Kompakt-Schutz) 1.9</t>
  </si>
  <si>
    <t>BB (Top-Schutz) 1.10.1</t>
  </si>
  <si>
    <t>BB (Top-Schutz) 1.10.2</t>
  </si>
  <si>
    <t>ja
(Führen von Kfz unter 0,5‰)</t>
  </si>
  <si>
    <t>ja, auch durch Medikamente
(Führen von Kfz unter 1,1‰)</t>
  </si>
  <si>
    <t>ja, auch durch Medikamente
(Führen von Kfz unter 1,5‰)</t>
  </si>
  <si>
    <t>BB (Grund-Schutz) 3.2.2</t>
  </si>
  <si>
    <t>BB (Kompakt-Schutz) 3.2</t>
  </si>
  <si>
    <t>BB (Top-Schutz) 3.2</t>
  </si>
  <si>
    <t>BB (Grund-Schutz) 1.1 / 3.3</t>
  </si>
  <si>
    <t>BB (Kompakt-Schutz) 1.1 / 3.3</t>
  </si>
  <si>
    <t>BB (Top-Schutz) 1.1 / 3.3.2</t>
  </si>
  <si>
    <t>BB (Grund-Schutz) 1.2</t>
  </si>
  <si>
    <t>BB (Kompakt-Schutz) 1.2</t>
  </si>
  <si>
    <t>BB (Top-Schutz) 1.2</t>
  </si>
  <si>
    <t>AUB; Ziff. 2.12.2 / Leistungsübersicht</t>
  </si>
  <si>
    <t>AUB; Ziff. 2.12.1.5 / 2.12.2</t>
  </si>
  <si>
    <t>BB (Grund-Schutz) 2.1</t>
  </si>
  <si>
    <t>BB (Kompakt-Schutz) 2.8</t>
  </si>
  <si>
    <t>BB (Top-Schutz) 2.8</t>
  </si>
  <si>
    <t>AUB; Ziff. 2.10.2 / Leistungsübersicht</t>
  </si>
  <si>
    <t>bis 10.000 € (auch Zahnarzt-, Zahn-behandlung-, Zahnlaborkosten)</t>
  </si>
  <si>
    <t>bis 50.000 € (auch Zahnarzt-, Zahn-behandlung-, Zahnlaborkosten)</t>
  </si>
  <si>
    <t>AUB; Ziff. 2.13.2 / Leistungsübersicht</t>
  </si>
  <si>
    <t>AUB; Ziff. 2.14.2 / Leistungsübersicht</t>
  </si>
  <si>
    <t>bis 10.000 € (auch Prothesen und Blindenhund)</t>
  </si>
  <si>
    <t>bis 25.000 € (auch Prothesen); Blindenhund bis 20.000 €)</t>
  </si>
  <si>
    <t>BB (Kompakt-Schutz) 2.10</t>
  </si>
  <si>
    <t>BB (Top-Schutz) 2.10</t>
  </si>
  <si>
    <t>Erlernung Blinden-/ Gebärdensprache bis 1.500 €</t>
  </si>
  <si>
    <t>Erlernung Blinden-/ Gebärdensprache bis 3.000 €</t>
  </si>
  <si>
    <t>BB (Kompakt-Schutz) 2.10.3</t>
  </si>
  <si>
    <t>BB (Top-Schutz) 2.10.4</t>
  </si>
  <si>
    <t>bis zur nächsten Hauptfälligkeit (bei 50% Inv. des VN: max. 2 Jahre)</t>
  </si>
  <si>
    <t>BB (Kompakt-Schutz) 4.3</t>
  </si>
  <si>
    <t>BB (Top-Schutz) Ziff. 4.4</t>
  </si>
  <si>
    <t>bis max. 1 Jahr 
(auch bei Erwerbsunfähigkeit)</t>
  </si>
  <si>
    <t>BB (Kompakt-Schutz) 4.2</t>
  </si>
  <si>
    <t>BB (Top-Schutz) 4.2 / 4.3</t>
  </si>
  <si>
    <t>Ab Heirat 3 Monate 
Inv. - 100.000 € (ohne Progression)
Tod - 10.000 €
UKHT/GG - 20 €</t>
  </si>
  <si>
    <t>Ab Heirat 3 Monate 
Inv. - 100.000 € (ohne Progression)
Tod - 10.000 €
UKHT/GG - 20 € / Einschluss 
ohne Gesundheitsprüfung</t>
  </si>
  <si>
    <t>BB (Kompakt-Schutz) 4.5</t>
  </si>
  <si>
    <t>BB (Top-Schutz) 4.7</t>
  </si>
  <si>
    <t>im Rahmen des Assistance-Bausteins versicherbar</t>
  </si>
  <si>
    <t>AUB; B. 3.1.8</t>
  </si>
  <si>
    <t>Hilfeleistungen über Assistance-Baustein versicherbar</t>
  </si>
  <si>
    <t>Schmerzensgeld versicherbar</t>
  </si>
  <si>
    <t>AUB; Ziff. 2.11</t>
  </si>
  <si>
    <t>BB (Kompakt-Schutz) 3.5</t>
  </si>
  <si>
    <t>BB (Top-Schutz) 3.5</t>
  </si>
  <si>
    <t>ja; Schädlichkeit der Person nicht bewusst</t>
  </si>
  <si>
    <t>ja; Schädlichkeit der Person nicht bewusst (Pflanzen bis 18 Jahre)</t>
  </si>
  <si>
    <t>AUB Ziff. 5.2.5 / BB (Kompakt-Schutz) 1.2 / 3.7.1</t>
  </si>
  <si>
    <t>AUB Ziff. 5.2.5 / BB (Top-Schutz) 1.2 / 3.7.1</t>
  </si>
  <si>
    <t>BB (Kompakt-Schutz) 1.5</t>
  </si>
  <si>
    <t>BB (Top-Schutz) 1.5</t>
  </si>
  <si>
    <t>10%
(+ KHTG/GG für 3 Tage)</t>
  </si>
  <si>
    <t>BB (Kompakt-Schutz) 4.6</t>
  </si>
  <si>
    <t>BB (Top-Schutz) 4.8 / 2.5 b) / 2.6. a)</t>
  </si>
  <si>
    <t>BB (Top-Schutz) 4.8</t>
  </si>
  <si>
    <t>30 € pro Tag
max. 2.000 €</t>
  </si>
  <si>
    <t>50 € pro Tag,
max. 3.000 €</t>
  </si>
  <si>
    <t>BB (Kompakt-Schutz) 3.7.5</t>
  </si>
  <si>
    <t>BB (Top-Schutz) 3.7.7</t>
  </si>
  <si>
    <t>ja
(für Kinder bis 18 Jahre)</t>
  </si>
  <si>
    <t>BB (Kompakt-Schutz) 3.7.2</t>
  </si>
  <si>
    <t>BB (Top-Schutz) 3.7.2</t>
  </si>
  <si>
    <t>1.-14. Tag: 30 € (ab 15. Tag: 15 €)
max. 100 Tage</t>
  </si>
  <si>
    <t>1.-14. Tag: 50 € (ab 15. Tag: 25 €)
max. 200 Tage</t>
  </si>
  <si>
    <t>BB (Kompakt-Schutz) 3.7.4</t>
  </si>
  <si>
    <t>BB (Top-Schutz) 3.7.6</t>
  </si>
  <si>
    <t>bis 1 Jahr ab Geburt 
Inv. - 50.000 € (ohne Progression)
Tod - 5.000 € / Kurbeihilfe/ Rehabilitationsmaßnahmen-3.000 €/ Serviceleistungen - 10.000 €</t>
  </si>
  <si>
    <t>BB (Grund-Schutz) 4.2</t>
  </si>
  <si>
    <t>BB (Kompakt-Schutz) 4.4</t>
  </si>
  <si>
    <t>BB (Top-Schutz) 4.6</t>
  </si>
  <si>
    <t>AUB 2.1 Ziff 2.1.2.1.</t>
  </si>
  <si>
    <t>AUB; Ziff 2.1.1.1.</t>
  </si>
  <si>
    <t>BB (Kompakt-Schutz) 2.1.1</t>
  </si>
  <si>
    <t>BB (Top-Schutz) 2.1.1</t>
  </si>
  <si>
    <t>BB (Grund-Schutz) 4.3</t>
  </si>
  <si>
    <t>BB (Kompakt-Schutz) 4.8</t>
  </si>
  <si>
    <t>BB (Top-Schutz) 4.10</t>
  </si>
  <si>
    <t>7 Tage;
auch Verschollenheit ist versichert</t>
  </si>
  <si>
    <t>AUB; Ziff 6.5</t>
  </si>
  <si>
    <t>BB (Kompakt-Schutz) 1.7 / 2.4.3</t>
  </si>
  <si>
    <t>BB (Top-Schutz) 1.7 / 2.4.4</t>
  </si>
  <si>
    <t>ja (außer Luftfahrt);
max. 50.000 €</t>
  </si>
  <si>
    <t>BB (Top.Schutz) 2.4.3</t>
  </si>
  <si>
    <t>BB (Grund-Schutz) 4.1.2</t>
  </si>
  <si>
    <t>BB (Kompakt-Schutz) 4.1.2</t>
  </si>
  <si>
    <t>BB (Top.Schutz) 4.1.2</t>
  </si>
  <si>
    <t>je nach versichertem Modell 3 - 5 Jahre nach Unfallereigniss</t>
  </si>
  <si>
    <t>AUB; Ziff. 2.7.1</t>
  </si>
  <si>
    <t>BB (Kompakt-Schutz) 2.5</t>
  </si>
  <si>
    <t>BB (Top.Schutz) 2.5</t>
  </si>
  <si>
    <t>je nach versichertem Modell 3 - 5 Tagessätze</t>
  </si>
  <si>
    <t>je nach versichertem Modell 100, 300 oder 750 Tage</t>
  </si>
  <si>
    <t>15 € pro Tag,
max. 2 Jahre</t>
  </si>
  <si>
    <t>30 € pro Tag,
max. 4 Jahre</t>
  </si>
  <si>
    <t>BB (Kompakt-Schutz) 2.9</t>
  </si>
  <si>
    <t>BB (Top-Schutz) 2.9</t>
  </si>
  <si>
    <t>Pflegeleistungen im Rahmen der Assistanceleistungen versicherbar</t>
  </si>
  <si>
    <t>AUB; B.</t>
  </si>
  <si>
    <t>AUB 3</t>
  </si>
  <si>
    <t>Berufswechsel muss nur bei aus-drückl. Anfrage angezeigt werden</t>
  </si>
  <si>
    <t>AUB 4.4.1</t>
  </si>
  <si>
    <t>BB (Top-Schutz) 4.11</t>
  </si>
  <si>
    <t>Allg. Tarifbestimmungen; 10.1</t>
  </si>
  <si>
    <t>BB (Grund-Schutz) 4.6</t>
  </si>
  <si>
    <t>BB (Kompakt-Schutz) 4.11</t>
  </si>
  <si>
    <t>BB (Top-Schutz) 4.14</t>
  </si>
  <si>
    <t>l - 70% / ll - 80% / lll - 100%</t>
  </si>
  <si>
    <t>l - 65% / ll - 80% / lll - 100%</t>
  </si>
  <si>
    <t>l - 60% / ll - 80% / lll - 100%</t>
  </si>
  <si>
    <t>l - 55% / ll - 75% / lll - 90%</t>
  </si>
  <si>
    <t>l - 20% / ll - 30% / lll - 40%</t>
  </si>
  <si>
    <t>l - 10% / ll - 20% / lll - 30%</t>
  </si>
  <si>
    <t>l - 5% / ll - 10% / lll - 15%</t>
  </si>
  <si>
    <t>l - 50% / ll - 80% / lll - 100%</t>
  </si>
  <si>
    <t>l - 45% / ll - 80% / lll - 100%</t>
  </si>
  <si>
    <t>l - 40% / ll - 60% / lll - 70%</t>
  </si>
  <si>
    <t>l - 2% / ll - 5% / lll - 10%</t>
  </si>
  <si>
    <t>l - 50% / ll - 60% / lll - 70%</t>
  </si>
  <si>
    <t>l - 30% / ll - 45% / lll - 50%</t>
  </si>
  <si>
    <t>l - 5% / ll - 20% / lll - 30%</t>
  </si>
  <si>
    <t>l - 0% / ll - 100% / lll - 100%</t>
  </si>
  <si>
    <t>l - 20% / ll - 25% / lll - 25%</t>
  </si>
  <si>
    <t>l - 100% / ll - 100% / lll - 100%</t>
  </si>
  <si>
    <t>l - 0% / ll - 5% / lll - 10%</t>
  </si>
  <si>
    <t>l - 0% / ll - 10% / lll - 20%</t>
  </si>
  <si>
    <t>l - 0% / ll - 0% / lll - 10%</t>
  </si>
  <si>
    <t>l - 0% / ll - 0% / lll - 20%</t>
  </si>
  <si>
    <t>l - 0% / ll - 0% / lll - 50%</t>
  </si>
  <si>
    <t>-Luftfahrunfälle als Flugschüler/ Passagier sind mitversichert</t>
  </si>
  <si>
    <t>BB (Grund-Schutz) 3.4</t>
  </si>
  <si>
    <t>BB (Kompakt-Schutz) 2.1.2 / 2.4.2 / 3.4 / 3.6 / 3.8 / 3.9 / 3.10 / 3.11 /</t>
  </si>
  <si>
    <t>BB (Top-Schutz) 1.9 / 2.1.2 / 2.4.2 / 3.4 / 3.6 / 3.7.3 / 3.7.4 / 3.8 / 3.9 / 3.10 / 3.11 / 3.12 /</t>
  </si>
  <si>
    <t>BB Grund-Schutz 2013
Stand 01-2013</t>
  </si>
  <si>
    <t>BB Kompakt-Schutz 2013
Stand 01-2013</t>
  </si>
  <si>
    <t>BB Top-Schutz 2013
Stand 01-2013</t>
  </si>
  <si>
    <t>HanseMerkur Grund-Schutz</t>
  </si>
  <si>
    <t>HanseMerkur Kompakt-Schutz</t>
  </si>
  <si>
    <t>HanseMerkur Top-Schutz</t>
  </si>
  <si>
    <t>hansemer top ja (auch allergische Reaktionen, Wundinfektionen, Blutvergiftungen)</t>
  </si>
  <si>
    <t>Helvetia ja (auch allergische Reaktionen und Wundinfektionen)</t>
  </si>
  <si>
    <t>Gothaer Unfall Top 2010 Plus (01-2013)</t>
  </si>
  <si>
    <t>ja, auch allergische Reaktionen und Wundinfektionen</t>
  </si>
  <si>
    <t>Gothaer UnfallTop 2014</t>
  </si>
  <si>
    <t>Gothaer Unfall 2014</t>
  </si>
  <si>
    <t>Gothaer UnfallTop 2014 Plus</t>
  </si>
  <si>
    <t>unvorhergesehen bis 14 Tage 
(auch Terror)</t>
  </si>
  <si>
    <t>unvorhergesehen bis 21 Tage 
(auch Terror)</t>
  </si>
  <si>
    <t>Brucellose, Cholera, Diphterie, Echinokokkose, epidemische Kinderlähmung, Hirnhautentzündung, Keuchhusten, Lepra, Masern, Mumps, Pest, Röteln</t>
  </si>
  <si>
    <t>Eintritt: 21 Monate
ärztliche Feststellung: 27 Monate</t>
  </si>
  <si>
    <t xml:space="preserve">ab 50% </t>
  </si>
  <si>
    <t xml:space="preserve">ab 45% </t>
  </si>
  <si>
    <t>50 € je Tag, max. 2.500 €, nur wenn Kind unter 15 Jahre im Haushalt lebt</t>
  </si>
  <si>
    <t>30 € pro Tag
max. 50 Schultage</t>
  </si>
  <si>
    <t>bis 1.000 € bei Schädel-Hirn-Trauma 2. o. 3. Grades (auch Erwachsene)</t>
  </si>
  <si>
    <t>bis 2.500 € bei Schädel-Hirn-Trauma 2. o. 3. Grades (auch Erwachsene)</t>
  </si>
  <si>
    <t>bis 10.000 € bei Schädel-Hirn-Trauma 2. o. 3. Grades (auch Erwachsene)</t>
  </si>
  <si>
    <t>GUB; Ziff. 1.4.1 / BB; Nr. 101</t>
  </si>
  <si>
    <t>GUB; Ziff. 1.4.1</t>
  </si>
  <si>
    <t>BB; Nr. 101</t>
  </si>
  <si>
    <t>GUB; Ziff. 1.4.3 / BB; Nr. 101</t>
  </si>
  <si>
    <t>GUB; Ziff. 1.4.3</t>
  </si>
  <si>
    <t>GUB; Ziff. 1.4.4 / BB; Nr. 101</t>
  </si>
  <si>
    <t>GUB; Ziff. 1.4.4</t>
  </si>
  <si>
    <t>GUB; Ziff. 2.1.1.1 / BB; Nr. 101</t>
  </si>
  <si>
    <t>GUB; Ziff. 2.1.1.1</t>
  </si>
  <si>
    <t>GUB; Ziff. 3.6 / BB; Nr. 101</t>
  </si>
  <si>
    <t>GUB; Ziff. 3.6</t>
  </si>
  <si>
    <t>GUB; Ziff. 2.1.2.2.1 a)</t>
  </si>
  <si>
    <t>GUB; Ziff. 2.1.2.2.1 b)</t>
  </si>
  <si>
    <t>GUB; Ziff. 2.1.2.2.1 c)</t>
  </si>
  <si>
    <t>GUB; Ziff. 2.1.2.2.1 a) / BB; Nr. 101</t>
  </si>
  <si>
    <t>GUB; Ziff. 2.1.2.2.1 b) / BB; Nr. 101</t>
  </si>
  <si>
    <t>GUB; Ziff. 2.1.2.2.1 c) / BB; Nr. 101</t>
  </si>
  <si>
    <t>GUB; Ziff. 2.3.1 / BB; Nr. 101</t>
  </si>
  <si>
    <t>GUB; Ziff. 2.3.1</t>
  </si>
  <si>
    <t>GUB; Ziff. 2.3.2 / BB; Nr. 101</t>
  </si>
  <si>
    <t>GUB; Ziff. 2.3.2</t>
  </si>
  <si>
    <t>GUB; Ziff. 2.4.2 / BB; Nr. 101</t>
  </si>
  <si>
    <t>GUB; Ziff. 2.4.2</t>
  </si>
  <si>
    <t>GUB; Ziff. 2.6.1 / BB; Nr. 101</t>
  </si>
  <si>
    <t>GUB; Ziff. 2.6.1 a)</t>
  </si>
  <si>
    <t>GUB; Ziff. 2.6.1 e)</t>
  </si>
  <si>
    <t>GUB; Ziff. 2.7.1 / Ziff. 2.8</t>
  </si>
  <si>
    <t>GUB; Ziff. 2.7.1 / Ziff. 2.8 / BB; Nr. 101</t>
  </si>
  <si>
    <t>20 € pro Tag
max. 30 Tage</t>
  </si>
  <si>
    <t>einmalig 1.000 € (mind. 3 wöchige Reha-Maßnahme)</t>
  </si>
  <si>
    <t>50 € je Tag, max. 1.000 €, nur wenn Kind unter 15 Jahre im Haushalt lebt</t>
  </si>
  <si>
    <t>im Rahmen der behinderungsbe-dingten Kosten (auch Prothesen)</t>
  </si>
  <si>
    <t>5.000 € bei Totgeburt (sofern Totgeburt eine Unfallfolge ist)</t>
  </si>
  <si>
    <t>GUB; Ziff. 4.1.1 / BB; Nr. 101</t>
  </si>
  <si>
    <t>GUB; Ziff. 4.1.1</t>
  </si>
  <si>
    <t>ja, + ärztl. verordnete Medikamente
(Führen von Kfz bis 1,1 ‰)</t>
  </si>
  <si>
    <t>ja (auch epileptische Anfälle, andere Krampfanfälle) nicht für Senioren</t>
  </si>
  <si>
    <t>GUB; Ziff. 1.4.6 / Ziff. 4.2.4 / BB; Nr. 101</t>
  </si>
  <si>
    <t>GUB; Ziff. 1.4.6 / Ziff. 4.2.4</t>
  </si>
  <si>
    <t>Lebensmittelvergiftungen (Nah-rungsmittel: für Kinder &lt; 14 Jahre)</t>
  </si>
  <si>
    <t>GUB; Ziff. 5 / BB; Nr. 101</t>
  </si>
  <si>
    <t>GUB; Ziff. 5</t>
  </si>
  <si>
    <t>GUB 2014
Stand 02-2014</t>
  </si>
  <si>
    <t>GUB; Ziff. 1.4.1 / BB; Nr. 102</t>
  </si>
  <si>
    <t>ja
(nicht für Senioren)</t>
  </si>
  <si>
    <t>GUB; Ziff. 1.4.4 / BB; Nr. 102</t>
  </si>
  <si>
    <t>GUB; Ziff. 3.6 / BB; Nr. 102</t>
  </si>
  <si>
    <t>GUB; Ziff. 2.1.1.1 / BB; Nr. 102</t>
  </si>
  <si>
    <t>GUB; Ziff. 2.1.2.2.1 a) / BB; Nr. 102</t>
  </si>
  <si>
    <t>GUB; Ziff. 2.1.2.2.1 b) / BB; Nr. 102</t>
  </si>
  <si>
    <t>GUB; Ziff. 2.1.2.2.1 c) / BB; Nr. 102</t>
  </si>
  <si>
    <t>100% (60%, sofern eine Niere bereits funktionsuntüchtig war)</t>
  </si>
  <si>
    <t>GUB; Ziff. 2.6.1 / BB; Nr. 102</t>
  </si>
  <si>
    <t>GUB; Ziff. 2.7.1 / Ziff. 2.8 / BB; Nr. 102</t>
  </si>
  <si>
    <t>bis 30.000 € (auch Zahnbehandlung für Eck-/ Schneide-/ Backenzähne)
(Zerstörung Zahnersatz bis 2.500 €)</t>
  </si>
  <si>
    <t>bis 20.000 € (auch Zahnbehandlung/ Zahnersatz f. Eck-/ Schneidezähne)
(keine Zerstörung von Zahnersatz)</t>
  </si>
  <si>
    <t>bis 10.000 € (auch Zahnbehandlung/ Zahnersatz f. Eck-/ Schneidezähne)
(keine Zerstörung von Zahnersatz)</t>
  </si>
  <si>
    <t>GUB; Ziff. 5 / BB; Nr. 102</t>
  </si>
  <si>
    <t>BB; Nr. 102</t>
  </si>
  <si>
    <t>Gothaer Garantie-Paket</t>
  </si>
  <si>
    <t>BB; Nr. 95 / Tarif</t>
  </si>
  <si>
    <t>Hilfs-/Pflegeleistungen (6 Monate) über "CuraPlus" versicherbar</t>
  </si>
  <si>
    <t>GUB; Ziff. 1.3 / Ziff. 1.4.3</t>
  </si>
  <si>
    <t>GUB; Ziff. 1.3</t>
  </si>
  <si>
    <t>ja, als Unfallfolge
(auch Erwachsene)</t>
  </si>
  <si>
    <t>GUB; Ziff. 1.4.1 / Ziff. 4.2.7</t>
  </si>
  <si>
    <t>GUB; Ziff. 1.4.2</t>
  </si>
  <si>
    <t>GUB; Ziff. 1.4.5</t>
  </si>
  <si>
    <t>GUB; Ziff. 1.4.6</t>
  </si>
  <si>
    <t>GUB; Ziff. 2.1.2.1</t>
  </si>
  <si>
    <t>GUB; Ziff. 2.5 / Ziff. 9.5</t>
  </si>
  <si>
    <t>48 h ab Kenntnisnahme,
auch Verschollenheit ist versichert</t>
  </si>
  <si>
    <t>GUB; Ziff. 3.1</t>
  </si>
  <si>
    <t>GUB; Ziff. 3.2</t>
  </si>
  <si>
    <t>ab Heirat bis zur nächsten Hauptfälligkeit
Inv. - 30.000 €
Tod - 5.000 €</t>
  </si>
  <si>
    <t>ab Geburt bis zur nächsten Hauptfälligkeit
Inv. - 30.000 €
Tod - 5.000 €</t>
  </si>
  <si>
    <t>GUB; Ziff. 3.3</t>
  </si>
  <si>
    <t>GUB; Ziff. 3.4</t>
  </si>
  <si>
    <t>GUB; Ziff. 3.5</t>
  </si>
  <si>
    <t>ja,
max. 50.000 € je Elternteil</t>
  </si>
  <si>
    <t>GUB; Ziff. 3.7</t>
  </si>
  <si>
    <t>Inv. - 25.000 (ohne Progression)
Tod - 25.000 €</t>
  </si>
  <si>
    <t>GUB; Ziff. 4.1.2 / Ziff. 4.1.3</t>
  </si>
  <si>
    <t>GUB; Ziff. 4.1.2 / Ziff. 4.1.3 / BB; Nr. 101</t>
  </si>
  <si>
    <t>GUB; Ziff. 4.1.2 / Ziff. 4.1.3 / BB; Nr. 101 / Nr. 102</t>
  </si>
  <si>
    <t>GUB; Ziff. 6</t>
  </si>
  <si>
    <t>GUB; Ziff. 7.3</t>
  </si>
  <si>
    <t>GUB; Ziff. 9.1</t>
  </si>
  <si>
    <t>GUB; Ziff. 4.1.5 / Ziff. 4.2.2 / Ziff. 9.3 /
BB; Nr. 101</t>
  </si>
  <si>
    <t>GUB; Ziff. 4.1.5 / Ziff. 4.2.2 / Ziff. 9.3 / Ziff. 11.4</t>
  </si>
  <si>
    <t>GUB; Ziff. 4.1.5 / Ziff. 4.2.2 / Ziff. 9.3 /
BB; Nr. 101 / Nr. 102</t>
  </si>
  <si>
    <t>Gothaer Extra-Services</t>
  </si>
  <si>
    <t>wie 01-2013 (minimale Änderungen, wie SEPA)</t>
  </si>
  <si>
    <t>AUB 2010
Stand 01-2014</t>
  </si>
  <si>
    <t>durch Unfall in den Körper gelangte Infektionen</t>
  </si>
  <si>
    <t>bis 1 Jahr ab Geburt
(auch Ungeborene)
Inv. - 30.000 € (ohne Progression)
(Einschluss während Vorsorge: Ein-schluss ohne Gesundheitsprüfung)</t>
  </si>
  <si>
    <t>Grundeigentümer (Regulär)
Pro Domo Basis (10-2009)</t>
  </si>
  <si>
    <t>Grundeigentümer (Regulär)
Pro Domo Komfort (10-2009)</t>
  </si>
  <si>
    <t>Grundeigentümer (Regulär)
Pro Domo Premium (02-2010)</t>
  </si>
  <si>
    <t>aktuell
(geprüft am 24.02.2014)</t>
  </si>
  <si>
    <t>wie 04-2012 / wie 10-2012 / wie 03-2013</t>
  </si>
  <si>
    <t>AUB 2012
Stand 01-2014</t>
  </si>
  <si>
    <t>veraltet
(bereits im Archiv)</t>
  </si>
  <si>
    <t>Baden Badener Top 2012
(Stand 03-2013)</t>
  </si>
  <si>
    <t>AUB 2012
Stand 10-2013</t>
  </si>
  <si>
    <t>wie 02-2012</t>
  </si>
  <si>
    <t>AUB
Stand 08-2013</t>
  </si>
  <si>
    <t>DEVK Komplett
(Stand 12-2012)</t>
  </si>
  <si>
    <t>BB Komfort-Schutz 2009
Stand 12-2012</t>
  </si>
  <si>
    <t>BB Standard-Schutz 2009
Stand 12-2012</t>
  </si>
  <si>
    <t>wie 07-2013</t>
  </si>
  <si>
    <t>wie 04-2013</t>
  </si>
  <si>
    <t>AUB B17 XL
Stand 07-2013</t>
  </si>
  <si>
    <t>AUB B18 XXL
Stand 07-2013</t>
  </si>
  <si>
    <t>AUB 2012
Stand 12-2013</t>
  </si>
  <si>
    <t>wie 01-2013</t>
  </si>
  <si>
    <t>UNB 2012
Stand 07-2013</t>
  </si>
  <si>
    <t>wie 10-2012 / wie 04-2013</t>
  </si>
  <si>
    <t>AUB 2004
Stand 10-2013</t>
  </si>
  <si>
    <t>AUB; 1); §1 (5)</t>
  </si>
  <si>
    <t>Eintritt: 18 Monate
ärztliche Feststellung: 30 Monate</t>
  </si>
  <si>
    <t>AUB; 1); §2; IX. (5)</t>
  </si>
  <si>
    <t>Erhöhung um 20.000 € (Invalidität) und um 20 € (KHTG/GG)
max. 100.000 €</t>
  </si>
  <si>
    <t>AUB; 1); §2; IX. (6) / AUB; 2) BBU 241</t>
  </si>
  <si>
    <t>Unterbringungskosten bis 50 € je Tag, max. 30 Tage</t>
  </si>
  <si>
    <t>AUB; 1); §1 (3) g) /
§2; IX. (3) /
§5; I. (4) / (5) /
§5; II. (3) / II. (6) /
§7 (3) /
§10 (3)</t>
  </si>
  <si>
    <t>10% (Ivalidität, Tod, KHTG/GG), 
max. 1.000.000 € - auch Erwachsene</t>
  </si>
  <si>
    <t>AUB; 1); §2; IX. (7) / AUB KinderSicher; §2; I. (2) g) / IV. (2) f)</t>
  </si>
  <si>
    <t>aktuell
(geprüft am 26.02.2014)</t>
  </si>
  <si>
    <t>AUB Top 2013
Stand 12-2013</t>
  </si>
  <si>
    <t>Baden Badener Top 2013</t>
  </si>
  <si>
    <t>AUB; 1); §2; V. (2) a) / BBU 290 / AUB KinderSicher; §2; I. (2) i)</t>
  </si>
  <si>
    <t>3 Tagessätze UKHTG/GG+ Schmer-zensgeld innerhalb "KinderSicher" (Sofortleistung versicherbar)</t>
  </si>
  <si>
    <t>HDI</t>
  </si>
  <si>
    <t>erstmalige
Infizierung mit einem Erreger der Infektionen Borreliose, Brucellose,
Cholera, Diphtherie, Dreitagefieber, epidemische Kinderlähmung (Poliomyelitis),
Fleckfieber, Frühsommermeningitis/ Zeckenenzephalitis, Gelbfieber,
Genickstarre, Keuchhusten, Lepra, Malaria, Masern, Pest, Pocken,
Scharlach, Schlaf-/Tsetsekrankheit, Tularämie (Hasenpest), Typhus und Paratyphus
oder Windpocken</t>
  </si>
  <si>
    <t>BB; Ziff. 12 a)</t>
  </si>
  <si>
    <t>BB; Ziff. 12 b)</t>
  </si>
  <si>
    <t>ja (Berufs- oder Gewerbekrankheiten ausgeschl.)</t>
  </si>
  <si>
    <t>AUB; Ziff. 1.3</t>
  </si>
  <si>
    <t>ja (als Zusatz zu AUB)</t>
  </si>
  <si>
    <t>ja (über Paket Risiko Plus)</t>
  </si>
  <si>
    <t>Risiko Plus; Ziff. 2</t>
  </si>
  <si>
    <t>Paket Basis; Ziff. 2</t>
  </si>
  <si>
    <t>Paket Basis; Ziff. 3</t>
  </si>
  <si>
    <t>Paket Basis; Ziff. 10</t>
  </si>
  <si>
    <t>Risiko Plus; Ziff. 8</t>
  </si>
  <si>
    <t>Risiko Plus; Ziff 5</t>
  </si>
  <si>
    <t>Rundum sorglos; Ziff. 1</t>
  </si>
  <si>
    <t>Ja (Führen von Kfz bis 1,3‰)</t>
  </si>
  <si>
    <t>Risiko Plus; Ziff. 9.1 / 9.2</t>
  </si>
  <si>
    <t>Basis Ziff. 9</t>
  </si>
  <si>
    <t>Risiko Plus; Ziff. 14</t>
  </si>
  <si>
    <t>AUB; Ziff. 2.7 |   über Risiko Plus</t>
  </si>
  <si>
    <t>Risiko Plus; Ziff. 2 B</t>
  </si>
  <si>
    <t>10 % Inv-Summe, max. 10.000 Euro | 3 Monatsrenten, max. 5.000 Euro</t>
  </si>
  <si>
    <t>Leistung Plus; Ziff. 1</t>
  </si>
  <si>
    <t>bis 20.000 € auch krebsbedingte Operationen und Zahnbehandlungs- und Zahnersatzkosten</t>
  </si>
  <si>
    <t>AUB; Ziff. 2.8.1 |</t>
  </si>
  <si>
    <t>bis 3.000€</t>
  </si>
  <si>
    <t>Leistung Plus; Ziff.  2</t>
  </si>
  <si>
    <t>bis 5.000€</t>
  </si>
  <si>
    <t>Paketschutzbrief; Ziff. 5</t>
  </si>
  <si>
    <t>bis zum Ablauf des Versicherungsjahres, in dem as mitversicherte Kind das 18. LJ vollendet</t>
  </si>
  <si>
    <t>Rundum sorglos; Ziff.  9</t>
  </si>
  <si>
    <t>Paket Schutzbrief; Ziff. 3</t>
  </si>
  <si>
    <t>Paket Schutzbrief; Ziff. 1</t>
  </si>
  <si>
    <t>Bes.Vereinb. Zur BbA; Ziff. 3</t>
  </si>
  <si>
    <t>bis zur nächsten Hauptfälligkeit, mindestens 3 Monate -  Inv. 100.000 € 50.000 € Todesfall</t>
  </si>
  <si>
    <t>Rundum sorglos; Ziff. 8</t>
  </si>
  <si>
    <t>Paket Schutzbrief</t>
  </si>
  <si>
    <t>bis 30 € / Tag, max. 100 Tage</t>
  </si>
  <si>
    <t>Risiko Plus; Ziff. 7</t>
  </si>
  <si>
    <t xml:space="preserve"> - </t>
  </si>
  <si>
    <t>&lt;25%</t>
  </si>
  <si>
    <t>30 € für bis zu 100 Tage</t>
  </si>
  <si>
    <t>AUB; Ziffer 2 (erweitert)</t>
  </si>
  <si>
    <t>ZB KiUV</t>
  </si>
  <si>
    <t>30 € / Tag, max. 100 Übernachtungen | über Leistung Plus auch für den Ehe-/Lebenspartner</t>
  </si>
  <si>
    <t>ZB KiUV | Paket Leistung Plus; Ziff. 6</t>
  </si>
  <si>
    <t>Ja, für Kinder bis 14 Jahre</t>
  </si>
  <si>
    <t xml:space="preserve">ZB KiUV </t>
  </si>
  <si>
    <t>ja ( auch Erwachsene)</t>
  </si>
  <si>
    <t>Risiko Plus; Ziff. 4</t>
  </si>
  <si>
    <t>Paket Basis; Ziff. 5</t>
  </si>
  <si>
    <t>ab Geburt bis 1 Jahr bzw. 1 Jahr ab Adoption | Inv.-25.000 € 5.000 € Todefall</t>
  </si>
  <si>
    <t xml:space="preserve">Paket Basis; Ziff. 16 </t>
  </si>
  <si>
    <t>ab 75% Inv. Wird für jedes übersteigende Prozent mit zustätzlich 4% geleistet | max. 200.000 €</t>
  </si>
  <si>
    <t>BB für Mehrleistung</t>
  </si>
  <si>
    <t>12 Monate | Basis 18 Monate | rundum sorglos 24 Monate| ärtzliche Feststellung: 15 Monate</t>
  </si>
  <si>
    <t>AUB; Ziff. 2.1.1.1 | Basis | sorglos</t>
  </si>
  <si>
    <t>ja, max. 50.000 € soweit Kind &lt; 14 Jahre</t>
  </si>
  <si>
    <t>Risiko Plus; Ziff. 17</t>
  </si>
  <si>
    <t>48 Stunden</t>
  </si>
  <si>
    <t>AUB 7.5</t>
  </si>
  <si>
    <t>Paket Tagegeld</t>
  </si>
  <si>
    <t>Paket Tagegeld; Ziff. 8</t>
  </si>
  <si>
    <t>bis 3 Jahre</t>
  </si>
  <si>
    <t>Paket Tagegeld; Ziff. 7</t>
  </si>
  <si>
    <t>Paket Tagegeld; Ziff. 6</t>
  </si>
  <si>
    <t>Paket Tagegeld; Ziff. 4</t>
  </si>
  <si>
    <t>max 1 Jahr</t>
  </si>
  <si>
    <t>Paket Tagegeld; Ziff. 9</t>
  </si>
  <si>
    <t>100 € pro Woche; max. 1 Jahr</t>
  </si>
  <si>
    <t>Im Rahmen des Schutzbriefs bis max. 10.000 €; max. 6 Monate</t>
  </si>
  <si>
    <t>ja, sofern jedoch ein Zuschlagsbeitrag zu entrichten ist, muss dieser ggf. rückwirkend gezahlt werden</t>
  </si>
  <si>
    <t>Paket Basis; Ziff. 12</t>
  </si>
  <si>
    <t>Paket rundum sorglos; Ziff. 10</t>
  </si>
  <si>
    <t>nur Polytraumata</t>
  </si>
  <si>
    <t>Paket Leistung Plus; Ziff. 1</t>
  </si>
  <si>
    <t>AUB; Ziff. 2.1.2.2.1  / BB Gliedertaxte</t>
  </si>
  <si>
    <t>70% / 70% / 85% / 100%</t>
  </si>
  <si>
    <t>65% / 70% / 85% / 100%</t>
  </si>
  <si>
    <t>60% / 70% / 75% / 100%</t>
  </si>
  <si>
    <t>55% / 60% / 70% / 100%</t>
  </si>
  <si>
    <t xml:space="preserve">20% / 25% / 30% / 60% </t>
  </si>
  <si>
    <t>10% % 15% / 20% / 30%</t>
  </si>
  <si>
    <t xml:space="preserve">5% / 10% / 15% / 20% </t>
  </si>
  <si>
    <t>60% / 70% / 80% / 100%</t>
  </si>
  <si>
    <t>50% / 70% / 75% / 100%</t>
  </si>
  <si>
    <t xml:space="preserve">45% / 70% / 70% / 100% </t>
  </si>
  <si>
    <t>40% / 50% / 65% / 100%</t>
  </si>
  <si>
    <t>5% / 10% / 15% / 20%</t>
  </si>
  <si>
    <t xml:space="preserve">2% / 5% / 8% / 10% </t>
  </si>
  <si>
    <t xml:space="preserve">50% / 50% / 60% / 75% </t>
  </si>
  <si>
    <t xml:space="preserve">30% / 50%  / 50% / 50% </t>
  </si>
  <si>
    <t xml:space="preserve">10% / 15% / 20% / 20% </t>
  </si>
  <si>
    <t xml:space="preserve">5% / 10% / 15% / 15% </t>
  </si>
  <si>
    <t>individuelle Festlegung nach AUB</t>
  </si>
  <si>
    <t>AUB 2011</t>
  </si>
  <si>
    <t xml:space="preserve">aktuell
</t>
  </si>
  <si>
    <t xml:space="preserve"> - psychische und nervöse Erkrankungen auf Grund Unfall
- Hilfeleistungen und Pflege, z.B. Erstgespräch zur Feststellung der Pflegebedürftigkeit, Menüservice / Mitversorgung des Partners und im Haushalt lebender minderjähriger Kinder
- unfallunabhängiger Oberschenkelhalsbruch (ab dem 50. Lebensjahr) 2.000 €, zusätzl. 8.000 € bei 30% Inv.
- Fahren ohne Führerschein ( Minderjährige und Endmündigte</t>
  </si>
  <si>
    <t>Fahrtveranstaltungen</t>
  </si>
  <si>
    <t xml:space="preserve">-Teilnahme an Fahrtveranstaltungen, bei denen es auf die Erziehlung einer Durchschnittsgeschwindigkeit ankommt sowie Fahrten mit Go-Karts in Kartcentern (kein Vereinssport) </t>
  </si>
  <si>
    <t xml:space="preserve">Teilnahme an Fahrtveranstaltungen, bei denen es auf die Erziehlung einer Durchschnittsgeschwindigkeit ankommt sowie Fahrten mit Go-Karts in Kartcentern (kein Vereinssport) </t>
  </si>
  <si>
    <t>Fahrveranstaltungen auf öffentlich zugänglichen Gokartbahnen mit Leihkarts sowie Tourenfahrten, Stern- und Rallyefahrten</t>
  </si>
  <si>
    <t>-einmalig 3.000 € bei körperlicher Verletzung durch Raubüberfall/ Geiselnahme
-einmalig 3.000 € bei unfallbedingter Fehlgeburt bei Frauen
-Kitesurfen ist versichert
-Gesundheitsschäden durch Maniküre/Pediküre sind versichert
-Folgen psychischer und nervöser Störungen infolge eines Unfalls mitversichert
-nicht konkret nachgewiesener Verdienstausfall bei Selbstständigen infolge vom VR veranlassster ärztlicher Untersuchung i.H.v. 1,5‰ der Invaliditätsgrundsumme, max. 500 €
-Sonderrecht zur Kündigung zu jedem Monatsende für den VN für Verträge mit einer Laufzeit unter 3 Jahren</t>
  </si>
  <si>
    <t>Teilnahme an Fahrtveranstaltungen, bei denen es auf die Erzielung einer Durchschnittsgeschwindigkeit ankommt</t>
  </si>
  <si>
    <t>-Kosmetische OP infolge Brustkrebs bis 10.000 €, 3 Monate Wartezeit (kosmetische Behandlung beim Kosmetiker bis 10% der VS)
-private Motorsportrisiken versicherbar (Leistung ab 10% Invalidität)
-Reparatur von Prothesen bis 2.500 € im Rahmen der Bergungskosten
-Reha-Management im Rahmen der Bergungskosten
-Entzug von ärztlich verordneten Medikamenten aufgrund Unfall ist versichert
-Oberschenkelhalsbruch ist auch ohne Unfall versichert
-Höhenlungenödem (HAPE) und Höhenhirnödem (HACE aufgrund akuter Höhenkrankheit (AMS) sind versichert
-Minderjährige/ Entmündigte bei Fahren ohne Fahrerlaubnis
-Minderjährige/ Entmündigte beim Umgang mit selbstgebauten Feuerwerkskörpern
-Das Schneiden, Rasieren, Feilen von Nägeln, Haaren, Höhneraugen und Hornhaut ist versichert, sofern dies durch ausgebildetes Fachpersonal ausgeführt wird</t>
  </si>
  <si>
    <t>BB; Ziff. U500</t>
  </si>
  <si>
    <t xml:space="preserve"> -  </t>
  </si>
  <si>
    <t>BB; Ziff. 1.3</t>
  </si>
  <si>
    <t>AUB § 5 I. (5)</t>
  </si>
  <si>
    <t>Unfälle bei Fahrten, bei denen es auf ein Erzielen einer Durchschnittsgeschwindigkeit ankommt</t>
  </si>
  <si>
    <t xml:space="preserve">  - </t>
  </si>
  <si>
    <t>AUB Ziff. 4.1.5.</t>
  </si>
  <si>
    <t>AUB; Ziff. 4.1.5.</t>
  </si>
  <si>
    <t>Unfälle bei Fahrten, bei denen es auf ein Erzielen einer Durchschnittsgeschwindigkeit ankommt
(extra Motorsport-Konzept vorhanden)</t>
  </si>
  <si>
    <t>Fahrtveranstaltungen bei denen es auf die Erzielung einer Durchschnittsgeschwindigkeit ankommt</t>
  </si>
  <si>
    <t xml:space="preserve">Fahrtveranstaltungen, bei denen es auf die Erziehlung einer Durchschnittsgeschwindigkeit ankommt </t>
  </si>
  <si>
    <t>-Nicht-/ Falscheinnahme von Medikamenten infolge Entführung/ Geiselnahme
-Vorschuss auf Invaliditätsleistung auch ohne vereinbarte Todesfallleistung
-Todesfallleistung auch bei Unfalltod aufgrund Geistes-/ Bewusstseinsstörung (max. 20.000 €)
-Sofortleistung bei Schwerverletzung bei Bau oder Kauf eines Eigenheims 10.000 €
-Luftfahrunfälle als Flugschüler/ Passagier sowie Kitesurfen sind mitversichert
-Minderjährige beim Fahren ohne Fahrerlaubnis
-Minderjährige beim Umgang mit selbstgebauten Feuerwerkskörpern
-Schneiden von Nägeln, Hühneraugen oder Hornhaut ist versichert
-psychische Störungen im Anschluss an Unfall sind versichert
-Blutungen aus inneren Organen oder Gehirnblutungen sind versichert
-nachgewiesener Vierdienstausfall bei Selbstständigen infolge vom VR veranlasster ärztlicher Untersuchung bis 1.000 €
-Obliegenheitsverletzungen durch grobe Fahrlässigkeit</t>
  </si>
  <si>
    <t>Fahrtveranstaltungen, bei denen es auf die Erziehlung einer Durchschnittsgeschwindigkeit ankommt sowie nicht lizenzpflichtige Rennveranstaltungen</t>
  </si>
  <si>
    <t>versichert sind Freizeitkartrennen/ Fahrtveranstaltugnen</t>
  </si>
  <si>
    <t xml:space="preserve"> versichert sind Freizeitkartrennen/ Fahrtveranstaltugnen </t>
  </si>
  <si>
    <t>-Unfall-Schutzbrief mit umfangreichen Leistungen versicherbar
-Gesundheitsschädigungen aufgrund Höhenlungenödem, Höhenhirnödem oder akuter Höhenkrankheit sind versichert
-Rehamanagement ab 50% Inv., max. 10.000 €
-Vorsorgeversicherung bei Schwerverletzung bei Bau oder Kauf eines Eigenheims 40.000 €
-ab Vollendung des 60. Lj. Wahlrecht, ob VS reduziert, Beitrag erhöht wird
-Vorschussleistung i.H.v. 10% d. VS vor Abschluss des Heilverfahrens auch ohne vereinbarte Todesfallsumme
-Kitesurfen ist versichert, sofern dafür nach deutschem Recht keine Erlaubnis benötigt wird</t>
  </si>
  <si>
    <t>versichert sind Freizeitkartrennen/ Fahrtveranstaltungen</t>
  </si>
  <si>
    <t xml:space="preserve">BB; Ziff. 7.9 </t>
  </si>
  <si>
    <t>gelegentlichen Fahrten in einer öffentlich zugänglichen Gokartbahn</t>
  </si>
  <si>
    <t>AUB; Ziff. 5.1.5.</t>
  </si>
  <si>
    <t>Fahrtveranstaltungen, bei denen es auf die Erziehlung einer Durchschnittsgeschwindigkeit ankommt</t>
  </si>
  <si>
    <t>Erläuterung zu § 3 Ziff. 1.5</t>
  </si>
  <si>
    <t>Erläuterung zu § 3 Ziff. 1.4</t>
  </si>
  <si>
    <t>-keine Kündigungsfrist
-Oberschenkelhals-/ Armbruch sind unabhängig von der Ursache mitversichert
-Nicht-/ Falscheinnahme von Medikamenten infolge Entführung/ Geiselnahme
-Minderjährige/Entmündigte beim Fahren ohne Fahrerlaubnis
-Minderjährige/Entmündigte beim Umgang mit selbstgebauten Feuerwerkskörpern
-Kitesurfen ist versichert
-Flugschüler bei der Benutzung von Luftfahrzeugen (solange noch keine Lizenz vorhanden ist)
-Fluggäste in Luftsportgeräten (z. B. Ballone, Segelflugzeuge, Fallschirm-Tandemsprünge)
-Schneiden von Nägeln, Hühneraugen oder Hornhaut ist versichert
-psychische Reaktionen im Anschluss an Unfall sind versichert
-Kostenübernahme der medizinisch notwendigen Behandlung im Ausland
-Haustierbetreuung ist versichert
-Kostenübernahme von Krankenbesuch auf einer Reise durch nahestehende Person, sofern Krankenhausaufenthalt Reisedauer übersteigt
-diverse beitragsfreie Unfall-Pflegeleistungen
-1.000 € für psychologische Betreuung (auch bei indirekter Unfalleinwirkung)</t>
  </si>
  <si>
    <t>-Medikamentenentzug infolge Entführung/ Geiselnahme
-Im Ausland Kostenübernahme für stationäre Behandlung bis 15.000 € (Muss binnen 1 Monat zurückgezahlt werden)
-Im Ausland Kostenübernahme für Krankenbesuch einer nahestehenden Person
-Reha-Management
-Kosten für psychologische Betreuung nach einem Unfall bis 1.000 €
-Kostenübernahme für Haustierbetreuung bis 30 € pro Tag, max. 30 Tage
-Unfalltod infolge Geistes- oder Bewusstseinsstörung bis 10% der Todesfall-VS
-Minderjährige beim Umgang mit selbst gebauten Feuerwerkskörpern
-Minderjährige beim Fahren ohne Fahrerlaubnis
-Kitesurfen ist versichert
-Blutungen innerer Organe auch wenn Unfall nicht überwiegende Ursache ist
-Schäden durch Maniküre/ Pediküre sind versichert
-psychische/ nervöse Störungen infolge einer durch Unfall verursachten organischen Erkrankung des Nervensystems</t>
  </si>
  <si>
    <t>Schutz bei Fahrtveranstaltungen bei denen es auf die Erzielung einer Durchschnittsgeschwindigkeit ankommt</t>
  </si>
  <si>
    <t>Zus.Bed. Ziff. 4.5</t>
  </si>
  <si>
    <t>-Medikamentenentzug infolge Entführung/ Geiselnahme
-Im Ausland Kostenübernahme für stationäre Behandlung bis 15.000 € (Muss binnen 1 Monat zurückgezahlt werden)
-Im Ausland Kostenübernahme für Krankenbesuch einer nahestehenden Person
-Reha-Management
-Kosten für psychologische Betreuung nach einem Unfall bis 5.000 €
-Kostenübernahme für Haustierbetreuung, max. 12 Monate
-Unfalltod infolge Geistes- oder Bewusstseinsstörung i.H. der Todesfall-VS
-Minderjährige beim Umgang mit selbst gebauten Feuerwerkskörpern
-Minderjährige beim Fahren ohne Fahrerlaubnis
-Kitesurfen ist versichert
-Blutungen innerer Organe auch wenn Unfall nicht überwiegende Ursache ist
-Schäden durch Maniküre/ Pediküre sind versichert
-psychische/ nervöse Störungen infolge einer durch Unfall verursachten organischen Erkrankung des Nervensystems
-Sofortleistung bei Schwerverletzungen nach Bau oder Erwerb einer Immobilie gestaffelt von Jahr 1: 50.000 € bis Jahr 5: 35.000 €</t>
  </si>
  <si>
    <t>-Medikamentenentzug infolge Entführung/ Geiselnahme
-Im Ausland Mehrkosten für Ein-/ Zweibettzimmer und privatärztliche Behandlung
-Im Ausland Kostenübernahme für stationäre Behandlung bis 15.000 € (Muss binnen 1 Monat zurückgezahlt werden)
-Im Ausland Kostenübernahme für Krankenbesuch einer nahestehenden Person
-Reha-Management
-Reparaturkosten für künstliche Gliedmaßen bis 3.000 €
-Kosten für psychologische Betreuung nach einem Unfall bis 2.000 €
-Kostenübernahme für Haustierbetreuung bis 40 € pro Tag, max. 100 Tage
-Sofortleistung bei Schwerverletzungen nach Bau oder Erwerb einer Immobilie 30.000 €
-Unfalltod infolge Geistes- oder Bewusstseinsstörung bis 25% der Todesfall-VS
-Minderjährige beim Umgang mit selbst gebauten Feuerwerkskörpern
-Minderjährige beim Fahren ohne Fahrerlaubnis
-Kitesurfen ist versichert
-gelegentliches Kartfahren
-Blutungen innerer Organe auch wenn Unfall nicht überwiegende Ursache ist
-Schäden durch Maniküre/ Pediküre sind versichert</t>
  </si>
  <si>
    <t>-Medikamentenentzug infolge Entführung/ Geiselnahme
-Im Ausland Mehrkosten für Ein-/ Zweibettzimmer und privatärztliche Behandlung
-Im Ausland Kostenübernahme für stationäre Behandlung bis 15.000 € (Muss binnen 1 Monat zurückgezahlt werden)
-Im Ausland Kostenübernahme für Krankenbesuch einer nahestehenden Person 
-Reha-Management
-Reparaturkosten für künstliche Gliedmaßen bis 3.000 €
-Kosten für psychologische Betreuung nach einem Unfall bis 5.000 €
-Kostenübernahme für Haustierbetreuung, max. 12 Monate
-Sofortleistung bei Schwerverletzungen nach Bau oder Erwerb einer Immobilie gestaffelt von Jahr 1: 50.000 € bis Jahr 5: 35.000 €
-Unfalltod infolge Geistes- oder Bewusstseinsstörung i.H. der Todesfall-VS
-Minderjährige beim Umgang mit selbst gebauten Feuerwerkskörpern
-Minderjährige beim Fahren ohne Fahrerlaubnis
-Kitesurfen ist versichert
-gelegentliches Kartfahren
-Blutungen innerer Organe auch wenn Unfall nicht überwiegende Ursache ist
-Schäden durch Maniküre/ Pediküre sind versichert</t>
  </si>
  <si>
    <t xml:space="preserve">-Psychische Erkrankungen durch eine durch Unfall entstandene organische Schädigung des Gehirns oder Nervensystems
-Psychologische Betreuung innerhalb von 3 Monaten nach einem Unfall bis 1.000 €
</t>
  </si>
  <si>
    <t>Fahrtveranstaltungen bei denen es auf die Erzielung einer Durchschnittsgeschwindigkeit ankommt sind versichert</t>
  </si>
  <si>
    <t xml:space="preserve">
-Gesundheitsschädigungen durch Folgen psychischer und nervöser Störungen sind versichert
-einmalig 250 € bei Abbruch eines Auslandsurlaubs infolge eines Unfalls
-max. 3 psychologische Beratungen nach schweren Unfällen</t>
  </si>
  <si>
    <t>Teilnahme an Fahrten zur Erzielung einer Durchschnittsgeschwindigkeit</t>
  </si>
  <si>
    <t>Rennsportrisiko separat versicherbar</t>
  </si>
  <si>
    <t>-"Happy Holiday" versicherbar (Kapitalzahlung ab 50% Inv. 25.000 €, UKHT 250 €, Gipsgeld 500 €, Telefonkostenzuschuss 50 € (Angebot 1; Angebot 2 = erhöhte Leistungen))
-Flugrisiko (Pilot) versicherbar
Zusätzlich speziell für Beamte / ÖD:
-Absicherung des unfallbedingten Zulagenausfalls ab 8. Tag möglich (max. 100 € pro Tag)
-Absicherung gegen unfallbedingte Einschränkungen der beruflichen Haupttätigkeit
-Invaliditätsabsicherung bei unfallbedingter Vollzugsdienstunfähigkeit
-Rund-um-Absicherung für Beamte des SEK / GSG 9 möglich
-Sofortleistung für Vollzugsbedienstete versicherbar</t>
  </si>
  <si>
    <t xml:space="preserve">-auch Annahme HIV-Infizierter (Keine Gesundheitsfragen)
-"Happy Holiday" versicherbar (Kapitalzahlung ab 50% Inv. 25.000 €, UKHT 250 €, Gipsgeld 500 €, Telefonkostenzuschuss 50 € (Angebot 1; Angebot 2 = erhöhte Leistungen))
-Flugrisiko (Pilot) versicherbar
</t>
  </si>
  <si>
    <t>Teilnahme an Fahrtveranstaltungen bei denen es auf die Erzielung einer Durchschnittsgeschwindigkeit ankommt</t>
  </si>
  <si>
    <t>BB; Ziff.3.19</t>
  </si>
  <si>
    <t>BB; Ziff. 3.19</t>
  </si>
  <si>
    <t>Teilnahme an Fahrtveranstaltungen bei denen es auf die Erzielung einer Durchschnittsgeschwindigkeit ankommt / Teilnahme an lizenzfreien Motorsportveranstaltungen</t>
  </si>
  <si>
    <t>BB; Ziff. 3.14</t>
  </si>
  <si>
    <t>-Berechnung erfolgt nicht nach Berufsgruppen A/ B, sondern orientiert sich an Risikogruppen, welche sich auf die Ausübung innerhalb eines Berufs beziehen 
-Physiotherapie/ Osteopathie bis 500 €
-psychische und nervöse Störungen infolge einer durch Unfall verursachten organischen Erkrankung des Nervensystems/ neu entstandene Epilepsie
-Unfall durch Fahren ohne Fahrerlaubnis für Kinder unter 14 Jahren
-Luftfahrtrisiko für Mediziner, solange sie das Fluggerät nicht selbst steuern
-Unfälle beim Kitesurfen
-Pflegeleistungen über Baustein "Easy Care" versicherbar</t>
  </si>
  <si>
    <t>-Berechnung erfolgt nicht nach Berufsgruppen A/ B, sondern orientiert sich an Risikogruppen, welche sich auf die Ausübung innerhalb eines Berufs beziehen 
-30.000 € Sofortleistung bei Schwerverletzungen bei Bau/ Kauf eines Eigenheims
-Minderjährige beim Umgang mit selbstgebauten Feuerwerkskörpern
-Physiotherapie/ Osteopathie bis 500 €
-psychische und nervöse Störungen infolge einer durch Unfall verursachten organischen Erkrankung des Nervensystems/ neu entstandene Epilepsie
-Unfall durch Fahren ohne Fahrerlaubnis für Kinder unter 14 Jahren
-Luftfahrtrisiko für Mediziner, solange sie das Fluggerät nicht selbst steuern
-Unfälle beim Kitesurfen
-Pflegeleistungen über Baustein "Easy Care" versicherbar</t>
  </si>
  <si>
    <t>-Beitragsfreistellung der Kinderunfall ab 90% Inv.-Grad des VN bis zum Ablauf des Versicherungs-jahres, in dem Kind 18. Lj. vollendet
-UKHT bei teilstationärer/ ambulanter Rehabilitation für 10 Tage
-Nervöse Störungen im Anschluss an einen Unfall sind versichert
-sofern vereinbart erweiterte Serviceleistungen über Familien-Management (max. 10 Wochen)</t>
  </si>
  <si>
    <t>lizenzfreie Motorsportveranstaltungen sind versichert</t>
  </si>
  <si>
    <t>Vorschuss auf die Invaliditätsleistung</t>
  </si>
  <si>
    <t>AUB; Ziff. 9.3</t>
  </si>
  <si>
    <t>ja
auf Wunsch, sofern die Leistungspflicht dem Grunde nach fest steht</t>
  </si>
  <si>
    <t xml:space="preserve">
-Schneiden von Nägeln, Hühneraugen oder Hornhaut
-nicht konkret nachgewiesener Verdienstausfall bei Selbstständigen infolge vom VR veranlassster ärztlicher Untersuchung i.H.d. 1/5‰ der Invaliditätsgrundsumme, max. 200 €</t>
  </si>
  <si>
    <t>ja
 auch ohne vereinbarte Todesfallleistung, sofern keine akute Lebensgefahr besteht (max. 20% der zu erwartenden Invaliditätsleistung)</t>
  </si>
  <si>
    <t>-psychologische Betreuung nach räuberischem Überfall oder Geiselnahme für die ersten 10 Sitzungen
-Rehamanagement (diverse Beratungs-/ Beihilfeleistungen), sofern mind. 14 tägige Verweilung zur Akutbehandlung im Krankenhaus anfällt
-Schneiden von Nägeln, Hühneraugen oder Hornhaut
-nicht konkret nachgewiesener Verdienstausfall bei Selbstständigen infolge vom VR veranlassster ärztlicher Untersuchung i.H.d. 1/5‰ der Invaliditätsgrundsumme, max. 200 €</t>
  </si>
  <si>
    <t>ja
auch ohne vereinbarte Todesfallleistung sofern keine akute Lebensgefahr besteht (max. 30% der zu erwartenden Invaliditätsleistung)</t>
  </si>
  <si>
    <t>-psychologische Betreuung nach räuberischem Überfall oder Geiselnahme für die ersten 10 Sitzungen
-Rehamanagement (diverse Beratungs-/ Beihilfeleistungen), sofern mind. 14 tägige Verweilung zur Akutbehandlung im Krankenhaus anfällt
-Krebsbedingte Brust-OP bis 5.000 € (3 Monate Wartezeit) (nicht für Senioren)
-psychische/nervöse Störungen infolge eines Unfalls
-Unfälle bei Fahrten, bei denen es auf ein Erzielen einer Durchschnittsgeschwindigkeit ankommt
-Unfälle bei privaten Kartrennen
-Schneiden von Nägeln, Hühneraugen oder Hornhaut
-nicht konkret nachgewiesener Verdienstausfall bei Selbstständigen infolge vom VR veranlassster ärztlicher Untersuchung i.H.d. 1/5‰ der Invaliditätsgrundsumme, max. 200 €</t>
  </si>
  <si>
    <t>Vorschuss auf Invaliditätsleistung auch ohne vereinbarte Todesfallleistung sofern keine akute Lebensgefahr besteht (max. 40% der zu erwartenden Invaliditätsleistung)</t>
  </si>
  <si>
    <t>GUB; Ziff. 11.4 (Erw. durch BB)</t>
  </si>
  <si>
    <t>-Folgen durch nicht oder falsch verabreichte Medikamente infolge Entführung/ Geiselnahme
-nicht konkret nachgewiesener Verdienstausfall bei Selbstständigen infolge vom VR veranlassster ärztlicher Untersuchung i.H.d. gültigen Jahresbruttobeitrags, max. 1.000 €
-Lenken von Fahrzeugen ohne Fahrerlaubnis bei Kindern bis 14 Jahre
-Minderjährige beim Umgang mit selbstgebauten Feuerwerkskörpern</t>
  </si>
  <si>
    <t>Vorschuss auf Invaliditätsleistung auch ohne vereinbarter Todesfallsumme bis 10.000 €</t>
  </si>
  <si>
    <t>HUV; Ziff. 9.3 (Erw. durch BB)</t>
  </si>
  <si>
    <t xml:space="preserve">
-Todesfallleistung auch bei Unfalltod aufgrund Geistes-/ Bewusstseinsstörung (max. 10.000 €)
-Luftfahrunfälle als Flugschüler/ Passagier sowie Kitesurfen sind mitversichert
-Schneiden von Nägeln, Hühneraugen oder Hornhaut ist versichert
-psychische Störungen im Anschluss an Unfall sind versichert
-Blutungen aus inneren Organen oder Gehirnblutungen sind versichert
-nachgewiesener Vierdienstausfall bei Selbstständigen infolge vom VR veranlasster ärztlicher Untersuchung bis 600 €</t>
  </si>
  <si>
    <t>Vorschuss auf Invaliditätsleistung auch ohne vereinbarte Todesfallleistung (max. 15.000 €)</t>
  </si>
  <si>
    <t>BB; Ziff 2.1.2</t>
  </si>
  <si>
    <t>-Psychische Erkrankung durch einen Unfall
-Kostenübernahme für 10 Sitzungen einer psychologischen Behandlung infolge eines Unfalls
-Verzicht auf den Einwand von Bewusstseinsstörungen  bei Unfalltod bis 20.000 €
-Kitesurfen ist versichert
-notwendige Dolmetscherkosten im Ausland bis 500 €
-Kosmetische Operation bei Brustkrebs bis 10.000 €
-Reparatur von Prothesen infolge eines Unfalls bis 2.500 €
-Logopädische Behandlung bis 
500 € (max. 10 Behandlungen
-nicht konkret nachgewiesener Verdienstausfall bei Selbstständigen infolge vom VR veranlassster ärztlicher Untersuchung i.H.d. gültigen Jahresbruttobeitrags, max. 500 €
-Einschluss von Kindern bis zur Vollendung des 1. Lebensjahrs ohne Gesundheitsprüfung
-Minderjährige beim Fahren ohne Fahrerlaubnis
-Minderjährige beim Umgang mit selbstgebauten Feuerwerkskörpern
-Vollwaisenrente (50-facher Bruttobeitrag des Kindes, max. 3.000 € pro Jahr und pro Kind bis zu dem Jahr, in dem das Kind das 18. Lj. vollendet)</t>
  </si>
  <si>
    <t>Vorschussleistung auch ohne versicherte Todesfallsumme bis 15% der VS</t>
  </si>
  <si>
    <t>BB; Ziff. 41</t>
  </si>
  <si>
    <t>-Psychische Erkrankung durch einen Unfall
-Verzicht auf den Einwand von Bewusstseinsstörungen  bei Unfalltod bis 10.000 € 
-Kitesurfen ist versichert
-notwendige Dolmetscherkosten im Ausland bis 250 €
-Logopädische Behandlung bis 
500 € (max. 10 Behandlungen)
-nicht konkret nachgewiesener Verdienstausfall bei Selbstständigen infolge vom VR veranlassster ärztlicher Untersuchung i.H.d. gültigen Jahresbruttobeitrags, max. 500 €
-Einschluss von Kindern bis zur Vollendung des 1. Lebensjahrs ohne Gesundheitsprüfung
-Minderjährige beim Fahren ohne Fahrerlaubnis
-Vollwaisenrente (50-facher Bruttobeitrag des Kindes, max. 3.000 € pro Jahr und pro Kind bis zu dem Jahr, in dem das Kind das 18. Lj. vollendet)</t>
  </si>
  <si>
    <t>Vorschussleistung auch ohne versicherte Todesfallsumme bis 10% der VS</t>
  </si>
  <si>
    <t>AUB 8.4</t>
  </si>
  <si>
    <t>AUB 9.3</t>
  </si>
  <si>
    <t>ja
Die im Versicherungsschein festgelegte Leistung für Unfalltod, höchstens jedoch 15.000 Euro</t>
  </si>
  <si>
    <t xml:space="preserve">AUB; § 9 (3) </t>
  </si>
  <si>
    <t>ja
nach dem nach ärztlicher Einschätzung mindestens
zu erwartenden Invaliditätsgrad,
höchstens jedoch 10 % der vereinbarten Invaliditätsgrundversicherungssumme.</t>
  </si>
  <si>
    <t>AUB; Ziff 9.3.1</t>
  </si>
  <si>
    <t>AUB; Ziff. 7.3</t>
  </si>
  <si>
    <t xml:space="preserve">AUB; Ziff. 9.3 </t>
  </si>
  <si>
    <t>AUB § 11; Ziff. III</t>
  </si>
  <si>
    <t>BB 6.13.2</t>
  </si>
  <si>
    <t>AUB; Ziff. 4.9.2</t>
  </si>
  <si>
    <t>AUB; Ziff. 8.4</t>
  </si>
  <si>
    <t>-Gesundheitsschäden durch Maniküre, Pediküre, Hühneraugen-/Hornhautentfernung
-Psychologische Erstbehandlung nach einem schweren Unfall oder einem räuberischen Überfall bis 10 Sitzungen (auch bei Tod einer mitversicherten Person infolge eine Unfalls)
-Genesungsgeldanspruch auch dann, wenn Versicherter während Krankenhausbehandlung verstirbt
-Unfälle durch Entführung oder Geiselnahme sind versichert auch durch Nahrungsmittel- oder Medikamentenentzug (max. 180 Tage)
-Todesfallleistung auch bei Tod infolge Geistes- oder Bewusstseinsstörungen bis 5.000 €
-Schutz bei Fahrtveranstaltungen, bei denen es auf die Erzielung einer Durchschnittsgeschwindigkeit ankommt
-Schutz für Fahrten mit Leihkarts innerhalb Deutschlands
-Psychische und nervöse Störungen infolge eines Unfalls
-nicht konkret nachgewiesener Verdienstausfall bei Selbstständigen infolge vom VR veranlassster ärztlicher Untersuchung bis 1‰ der VS, max. 500 €
-Schutz auch bei freiwilligem Wehrdienst, Bundesfreiwilligen-dienst uns solzialem oder ökologischen Jahr
-Beratungskosten für Reha-Manager bis 7.500 €, max. 50 Std.</t>
  </si>
  <si>
    <t>Vorschuss bei laufendem Heilverfahren bis 20.000 € auch ohne vereinbarte Todesfallleistung</t>
  </si>
  <si>
    <t>AUB;Ziff 9.3 | BB; Ziff. 55</t>
  </si>
  <si>
    <t>-Schneiden von Nägeln/ Hühner-augen/ Hornhaut versichert
-Psychische Erkrankungen aufgrund Unfall
-nicht konkret nachgewiesener Verdienstausfall bei Selbstständigen infolge vom VR veranlassster ärztlicher Untersuchung i.H.d. gültigen Jahresbruttobeitrags, max. 500 €
-Minderjährige beim Fahren ohne Fahrerlaubnis
-Vollwaisenrente an alle versicherten minderjährigen Kinder (50-facher Bruttojahresbeitrag des Kindes, max. 6.000 € pro Jahr und Kind)
-ab Vollendung des 67. Lj. Wahlrecht, ob VS reduziert, Beitrag erhöht, oder Integralfranchise i.H.v. 25% gilt
-Eintritt einer Oberschenkelhals-fraktur, unabhängig von der Unfallursache ab Vollendung des 67. Lj.</t>
  </si>
  <si>
    <t>Vorschussleistung (max. 10.000 €) vor Abschluss des Heilverfahrens auch ohne vereinbarte Todesfallsumme</t>
  </si>
  <si>
    <t>AUB; Ziff. 47</t>
  </si>
  <si>
    <t>-Bei Entführung, Geiselnahme oder Raubüberfall einmalig 3.000 € (sofern eine Invalidität entsteht)
-Leistung bei bestimmten Krebserkrankungen (10% der VS, max. 20.000 €)
-Kein Einwand von Geistes- oder Bewusstseinsstörung bei Unfalltod bis 20.000 €
-Kostenübernahme für Reparatur von Prothesen bis 2.500 € infolge eines Unfalls
-kosm. OP bei Brustkrebs (bis 10.000 €) für kosm. Behandlung beim Kosmetiker max. 5.000 €
-Heilbehandlung aufgrund Unfall im Ausland bei Aufenthalten bis 45 Tage bis 5.000 €
-Vorsorgeversicherung bei Bau oder Kauf eines Eigenheims je nach Zeitraum seit Erwerb/Baubeginn 
bis 30.000 €
-Kitesurfen ist versichert
-Blutungen aus inneren Organen/ Gehirnblutungen sind versichert
-Schneiden von Nägeln/ Hühner-augen/ Hornhaut versichert
-Psychische Erkrankungen sowie bis 10 Sitzungen für psychologische Betreuung aufgrund Unfall
-nicht konkret nachgewiesener Verdienstausfall bei Selbstständigen infolge vom VR veranlassster ärztlicher Untersuchung i.H.d. gültigen Jahresbruttobeitrags, max. 500 €
-Schutz bei freiwilligem Wehrdienst/ Bundesfreiwilligendienst/ militärischen Reserveübungen</t>
  </si>
  <si>
    <t>Vorschussleistung vor Abschluss des Heilverfahrens auch ohne vereinbarte Todesfallsumme</t>
  </si>
  <si>
    <t>-Entführung, Geiselnahme oder Raubüberfall bis 3.000 €
-Kein Einwand von Geistes- oder Bewusstseinsstörung bei Unfalltod bis 6.000 €
-versichert sind Freizeitkartrennen/ Fahrtveranstaltugnen
-Kitesurfen ist versichert
-Schneiden von Nägeln/ Hühner-augen/ Hornhaut versichert
-Psychische Erkrankungen aufgrund Unfall
-nicht konkret nachgewiesener Verdienstausfall bei Selbstständigen infolge vom VR veranlassster ärztlicher Untersuchung i.H.d. gültigen Jahresbruttobeitrags, max. 500 €
-Minderjährige beim Fahren ohne Fahrerlaubnis
-Minderjährige beim Umgang mit selbstgebauten Feuerwerkskörpern
-Vollwaisenrente an alle versicherten minderjährigen Kinder (50-facher Bruttojahresbeitrag des Kindes, max. 6.000 € pro Jahr und Kind)
-logopädische/ psychotherapeu-tische Therapie infolge eines Unfalls für das versicherte Kind, max. 1.500 €
-ab Vollendung des 67. Lj. Wahlrecht, ob VS reduziert, Beitrag erhöht, oder Integralfranchise i.H.v. 25% gilt
-Eintritt einer Oberschenkelhals- oder Oberarmfraktur, unabhängig von der Unfallursache ab Vollendung des 67. Lj.
-2.000 € Kapitalleistung bei Blindheit ab Vollendung des 67. Lj.</t>
  </si>
  <si>
    <t>Vorschussleistung (50% d. Inv.- Grundsumme, max. 100.000 €) vor Abschluss des Heilverfahrens auch ohne vereinbarte Todesfallsumme</t>
  </si>
  <si>
    <t>-Vorschussleistung i.H.v. 10% d. VS vor Abschluss des Heilverfahrens auch ohne vereinbarte Todesfallsumme</t>
  </si>
  <si>
    <t>BB; Ziff. 7.1</t>
  </si>
  <si>
    <t>BB; Ziff. 10.1</t>
  </si>
  <si>
    <t xml:space="preserve">-Unfall-Schutzbrief mit umfangreichen Leistungen versicherbar
-Gesundheitsschädigungen aufgrund Höhenlungenödem, Höhenhirnödem oder akuter Höhenkrankheit sind versichert
-Kein Einwand von Geistes- oder Bewusstseinsstörung bei Unfalltod bis 20.000 €
-Kinderbetreuung/ Kinderfahrdienst bis 14 Tage, max. 100 € pro Tag
-Vorsorgeversicherung bei Schwerverletzung bei Bau oder Kauf eines Eigenheims 40.000 €
-Minderjährige beim Fahren ohne Fahrerlaubnis
-Minderjährige beim Umgang mit selbstgebauten Feuerwerkskörpern
-Kitesurfen ist versichert
-versichert sind Freizeitkartrennen/ Fahrtveranstaltugnen
-Blutungen aus inneren Organen/ Gehirnblutungen sind versichert
-Pediküre/ Maniküre ist versichert
-ab Vollendung des 60. Lj. Wahlrecht, ob VS reduziert, Beitrag erhöht wird
-nicht konkret nachgewiesener Verdienstausfall bei Selbstständigen infolge vom VR veranlassster ärztlicher Untersuchung i.H.v. 500 €
</t>
  </si>
  <si>
    <t>Vorschussleistung i.H.v. 10% d. VS vor Abschluss des Heilverfahrens auch ohne vereinbarte Todesfallsumme</t>
  </si>
  <si>
    <t>-keine Kündigungsfrist
-Minderjährige/Entmündigte beim Fahren ohne Fahrerlaubnis
-Minderjährige/Entmündigte beim Umgang mit selbstgebauten Feuerwerkskörpern
-Kitesurfen ist versichert
-Flugschüler bei der Benutzung von Luftfahrzeugen (solange noch keine Lizenz vorhanden ist)
-Fluggäste in Luftsportgeräten (z. B. Ballone, Segelflugzeuge, Fallschirm-Tandemsprünge)
-Schneiden von Nägeln, Hühneraugen oder Hornhaut ist versichert
-psychische Reaktionen im Anschluss an Unfall sind versichert
-keine Operationspflicht für bestimmte Operationen
-nicht konkret nachgewiesener Vierdienstausfall bei Selbstständigen infolge vom VR veranlasster ärztlicher Untersuchung in Höhe eines Bruttojahresbeitrags, max. 600 €
-keine Pflicht zur pauschalen Auskunftsermächtigung
-Kein Einwand von Geistes- oder Bewusstseinsstörung bei Unfalltod bis 10.000 €</t>
  </si>
  <si>
    <t>-Vorschuss auf Invaliditätsleistung bis 10.000 € auch ohne vereinbarte Todesfallleistung</t>
  </si>
  <si>
    <t>Bedingungen XL; § 9 Ziff. 2.3</t>
  </si>
  <si>
    <t>Bed. XXL; § 9, Ziff. 2.2</t>
  </si>
  <si>
    <t>AUB; Ziff. 12 d)</t>
  </si>
  <si>
    <t>AUB; Ziff 14 d)</t>
  </si>
  <si>
    <t>AUB, Ziff. 14 d)</t>
  </si>
  <si>
    <t>AUB; Ziff, 9.3</t>
  </si>
  <si>
    <t>AUB; Ziff.9.3</t>
  </si>
  <si>
    <t>AUB, Ziff. 9.3</t>
  </si>
  <si>
    <t xml:space="preserve">ja
Vorschuss i.H.v. 10% der Inv.-Summe; max. 5.000 € </t>
  </si>
  <si>
    <t>BB; Ziff. 5.12</t>
  </si>
  <si>
    <t xml:space="preserve">ja
Vorschuss i.H.v. 10% der Inv.-Summe; max. 10.000 € </t>
  </si>
  <si>
    <t>BB; Ziff 5.12</t>
  </si>
  <si>
    <t>AUB; § 11, Ziff. III</t>
  </si>
  <si>
    <t>-Bei Erreichen des 65. Lj. Wegfall der Progression/ Mehrleistung und ggf. reduzierung der VS
-Vertragsbeendigung bei Erreichen des 80. Lj.
-Unfall durch Fahren ohne Fahrerlaubnis für Minderjährige/ Geschäftsunfähige/ Betreute
-Schneiden von Nägeln, Hühneraugen oder Hornhaut
-nicht konkret nachgewiesener Verdienstausfall bei Selbstständigen infolge vom VR veranlassster ärztlicher Untersuchung bis 1‰ der VS, max. 300 €
-zahlreiche außergewöhnliche Assistance-Leistungen (Hilfe und Kostenübernahme, u. a. psychologische Betreuung, Versorgung von Haustieren, Serviceleistungen bei Auslandsreisen) ohne Mehrbeitrag</t>
  </si>
  <si>
    <t>Vorschuss auf die zu erwartende Invaliditätsleistung bis 5% der Inv.-Grundsumme, max. 30.000 € (Tod-VS nicht erforderlich)</t>
  </si>
  <si>
    <t>AUB; Ziff. 10.5</t>
  </si>
  <si>
    <t>AUB; Ziff 9.2.3</t>
  </si>
  <si>
    <t>AUB; Ziff. 9.2.3</t>
  </si>
  <si>
    <t>aktuell
(geprüft am 03.04.2014)</t>
  </si>
  <si>
    <t>aktuell
(geprüft am 03.04..2014)</t>
  </si>
  <si>
    <t>aktuell
(geprüft am 03.04.2014</t>
  </si>
  <si>
    <t>aktuell
(geprüft am 03.04.2015</t>
  </si>
  <si>
    <t>aktuell
(geprüft am 03.04.2016</t>
  </si>
  <si>
    <t>aktuell
(geprüft am 03.04.2017</t>
  </si>
  <si>
    <t>aktuell
(geprüft am 03.04.2018</t>
  </si>
  <si>
    <t>aktuell
(geprüft am 03.04.2019</t>
  </si>
  <si>
    <t>aktuell
(geprüft am 03.04.2020</t>
  </si>
  <si>
    <t>aktuell
(geprüft am 03.04.2021</t>
  </si>
  <si>
    <t>aktuell
(geprüft am 03.04.2022</t>
  </si>
  <si>
    <t>aktuell
(geprüft am 03.04.2023</t>
  </si>
  <si>
    <t>aktuell
(geprüft am 03.04.2024</t>
  </si>
  <si>
    <t>aktuell
(geprüft am 03.04.2025</t>
  </si>
  <si>
    <t>aktuell
(geprüft am 03.04.2026</t>
  </si>
  <si>
    <t>aktuell
(geprüft am 03.04.2027</t>
  </si>
  <si>
    <t>aktuell
(geprüft am 03.04.2028</t>
  </si>
  <si>
    <t>aktuell
(geprüft am 03.04.2029</t>
  </si>
  <si>
    <t>aktuell
(geprüft am 03.04.2030</t>
  </si>
  <si>
    <t>aktuell
(geprüft am 03.04.2031</t>
  </si>
  <si>
    <t>aktuell
(geprüft am 03.04.2032</t>
  </si>
  <si>
    <t>aktuell
(geprüft am 03.04.2033</t>
  </si>
  <si>
    <t>aktuell
(geprüft am 03.04.2034</t>
  </si>
  <si>
    <t>aktuell
(geprüft am 03.04.2035</t>
  </si>
  <si>
    <t>Alte Leipziger classic</t>
  </si>
  <si>
    <t>Alte Leipziger comfort</t>
  </si>
  <si>
    <t>Ja</t>
  </si>
  <si>
    <t>AUB, Ziff. 5.2.4.2</t>
  </si>
  <si>
    <t>Ja, sofern nicht als Berufs-oder Gewerbekrankheit gilt</t>
  </si>
  <si>
    <t>AUB, Ziff. 1.3.2</t>
  </si>
  <si>
    <t>AUB, Ziff. 1.3.3</t>
  </si>
  <si>
    <t>AUB, Ziff. 1.3.1</t>
  </si>
  <si>
    <t>AUB. Ziff. 5.2.2. + 5.2.3.</t>
  </si>
  <si>
    <t>Röntgen-, Laser- und Maserstrahlen sowie künstlich er-zeugte ultraviolette Strahlen. Ausgeschlossen bleiben Schäden als Folge regelmäßigen Umgangs mit strahlenerzeu-genden Apparaten. Wiederrum eingeschlossen unfallbed. Heilmaßnahmen</t>
  </si>
  <si>
    <t>AUB, Ziff. 5.1.1.</t>
  </si>
  <si>
    <t>nein</t>
  </si>
  <si>
    <t>AUB., Ziff. 1.4.</t>
  </si>
  <si>
    <t>BB 5 erg. Zu AUB, Ziff. 1.3,</t>
  </si>
  <si>
    <t>BB 5</t>
  </si>
  <si>
    <t>AUB, Ziff. 1.3.4 + BB 5</t>
  </si>
  <si>
    <t>AUB, Ziff. 5.2.4.2 + BB 5</t>
  </si>
  <si>
    <t>Tollwut, Wundstarrkrampf und durch Unfall in Körper gelangte Infektionen   Infektionen bei Ausübung derBerufstätigkeit</t>
  </si>
  <si>
    <t>Infektionen durch Hautverletzungen von Tieren, auch Insektenstiche und -bisse</t>
  </si>
  <si>
    <t>Instektenstiche und -bisse sowie FSME</t>
  </si>
  <si>
    <t>AUB, Ziff. 1.3.4 + BB 4</t>
  </si>
  <si>
    <t>AUB, Ziff. 1.3. + BB 5</t>
  </si>
  <si>
    <t>BB 4</t>
  </si>
  <si>
    <t>Kindern bis 10 Jahre</t>
  </si>
  <si>
    <t>Ja
ohne Alkohol (außer Kinder bis10 LJ)</t>
  </si>
  <si>
    <t>AUB, Ziff. 5.1.3.</t>
  </si>
  <si>
    <t>AUB, Ziff. 5.1.3. + BB 5</t>
  </si>
  <si>
    <t>bis 10.000 Euro inklusive Rückreisekosten aus dem Ausland</t>
  </si>
  <si>
    <t>bis 30.000 Euro inkl. Rückreisekosten aus dem In- und Ausland und Kosten für Dekompressionskammer</t>
  </si>
  <si>
    <t>nur Ausland</t>
  </si>
  <si>
    <t>50 % der Übergangs- leistung, max. 3.000 EUR</t>
  </si>
  <si>
    <t>bis 2000 Euro Kuren und vollstationären Rehabilitationen</t>
  </si>
  <si>
    <t>AUB, Ziff. 10.5</t>
  </si>
  <si>
    <t>Rechtsanspruch auf Außerkraftsetzung bei Arbeitslosigkeit max 3 Jahre</t>
  </si>
  <si>
    <t>max 12 Monate ab Heirat bzw. Geburt Inv 50% von VN max 30.000 Euro</t>
  </si>
  <si>
    <t>für Vollwaisen bis 16LJ  50 % Todesfallleistung der Eltern, max. 10.000 EUR</t>
  </si>
  <si>
    <t>AUB, Ziff. 3 + BB 5</t>
  </si>
  <si>
    <t>25 % Mehrleistung bei Invalidität bis 16 LJ Fahrradnutzung</t>
  </si>
  <si>
    <t>analog Krankenhaus- tagegeld Kind, max. 30 Tage bis 16 LJ</t>
  </si>
  <si>
    <t>max 12 Monate ab Geburt und Adoption bis 16 LJ - Inv 50% von VN max 30.000 Euro</t>
  </si>
  <si>
    <t>AUB, Ziff. 2.1.2.1..</t>
  </si>
  <si>
    <t>AUB, Ziff. 2.1.1.1.</t>
  </si>
  <si>
    <t>AUB, Ziff. 2.1.1.1. + BB 5</t>
  </si>
  <si>
    <t>AUB, Ziff. 7.1.</t>
  </si>
  <si>
    <t>AUB, Ziff. 7.5 + BB 5</t>
  </si>
  <si>
    <t>Ja (keine Bauch- oder Unterleibsbrüche)</t>
  </si>
  <si>
    <t>bis 10.000 Euro inkl. Schäden an natürlichen Zähnen Frist 5 Jahre bzw bis 25 LJ</t>
  </si>
  <si>
    <t>nur Vermittlung einer Beratung über "Hilfe und Pflege"</t>
  </si>
  <si>
    <t>Im Rahmen der KOP sowie Vermittlung über "Hilfe und Pflege"</t>
  </si>
  <si>
    <t>optional über "Hilfe und Plege" aktive Hilfeleistungen</t>
  </si>
  <si>
    <t>Bei Oberschenkelhalsbruch 10 % der Inv.-Summe, max. 5.000 EUR</t>
  </si>
  <si>
    <t xml:space="preserve">Vorrausetzung mind.21 Tage AU                     20-faches Krankenhaus- tagegeld Kind, max. 500 EUR bis 16LJ </t>
  </si>
  <si>
    <t>Ja, sofern die Leistungspflicht dem Grunde besteht max VS Todesfall</t>
  </si>
  <si>
    <t>AUB, Ziff. 9.3.</t>
  </si>
  <si>
    <t>max 2 Jahre ab Unfall</t>
  </si>
  <si>
    <t>max 3 Jahre ab Unfall</t>
  </si>
  <si>
    <t>AUB, Ziff. 2.4.2 + BB 5</t>
  </si>
  <si>
    <t>nach ambulaten OP 3 Tagessätze</t>
  </si>
  <si>
    <t xml:space="preserve">BB 5 </t>
  </si>
  <si>
    <t>bis  100 Tage</t>
  </si>
  <si>
    <t>bis max. 50 % des Krankenhaustagegeldes</t>
  </si>
  <si>
    <t>BB 5 KHT Ziff 2</t>
  </si>
  <si>
    <t>AUB, Ziff. 6.2.1.</t>
  </si>
  <si>
    <t xml:space="preserve">AUB, Ziff. 6.2.1. + BB 5 </t>
  </si>
  <si>
    <t>unverzügliche Anzeigepflicht                             erhöhte Summen gelten nach 1 Monat Senkung erst nach 6 Monaten</t>
  </si>
  <si>
    <t>unverzügliche Anzeigepflicht                             erhöhte Summen gelten nach 1 Monat Senkung erst nach 2 Monaten</t>
  </si>
  <si>
    <t>max Pflegestufe I</t>
  </si>
  <si>
    <t>AUB, Ziff. 4.1.1.</t>
  </si>
  <si>
    <t>AUB, Ziff. 2.1.2.2.1</t>
  </si>
  <si>
    <t>20% unter 16 LJ</t>
  </si>
  <si>
    <t>75% Arm</t>
  </si>
  <si>
    <t>75% Bein</t>
  </si>
  <si>
    <t>45% Fuß</t>
  </si>
  <si>
    <t>AUB 2008                                                               Stand 10-2016 (PSV)</t>
  </si>
  <si>
    <t>aktuell
(geprüft am 11.04.2017)</t>
  </si>
  <si>
    <t>Verdoppelung der VS für Freizeit-Unfälle optional</t>
  </si>
  <si>
    <t>Ammerländer Comfort</t>
  </si>
  <si>
    <t>AUB 2015
Stand 01-2017</t>
  </si>
  <si>
    <t>AUB, Ziff. 5.2.4</t>
  </si>
  <si>
    <t>Tollwut, Wundstarrkrampf
- durch Erreger bei nicht geringfügiger Unfallverlezung</t>
  </si>
  <si>
    <t xml:space="preserve">JA Insektenstich und Folgen 
(z.B. allergische Reaktion) 
jedoch KEINE Infektionskrankheiten </t>
  </si>
  <si>
    <t xml:space="preserve">JA Insektenstich und Folgen 
(z.B. allergische Reaktion) </t>
  </si>
  <si>
    <t>BB, Ziff. 13</t>
  </si>
  <si>
    <t>BB, Ziff.15+ 16</t>
  </si>
  <si>
    <t>Impfungen gegen versicherte
Infektionskrankheiten
3 Monate Wartezeit</t>
  </si>
  <si>
    <t>BB, Ziff.16</t>
  </si>
  <si>
    <t>Tollwut, Wundstarrkrampf,
Cholera, Diphtherie, Gürtelrose, Keuchhusten, spinale Kinderlähmung, Masern, Mumps, Pfeiffersches Drüsenfieber, Pocken / Windpocken, Röteln, Scharlach, Tuberkulose und Typhus / Paratyphus
- sowie durch sonstige Erreger auch bei geringfügiger Haut- oder Schleimhautverletzung
Blut- und Wundinfektion durch Unfall</t>
  </si>
  <si>
    <t>AUB, Ziff. 5.2.4 / BB, Ziff.16 - 18</t>
  </si>
  <si>
    <t>BB, Ziff. 4</t>
  </si>
  <si>
    <t>Ja
sofern nicht als Berufs-oder Gewerbekrankheit gilt 
oder berufsbedingt</t>
  </si>
  <si>
    <t>BB, Ziff. 7</t>
  </si>
  <si>
    <t>BB, Ziff. 8</t>
  </si>
  <si>
    <t>BB, Ziff. 9</t>
  </si>
  <si>
    <t>BB, Ziff. 6</t>
  </si>
  <si>
    <t>Ja
Therapieksoten bis 15.000 Euro</t>
  </si>
  <si>
    <t>BB, Ziff. 1</t>
  </si>
  <si>
    <t>ja
(auch Tiere)
und Verteidigung</t>
  </si>
  <si>
    <t>BB, Ziff. 11</t>
  </si>
  <si>
    <t>BB, Ziff. 12</t>
  </si>
  <si>
    <t>BB, Ziff. 19</t>
  </si>
  <si>
    <t>BB, Ziff. 20</t>
  </si>
  <si>
    <t>ja
(Führen von Kfz bis 1,8 ‰)
auch durch Medikamente
auch Übermüdung / Einschlafen</t>
  </si>
  <si>
    <t>ja
(Führen von Kfz bis 1,8 ‰)
auch durch Medikamente
(Führen von Kfz und Zweirädern bei Hinw. Fahruntüchtigkeit 50% kürzung)
auch Übermüdung</t>
  </si>
  <si>
    <t>ja
(Führen von Kfz bis 1,5 ‰)
auch durch Medikamente
(Führen von Kfz und Zweirädern bei Hinw. Fahruntüchtigkeit 50% kürzung)
auch Übermüdung</t>
  </si>
  <si>
    <t>BB, Ziff. 15</t>
  </si>
  <si>
    <t>AUB, Ziff. 1.4 / BB, Ziff.13</t>
  </si>
  <si>
    <t>AUB, Ziff. 1.4</t>
  </si>
  <si>
    <t>ja
Bandscheiben und Meniskus ausgeschl.</t>
  </si>
  <si>
    <t>ja
ohne Bauch- und Unterleibsbrüchen
Bandscheiben und Meniskus</t>
  </si>
  <si>
    <t>max. 14 Tage im Ausland 
(Terroranschläge auch in Deutschland)
'Notwehr und Innere Unruhen solange nicht selbst Unruhestifter</t>
  </si>
  <si>
    <t>unbegrenzt, sobald Ausreise möglich max. 21 Tage im Ausland 
(Terroranschläge auch in Deutschland)
'Notwehr und Innere Unruhen solange nicht selbst Unruhestifter</t>
  </si>
  <si>
    <t>AUB, Ziff.5.1.3 / BB, Ziff. 2 + 3</t>
  </si>
  <si>
    <t xml:space="preserve">BB, Ziff. 5 </t>
  </si>
  <si>
    <t>bis 15.000 Euro</t>
  </si>
  <si>
    <t>bis 50.000 Euro</t>
  </si>
  <si>
    <t>AUB, Ziff. 2.8 / BB, Zif. 19</t>
  </si>
  <si>
    <t>AUB, Ziff. 2.8 / BB, Zif. 25</t>
  </si>
  <si>
    <t>AUB, Ziff. 2.8 / BB, Zif. 6</t>
  </si>
  <si>
    <t>AUB, Ziff.2.2 / BB, Ziff. 53</t>
  </si>
  <si>
    <t>in Höhe der vereinbarten Übergangsleistung
bei Querschnittslähmung, Amputation Han oder Fuß, Erblindung, Verbrennung II mind.30%</t>
  </si>
  <si>
    <t xml:space="preserve">AUB, Ziff. 2.7. / BB, Ziff. 18 </t>
  </si>
  <si>
    <t>AUB, Ziff. 2.7. / BB, Ziff. 23 + 24</t>
  </si>
  <si>
    <t>bis 30.000 Euro (auch Zahnarzt/ -behandlungskosten für Schneide-/ Eckzähne)
Frist 3 Jahre bzw. 21 LJ
Brustkrebs bis 10.000</t>
  </si>
  <si>
    <t>bis 10.000 Euro (auch Zahnarzt/ -behandlungskosten für Schneide-/ Eckzähne)
Frist 3 Jahre bzw. 21 LJ</t>
  </si>
  <si>
    <t>bis 30.000 Euro</t>
  </si>
  <si>
    <t>AUB, Ziff. 2.6 / BB, Ziff. 22</t>
  </si>
  <si>
    <t>AUB, Ziff. 2.6 / BB, Ziff. 17</t>
  </si>
  <si>
    <t>AUB, Ziff. 2.1 / BB, Ziff. 42</t>
  </si>
  <si>
    <t>AUB, Ziff. 2.1 / BB, Ziff. 33</t>
  </si>
  <si>
    <t>75% Arm (*Hinweis)</t>
  </si>
  <si>
    <t>Verdoppelung der VS für Freizeit-Unfälle optional
*HINWEIS
Nach aktueller Rechtsprechung des BGH sind Schulterverletzungen in Fällen, bei denen in der zugrunde liegenden Gliedertaxe nur die Bezeichnung "Arm" aufgeführt ist, außerhalb der Gliedertaxe zu bewerten und zu regulieren. Dies führt im Leistungsfall in aller Regel zu einer deutlichen Schlechterstellung des Versicherten</t>
  </si>
  <si>
    <t>bis 10.000 Euro 
mind. INV-Grad 30% begrenzt 3 Jahre</t>
  </si>
  <si>
    <t>bis 3.000 Euro 
mind. INV-Grad 30% begrenzt 3 Jahre</t>
  </si>
  <si>
    <t>AUB, Ziff.2.1. / BB, Ziff. 33</t>
  </si>
  <si>
    <t>AUB, Ziff.2.1. / BB, Ziff. 42</t>
  </si>
  <si>
    <t>AUB. Ziff. 11.6 ff / BB,Ziff. 59</t>
  </si>
  <si>
    <t>AUB. Ziff. 11.6 ff / BB,Ziff. 45</t>
  </si>
  <si>
    <t>BB, Ziff. 29</t>
  </si>
  <si>
    <t>BB, Ziff. 21</t>
  </si>
  <si>
    <t>bis max. 1 Jahr (auch Mehrfach)
Wartezeit 6 Monate
 mind. 6 Wochen arbeitslos
VN unter 55</t>
  </si>
  <si>
    <t>BB, Ziff. 23</t>
  </si>
  <si>
    <t>ab Heirat bis zur nächsten Hauptfälligkeit
Inv. - 20.000 Euro</t>
  </si>
  <si>
    <t>ab Heirat bis zur nächsten Hauptfälligkeit VS analog VN</t>
  </si>
  <si>
    <t>BB, Ziff. 32</t>
  </si>
  <si>
    <t>30 Euro / Tag
max 100 Tage
in Rahmen der Kinderbetreung
(Eltern und Kind müssen VP sein)</t>
  </si>
  <si>
    <t>BB, Ziff. 67</t>
  </si>
  <si>
    <t>250 Euro 
im Rahmen des UKHT wenn keine stationäre Behandlung</t>
  </si>
  <si>
    <t>BB, Ziff. 52</t>
  </si>
  <si>
    <t>BB, Ziff. 40</t>
  </si>
  <si>
    <t>150 Euro 
im Rahmen des UKHT wenn keine stationäre Behandlung</t>
  </si>
  <si>
    <t>bei Mitwirkungsanteil &lt; 75%</t>
  </si>
  <si>
    <t>AUB, Ziff. 3.2.2 / BB, Ziff. 37</t>
  </si>
  <si>
    <t>AUB, Ziff. 3.2.2 / BB, Ziff. 28</t>
  </si>
  <si>
    <t>AUB, Ziff. 5.2.5 / BB, Ziff. 43</t>
  </si>
  <si>
    <t>ja, für Kinder bis 14 Jahre
ohne Nahrungsmittel / Drogen</t>
  </si>
  <si>
    <t>ja, für Kinder bis 18 Jahre
ohne Nahrungsmittel / Drogen</t>
  </si>
  <si>
    <t>AUB, Ziff. 5.2.5 / BB, Ziff. 57</t>
  </si>
  <si>
    <t>AUB, Ziff. 1.3 / BB, Ziff. 9</t>
  </si>
  <si>
    <t>10 % Inv-Leistung 
bei Schädel-Hirn-Trauma 2.o.3.Grades</t>
  </si>
  <si>
    <t xml:space="preserve">AUB, Ziff. 2.1.2 / BB, Ziff. 62 </t>
  </si>
  <si>
    <t>.</t>
  </si>
  <si>
    <t>bis 30 Euro / Tag Schulausfall 
wegen Aufenthalt KH
max. 100 Tage</t>
  </si>
  <si>
    <t>BB, Ziff. 66</t>
  </si>
  <si>
    <t>20 Euro / Tag
max 15 Tag</t>
  </si>
  <si>
    <t>BB, Ziff. 64</t>
  </si>
  <si>
    <t>BB, Ziff. 65</t>
  </si>
  <si>
    <t>75 € / Tag
max. 10 Übernachtungen</t>
  </si>
  <si>
    <t>BB, Ziff. 55</t>
  </si>
  <si>
    <t>BB, Ziff. 41</t>
  </si>
  <si>
    <t>ab Geburt / Adoption max.1J  
VS analog VN</t>
  </si>
  <si>
    <t>BB, Ziff. 33</t>
  </si>
  <si>
    <t xml:space="preserve">ab Geburt / Adoption max.1J  
INV 40.000€
Tod 5.000 € </t>
  </si>
  <si>
    <t>BB, Ziff. 24</t>
  </si>
  <si>
    <t>AUB, Ziff. 2.1.2.2</t>
  </si>
  <si>
    <t>AUB, Ziff. 2.1.1.3 / BB, Ziff. 36</t>
  </si>
  <si>
    <t>18 Monate ab Unfalltag</t>
  </si>
  <si>
    <t>24 Monate ab Unfalltag</t>
  </si>
  <si>
    <t>AUB, Ziff. 2.1.1.3 / BB, Ziff. 27</t>
  </si>
  <si>
    <t>AUB, Ziff. 7.1.  / BB, Ziff. 31</t>
  </si>
  <si>
    <t>AUB, Ziff. 7.1.  / BB, Ziff. 27</t>
  </si>
  <si>
    <t>AUB, Ziff. 9.3 / BB, Ziff. 43</t>
  </si>
  <si>
    <t>AUB, Ziff. 9.3 / BB, Ziff. 34</t>
  </si>
  <si>
    <t>Auf Antrag
innerhalb eines Jahres 
auch ohne Todesfallsumme
max. INV-Grundsumme</t>
  </si>
  <si>
    <t>Auf Antrag
innerhalb eines Jahres 
auch ohne Todesfallsumme
max 5% INV-Grundsumme</t>
  </si>
  <si>
    <t>max 6 Wochen
nach Unfalltod</t>
  </si>
  <si>
    <t>AUB, Ziff. 7.5 / BB, Ziff. 47</t>
  </si>
  <si>
    <t>48 Std
nach Unfalltod</t>
  </si>
  <si>
    <t>AUB, Ziff. 17 / BB, Ziff. 60</t>
  </si>
  <si>
    <t>innerhalb von 3 Jahren
max. 1095 Tage</t>
  </si>
  <si>
    <t>innerhalb von 5 Jahren
max. 1825 Tage</t>
  </si>
  <si>
    <t>AUB, Ziff. 2.3 / BB, Ziff. 37 (1)</t>
  </si>
  <si>
    <t>AUB, Ziff. 2.3 / BB, Ziff. 37 (2)</t>
  </si>
  <si>
    <t>AUB, Ziff. 2.3 / BB, Ziff. 48 (2)</t>
  </si>
  <si>
    <t>AUB, Ziff. 2.3 / BB, Ziff. 48 (1)</t>
  </si>
  <si>
    <t>ja
(Noteinweisung o. einziges Ver-sorgungskrankenhaus in der Nähe)</t>
  </si>
  <si>
    <t>AUB, Ziff. 2.3 / BB, Ziff. 38</t>
  </si>
  <si>
    <t>AUB, Ziff. 2.3 / BB, Ziff. 49</t>
  </si>
  <si>
    <t>AUB, Ziff. 2.3 / BB, Ziff. 50</t>
  </si>
  <si>
    <t>max 21 Tage</t>
  </si>
  <si>
    <t>AUB, Ziff. 2.3 / BB, Ziff. 39</t>
  </si>
  <si>
    <t>max 100 Tage</t>
  </si>
  <si>
    <t>max 500 Tage
    1. -250. Tag 100%
251. - 500. Tag 50 %</t>
  </si>
  <si>
    <t>AUB, Ziff. 2.4.2 / BB, Ziff. 51</t>
  </si>
  <si>
    <t>20 € / Tag
max. 1 Jahr ab Unfalltag</t>
  </si>
  <si>
    <t>BB, Ziff. 27</t>
  </si>
  <si>
    <t>BB, Ziff. 28</t>
  </si>
  <si>
    <t>20 € / Tag
max. 3 Jahr ab Unfalltag
ab Pflegestufe I unfallbedingt</t>
  </si>
  <si>
    <t>Pflegestufe I</t>
  </si>
  <si>
    <t>BB, Ziff. 35</t>
  </si>
  <si>
    <t>Ja
nur Leistungen ohne Mehrbeitrag</t>
  </si>
  <si>
    <t>AUB, Ziff. 5.1.5 / BB, Ziff. 11</t>
  </si>
  <si>
    <t>AUB, Ziff. 5.1.5 / BB, Ziff. 10</t>
  </si>
  <si>
    <t>Fuß 65 %</t>
  </si>
  <si>
    <t>AUB, Ziff. 2.1.2.2.1 / BB, Ziff. 38</t>
  </si>
  <si>
    <t>Verlust: 85%
Funktionsunfähigkeit: 70%</t>
  </si>
  <si>
    <t>Verlust: 80%
Funktionsunfähigkeit: 70%</t>
  </si>
  <si>
    <t>Verlust: 75%
Funktionsunfähigkeit: 70%</t>
  </si>
  <si>
    <t>Verlust: 70%
Funktionsunfähigkeit: 55%</t>
  </si>
  <si>
    <t>Verlust: 30%
Funktionsunfähigkeit: 20%</t>
  </si>
  <si>
    <t>Verlust: 20%
Funktionsunfähigkeit: 10%</t>
  </si>
  <si>
    <t>Verlust: 15%
Funktionsunfähigkeit: 5%</t>
  </si>
  <si>
    <t>Fuß 
Verlust 65 %
Funktionsunfähigkeit 40%</t>
  </si>
  <si>
    <t>Verlust: 8%
Funktionsunfähigkeit: 2%</t>
  </si>
  <si>
    <t>AUB, Ziff. 2.1.2.2.1 / BB, Ziff. 29</t>
  </si>
  <si>
    <t>BB, Ziff. 26</t>
  </si>
  <si>
    <t>bis zum Ablauf des Versicherungs-jahres, in dem Kind 18. Lj. Vollendet
VN bei Vertragsbeginn unter 45 J</t>
  </si>
  <si>
    <t>Progessionsmodell 
225% / 350% / 500%
BB, Ziff.
'Gesundheitsschäden durch selbstgebaute Feuerwerkskörper
BB, Ziff. 44
'Todesfallleistung bei Unfalltod
Bis 5000 € Verzicht Bewusstseinstörungen
und nach Verschollenengesetz
BB, Ziff. 36
Abweichungen gegenüber den GDV-Musterbedingungen
keine Verschlechterungen
BB, Ziff. 25
Dolmetscherkosten bis 100 €
BB, Ziff. 20
Psychische Erkrankung durch einen Unfall
BB, Ziff. 12
Kitesurfen
BB,Ziff. 16
'Notwehr und Innere Unruhen solange nicht selbst Unruhestifter
BB, Ziff. 2
Wird das Kind vor Vollendung des ersten Lebensjahres in den Vertrag
eingeschlossen, erfolgt der Einschluss ohne Gesundheitsprüfung.
BB, Ziff. 24
Vollwaisenrente bis 18 LJ
JBP Kind x 50
max. 10.000 € p.a.
BB, Ziff. 47</t>
  </si>
  <si>
    <t>Progessionsmodell 
225% / 350% / 500%
BB, Ziff.
'Beitragsfreistellung bei Arbeitsunfähigkeit 
Wartezeit 6 Monate mind. 6 Wochen AU 
max bis 12 Monate in 2 Jahren
BB, Ziff. 30
'Behinderungsbedingte Mehraufwendungen 
Rep. bereits vorh. Prothesen bis 2500 €
BB, Ziff. 42
Logopädische Behandlung
bis 10 Sitzungen / max 500 €
BB, Ziff. 44
'Gesundheitsschäden durch selbstgebaute Feuerwerkskörper
BB, Ziff. 58
'Todesfallleistung bei Unfalltod
Bis 10000 € Verzicht Bewusstseinstörungen
und nach Verschollenengesetz
BB, Ziff. 46
Abweichungen gegenüber den GDV-Musterbedingungen
keine Verschlechterungen
BB, Ziff. 34
Dolmetscherkosten bis 250 €
BB, Ziff. 26
Psychische Erkrankung durch einen Unfall
(bei Überfall und Geiselnahme max 10 Sitzungen)
BB, Ziff. 14
Kitesurfen
BB,Ziff. 21
'Notwehr und Innere Unruhen solange nicht selbst Unruhestifter
BB, Ziff. 2
Wird das Kind vor Vollendung des ersten Lebensjahres in den Vertrag
eingeschlossen, erfolgt der Einschluss ohne Gesundheitsprüfung.
BB, Ziff. 33
Vollwaisenrente bis 18 LJ
JBP Kind x 50
max. 10.000 € p.a.
BB, Ziff. 61</t>
  </si>
  <si>
    <t>aktuell
(geprüft am 19.04.2017)</t>
  </si>
  <si>
    <t>Prokundo Gleichgewicht</t>
  </si>
  <si>
    <t xml:space="preserve">Tollwut, Wundstarrkrampf
</t>
  </si>
  <si>
    <t>ABUG 4.24</t>
  </si>
  <si>
    <t>ABUG 4.2.2</t>
  </si>
  <si>
    <t>ABUG 4.1.1</t>
  </si>
  <si>
    <t>ABUG 1.4</t>
  </si>
  <si>
    <t>ABUG 4.1.1.  2)</t>
  </si>
  <si>
    <t>ABUG 1.4 + 4.1.3</t>
  </si>
  <si>
    <t>ABUG 4.2.5.</t>
  </si>
  <si>
    <t>ABUG 2.6.</t>
  </si>
  <si>
    <t>im Rahmen der unfallbedingten Kosten bis 25.000 €
wenn Leistungen nach 2.1.2 fällig dann bis 10 Mio €</t>
  </si>
  <si>
    <t>ABUG 2.4.</t>
  </si>
  <si>
    <t>im Rahmen der unfallbedingten Kosten bis 2500 €
wenn Leistungen nach 2.1.2 fällig dann bis 10 Mio €</t>
  </si>
  <si>
    <t>ABUG 2.5.</t>
  </si>
  <si>
    <t>Beitragsbefreiung  bei Tod VN 
 Vertragsbeginn vor Vollendung des 45. LJ
und ungekündigt
dann Weiterführung bis Ablauf des VJ
in dem Vollendung 18. LJ</t>
  </si>
  <si>
    <t>ABUG 11,6</t>
  </si>
  <si>
    <t>ja, für Personen bis 14 Jahre</t>
  </si>
  <si>
    <t>ABUG 4.2.5</t>
  </si>
  <si>
    <t>nein nur Schadensersatzzahlungen</t>
  </si>
  <si>
    <t>ABUG 2.1.1.1 + 2.1.1.2</t>
  </si>
  <si>
    <t>ABUG 8.3</t>
  </si>
  <si>
    <t>ja
auf Wunsch, sofern die Leistungspflicht dem Grunde nach fest steht
innerhalb des ersten Jahres nach Unfall max. Todesfallleistung</t>
  </si>
  <si>
    <t>nein 
7 Tage</t>
  </si>
  <si>
    <t>ABUG 6.5.</t>
  </si>
  <si>
    <t>sofort</t>
  </si>
  <si>
    <t>ABUG 5.2.1</t>
  </si>
  <si>
    <t>ABUG 4.1.5</t>
  </si>
  <si>
    <t>nicht relevant</t>
  </si>
  <si>
    <t>ABUG 2.1.2 + 2.2.2 + 9</t>
  </si>
  <si>
    <t>ABUG 2017
Stand 01-2017</t>
  </si>
  <si>
    <t>aktuell
(geprüft am 19.06.2017)</t>
  </si>
  <si>
    <t>nur tatsächliche Kosten 
im Rahmen von ABUG 2.1.2 bis 10 Mio €</t>
  </si>
  <si>
    <r>
      <rPr>
        <b/>
        <sz val="7"/>
        <rFont val="Arial"/>
        <family val="2"/>
      </rPr>
      <t>Art und Höhe der Leistung:
Es werden nur tatsächlich angefallene Kosten übernommen
Unfallversicherer verhält sich wie Haftpflichtversicherer bei Personenschaden
Voraussetzung: dauerhafte Beeinträchtigung von länger als 3 Jahren ohne Aussicht auf Besserung</t>
    </r>
    <r>
      <rPr>
        <sz val="7"/>
        <rFont val="Arial"/>
        <family val="2"/>
      </rPr>
      <t xml:space="preserve">
bei einer unfallbedingten Invalidität ersetzen wir die finanziellen Folgen (ohne Verdienstausfall / Verdienstausfall Baustein GehaltPlus ABUG 2.2.2) des unfallbedingten Personenschadens so, als ob wir</t>
    </r>
    <r>
      <rPr>
        <b/>
        <sz val="7"/>
        <rFont val="Arial"/>
        <family val="2"/>
      </rPr>
      <t xml:space="preserve"> schadensersatzpflichtig</t>
    </r>
    <r>
      <rPr>
        <sz val="7"/>
        <rFont val="Arial"/>
        <family val="2"/>
      </rPr>
      <t xml:space="preserve"> wären.
Finanzielle Folgen können z.B. 
-Heilbehandlungskosten,
- Pflegekosten,
-Umbaukosten,
-Schmerzensgeld,
- Haushaltführungskosten (z.B. Haushaltshilfe, Kinderbetreuung)
sein. Dabei leisten wir nach den deutschen gesetzlichen Schadensersatzbestimmungen des Privatrechts unter Anrechnung der Leistungen schadensersatzpflichtiger Dritter für den Schadenfall (vorrangige Leistungpflicht Dritter, vgl. Ziffer 9) und der Leistungen aus Sozialversicherungen und obligatorischen Versicherungen (vgl. Ziffer3.1.)
Nicht angerechnet werden Leistungen aus zusätzlich abgeschlossenen privaten Verträgen zur Absicherung der Arbeitskraft z.B. Berufsunfähigkeit und Krankenzusatz</t>
    </r>
  </si>
  <si>
    <t>im Ausland bis 14 Tage,
soweit unvorhergesehen
Notwehr und Innere Unruhen solange nicht selbst Unruhestifter</t>
  </si>
  <si>
    <t>iO</t>
  </si>
  <si>
    <t>Anmerkungen</t>
  </si>
  <si>
    <t>Aufbau ALT</t>
  </si>
  <si>
    <t>Aufbau NEU</t>
  </si>
  <si>
    <t>NEU</t>
  </si>
  <si>
    <t>Vergiftungen infolge 
Einnahme fester oder Flüssiger Stoffe
versehentlich und schädlichkeit nicht bewusst</t>
  </si>
  <si>
    <r>
      <t xml:space="preserve">Vergiftungen
</t>
    </r>
    <r>
      <rPr>
        <sz val="7"/>
        <color rgb="FFFF0000"/>
        <rFont val="Arial"/>
        <family val="2"/>
      </rPr>
      <t>Gesundheitsschädigungen</t>
    </r>
    <r>
      <rPr>
        <sz val="7"/>
        <rFont val="Arial"/>
        <family val="2"/>
      </rPr>
      <t xml:space="preserve"> durch Gase und Dämpfe
</t>
    </r>
    <r>
      <rPr>
        <sz val="7"/>
        <color rgb="FFFFC000"/>
        <rFont val="Arial"/>
        <family val="2"/>
      </rPr>
      <t>(plötzlich ausströmend)</t>
    </r>
  </si>
  <si>
    <t>7
NEU</t>
  </si>
  <si>
    <t>Deckungserweiterungen</t>
  </si>
  <si>
    <t>Unfälle als Folge von Bewußtseinsstörungen durch 
Medikamente</t>
  </si>
  <si>
    <r>
      <t>Unfälle als Folge von Bewußtseinsstörungen durch
Schlaganfall oder Herz</t>
    </r>
    <r>
      <rPr>
        <sz val="7"/>
        <color rgb="FFFFC000"/>
        <rFont val="Arial"/>
        <family val="2"/>
      </rPr>
      <t>infarkt</t>
    </r>
  </si>
  <si>
    <t>Unfälle als Folge von Bewußtseinsstörungen durch 
Alkohol</t>
  </si>
  <si>
    <t>Unfälle als Folge von Bewußtseinsstörungen durch
Herz- und Kreislaufstörungen</t>
  </si>
  <si>
    <t>einzelne Tarife Übermüdung oder Erschrecken</t>
  </si>
  <si>
    <t>Frsiten: Eintritt der Invalidität
(Frist ab Unfalltag, innerhalb der die Inv. Eingetreten sein muss)</t>
  </si>
  <si>
    <r>
      <t>Frsiten: Feststellung und Geltdmachung
(Frist ab Unfalltag, innerhalb der die Inv. Ärztlich festgestellt und beim VR geltend gemacht werden muss)</t>
    </r>
    <r>
      <rPr>
        <sz val="7"/>
        <color rgb="FFFFC000"/>
        <rFont val="Arial"/>
        <family val="2"/>
      </rPr>
      <t xml:space="preserve">
Erweiterte Anzeigefristen für die Invalidität auf </t>
    </r>
  </si>
  <si>
    <r>
      <t xml:space="preserve">Impfschäden 
</t>
    </r>
    <r>
      <rPr>
        <sz val="7"/>
        <color rgb="FFFFC000"/>
        <rFont val="Arial"/>
        <family val="2"/>
      </rPr>
      <t>Impfung gegen durch Insektenstiche übertragene Infektionen
z.B Zecken-FSME</t>
    </r>
  </si>
  <si>
    <t>ärztlich/behördlich empfohlene Impfungen
Wartezeit</t>
  </si>
  <si>
    <t>Infektionen: geringfügige Hautverletzungen
(Haut- o. Schleimhautverletzungen)</t>
  </si>
  <si>
    <t>regelmäßig ausgeschlossen bleiben
Gesundheitsschäden durch Anhauchen, Anniesen, Anhusten
ANZEIGEPFLICHT VERKÜRZT ursächliches Ereigniss innerhalb von 4 Wochen</t>
  </si>
  <si>
    <t>Infektionen: bestimmte Krankheiten
z.B Cholera, Diphterie</t>
  </si>
  <si>
    <t>Ausbruch oder erstmalige Infizierung 
Wartezeiten (Monate)</t>
  </si>
  <si>
    <t>1 + 52</t>
  </si>
  <si>
    <t>Versicherer</t>
  </si>
  <si>
    <t>max. Aufnahmealter</t>
  </si>
  <si>
    <t>Quelle</t>
  </si>
  <si>
    <t>Allianz</t>
  </si>
  <si>
    <t>Erwachsene (ab 60)</t>
  </si>
  <si>
    <t>bis vollendetes 
80. Lebensjahr</t>
  </si>
  <si>
    <t>Druckstück aus Rechner</t>
  </si>
  <si>
    <t>60 Aktiv</t>
  </si>
  <si>
    <t>Alte Leipziger</t>
  </si>
  <si>
    <t>bis vollendetes 
75. Lebensjahr</t>
  </si>
  <si>
    <t>keine Fortführungsmöglichkeit 
über das 80. Lebensjahr hinaus</t>
  </si>
  <si>
    <t>Ammerländer</t>
  </si>
  <si>
    <t>Comfort</t>
  </si>
  <si>
    <t>Antragsformular</t>
  </si>
  <si>
    <t>ARAG</t>
  </si>
  <si>
    <t>bis vollendetes 
60. Lebensjahr</t>
  </si>
  <si>
    <t>Nach Vollendung des 60., 67.,75., 80., 85. Lebensjahrs Umstellung auf jeweiligen Tarif für die Altersgruppe</t>
  </si>
  <si>
    <t>Tarifrichtlinien</t>
  </si>
  <si>
    <t>AXA</t>
  </si>
  <si>
    <t>Unfall</t>
  </si>
  <si>
    <t>bis Ende 
65. Lebensjahr</t>
  </si>
  <si>
    <t>Rechner</t>
  </si>
  <si>
    <t>Unfall-Pflegeversicherung</t>
  </si>
  <si>
    <t>bis Ende 
80. Lebensjahr</t>
  </si>
  <si>
    <t>Baden Badener</t>
  </si>
  <si>
    <t>bis Ende 
70. Lebensjahr</t>
  </si>
  <si>
    <t>Basler</t>
  </si>
  <si>
    <t>Rechner / Tarif</t>
  </si>
  <si>
    <t>Condor</t>
  </si>
  <si>
    <t>Cosmos</t>
  </si>
  <si>
    <t>DEVK</t>
  </si>
  <si>
    <t>bis vollendetes 
65. Lebensjahr</t>
  </si>
  <si>
    <t>darüber hinaus nur Unfall-Rente</t>
  </si>
  <si>
    <t>ERGO</t>
  </si>
  <si>
    <t>Unfallschutz</t>
  </si>
  <si>
    <t>Unfallschutz Vital</t>
  </si>
  <si>
    <t>Generali</t>
  </si>
  <si>
    <t>bis vollendetes 
70. Lebensjahr</t>
  </si>
  <si>
    <t>Gothaer</t>
  </si>
  <si>
    <t>mit Vollendung des 85. Lebensjahres Baustein CuraPlus nicht versicherbar</t>
  </si>
  <si>
    <t>Grundeigentümer</t>
  </si>
  <si>
    <t>Individuelle Antragsprüfung 
ab Vollendung des 75. Lebensjahres</t>
  </si>
  <si>
    <t>PIB</t>
  </si>
  <si>
    <t>Häger</t>
  </si>
  <si>
    <t>keine Fortführungsmöglichkeit 
über das 75. Lebensjahr hinaus</t>
  </si>
  <si>
    <t>HKD</t>
  </si>
  <si>
    <t>bis vollendetes 
81. Lebensjahr</t>
  </si>
  <si>
    <t>Ideal</t>
  </si>
  <si>
    <t>nur Unfallrente versicherbar</t>
  </si>
  <si>
    <t>Interlloyd</t>
  </si>
  <si>
    <t>Interrisk</t>
  </si>
  <si>
    <t>jährliche Anpassung um 5%
Frauen: ab 40 bis einschließlich 85 Jahre
Männer: ab 55 (A) ab 64 (B) bis einschließlich 82 Jahre</t>
  </si>
  <si>
    <t>Janitos</t>
  </si>
  <si>
    <t>KRAVAG</t>
  </si>
  <si>
    <t>ab vollendetem 65. Lebensjahr keine Kapitalleistung (nur noch Unfallrente)</t>
  </si>
  <si>
    <t>nationale suisse</t>
  </si>
  <si>
    <t>ab 75. Lebensjahr Direktionsanfrage</t>
  </si>
  <si>
    <t>bis vollendetes 
87. Lebensjahr</t>
  </si>
  <si>
    <t>max. 1 Jahr Laufzeit 
bei Personen ab 80 Jahren</t>
  </si>
  <si>
    <t>Öffentliche Braunschweig</t>
  </si>
  <si>
    <t>Einzel-/ Familienunfall</t>
  </si>
  <si>
    <t>Seniorentarif</t>
  </si>
  <si>
    <t>bis vollendetes 
79. Lebensjahr</t>
  </si>
  <si>
    <t>Prokundo</t>
  </si>
  <si>
    <t>Bedingungen (Gefahrengruppen) / 
BB, Ziff. 16</t>
  </si>
  <si>
    <t>Provinzial</t>
  </si>
  <si>
    <t>R+V</t>
  </si>
  <si>
    <t>Signal Iduna</t>
  </si>
  <si>
    <t>SLP</t>
  </si>
  <si>
    <t>Stuttgarter</t>
  </si>
  <si>
    <t>VdVA</t>
  </si>
  <si>
    <t>VHV</t>
  </si>
  <si>
    <t>WÜBA</t>
  </si>
  <si>
    <t>Württembergische</t>
  </si>
  <si>
    <t>Zurich</t>
  </si>
  <si>
    <t>Neu</t>
  </si>
  <si>
    <t>Psychische und nervöse Störungen</t>
  </si>
  <si>
    <t>welche auf eine durch den Unfall verursachte organische Erkrankung des Nervensystems oder durch den Unfall neu entstandene Epeliepsie zurückzuführen sind</t>
  </si>
  <si>
    <t>Unerlaubtes Fahren eiens PKW (Minderjährige)
(solange damit keine andere Straftat verbunden ist)</t>
  </si>
  <si>
    <t>Altersklausel
Nur Kapitalleistung (keine Verrentung)</t>
  </si>
  <si>
    <t>Kapitalleistungen vor Vollendung des … Lebensjahres
ggf. sehen die Bedingungen Zahlung einer Rente vor</t>
  </si>
  <si>
    <r>
      <t xml:space="preserve">Telefonische Serviceleistungen
</t>
    </r>
    <r>
      <rPr>
        <sz val="7"/>
        <color rgb="FFFFC000"/>
        <rFont val="Arial"/>
        <family val="2"/>
      </rPr>
      <t>Vermittlung von Hilfs und Serviceleistungen ohne Kostenübernahme</t>
    </r>
  </si>
  <si>
    <t xml:space="preserve">Krankenhaustagegeld: Leistungsdauer </t>
  </si>
  <si>
    <t>Krankenhaustagegeld: Leistungsduer Genesungsgeld</t>
  </si>
  <si>
    <t>Krankenhaustagegeld: Leistung  in Sanatorien oder  gemischten Instituten</t>
  </si>
  <si>
    <t>Obliegenheiten und Fristen</t>
  </si>
  <si>
    <t>Luftfahrt: Berufliches Luftfahrtriskio für Mediziner</t>
  </si>
  <si>
    <t>versichert (nicht als Flugzeugführer oder Besatzungsmitglied</t>
  </si>
  <si>
    <r>
      <t xml:space="preserve">Mitwirkung von Vorerkrankungen 
</t>
    </r>
    <r>
      <rPr>
        <sz val="7"/>
        <color rgb="FFFFC000"/>
        <rFont val="Arial"/>
        <family val="2"/>
      </rPr>
      <t>Mitwirkungsanteil: Kürzung der Kapitalleistungen ab einem Anteil von …….</t>
    </r>
  </si>
  <si>
    <r>
      <t xml:space="preserve">Mitwirkung von Vorerkrankungen 
</t>
    </r>
    <r>
      <rPr>
        <sz val="7"/>
        <color rgb="FFFFC000"/>
        <rFont val="Arial"/>
        <family val="2"/>
      </rPr>
      <t>Mitwirkungsanteil: Kürzung des Invadliditätsgrades ab einem Anteil von …….</t>
    </r>
  </si>
  <si>
    <t>66+NEU</t>
  </si>
  <si>
    <t>* nicht teil der Unruhestifter
* versichert bis 14 Tage nach Kriegsausbruch</t>
  </si>
  <si>
    <t>verspätete Arztkonsultierung bei geringfügig erscheinenden Unfallfolgen</t>
  </si>
  <si>
    <t>Versicherungsschutz bei verletzung der Obliegenheit, umgehend einen Arzt zu konsultieren, sofern die Verletzung geringfügig, das Ausmaß der Verletzung nicht zu erkennen war und umgehend nachgeholt wird</t>
  </si>
  <si>
    <t>Innovationsklausel: Bedingungsverbesserungen</t>
  </si>
  <si>
    <t xml:space="preserve">*Pauschalbetrag bei mind. 3 monatiger Kur o. ReHa-Maßnahmen
* oder mit Kostennachweis
</t>
  </si>
  <si>
    <t>Leistungsart Unfall-Rente</t>
  </si>
  <si>
    <t>ab einem Invaliditätsgrad von …….
und  Leistungsdauer</t>
  </si>
  <si>
    <t>Vorrauszahlung auf die zu erwartende INV-Entschädigung bei lf Heilverfahrensoweit keine akute Lebensgefahr besteht
(unabhängig von einer Todesfallsumme</t>
  </si>
  <si>
    <t>Vorsorge
Kostenloser Schutz für Neugeborene
(für ein Jahr)</t>
  </si>
  <si>
    <t>Zahnersatz 
unfallbedingt für Eck-und Schneidezähne</t>
  </si>
  <si>
    <t xml:space="preserve">bis Höhe (eigene Summe oder im Rahmen KOP)
auch implantiert oder nur natürliche
</t>
  </si>
  <si>
    <r>
      <t>Arm oberhalb Ellenbogen(</t>
    </r>
    <r>
      <rPr>
        <sz val="7"/>
        <color rgb="FFFFC000"/>
        <rFont val="Arial"/>
        <family val="2"/>
      </rPr>
      <t>-gelenks</t>
    </r>
    <r>
      <rPr>
        <sz val="7"/>
        <rFont val="Arial"/>
        <family val="2"/>
      </rPr>
      <t>)</t>
    </r>
  </si>
  <si>
    <t>Arm unterhalb Ellenbogen(-gelenks)</t>
  </si>
  <si>
    <t xml:space="preserve">ein Auge </t>
  </si>
  <si>
    <t>(erhöhter Wert wenn das andere Auge 
bereits vor dem Unfall vollständig funktionsunfähig war)</t>
  </si>
  <si>
    <t>gibt es eine Kinderregelung mit erhöhten Werten</t>
  </si>
  <si>
    <t>94+95</t>
  </si>
  <si>
    <t>anderer Finger
(allerdings max ….. für sämtliche Finger einer Hand)</t>
  </si>
  <si>
    <t>78+79</t>
  </si>
  <si>
    <t>eigenrlich nur AUB 2008 und älter wichtig</t>
  </si>
  <si>
    <t>Nahrungsmittelvergiftungen (lebensmittel)</t>
  </si>
  <si>
    <t>Progessionensmodell, verfogbar sind</t>
  </si>
  <si>
    <t>Aktualität des Bedingungserks</t>
  </si>
  <si>
    <t>Geprüft von</t>
  </si>
  <si>
    <t>Gliedertaxe</t>
  </si>
  <si>
    <t>Vorsorge Kostenloser Schutz für Lebenspartner</t>
  </si>
  <si>
    <t>Garantierte Mindeststandards ( GDV / AKBP )</t>
  </si>
  <si>
    <t>Gesundheitsfragen</t>
  </si>
  <si>
    <t>Aufnahmealter bis</t>
  </si>
  <si>
    <t>Allgemeines</t>
  </si>
  <si>
    <t xml:space="preserve">Höchstleistung: maximale INV-Leistung </t>
  </si>
  <si>
    <t>Vorsorge</t>
  </si>
  <si>
    <t xml:space="preserve">Vollwaisen-Leistung </t>
  </si>
  <si>
    <t>55+32</t>
  </si>
  <si>
    <r>
      <rPr>
        <sz val="7"/>
        <color rgb="FFFFC000"/>
        <rFont val="Arial"/>
        <family val="2"/>
      </rPr>
      <t xml:space="preserve">Beitragsfreie </t>
    </r>
    <r>
      <rPr>
        <sz val="7"/>
        <rFont val="Arial"/>
        <family val="2"/>
      </rPr>
      <t>Weiterführung der Kinderunfall bei Tod des VN</t>
    </r>
  </si>
  <si>
    <t>optionaler Baustein</t>
  </si>
  <si>
    <t>Schutzbrief * Hilfe und Pflege"</t>
  </si>
  <si>
    <t>raus 
ALT
nur 1 VR
iO</t>
  </si>
  <si>
    <t>Krankenhaustagegeld: 
Doppelte Leistung  im Ausland und Leistungsdauer</t>
  </si>
  <si>
    <t>Zusatzleistungen Kinder</t>
  </si>
  <si>
    <t>Leistungsart UTG</t>
  </si>
  <si>
    <t xml:space="preserve">Leistungsdauer </t>
  </si>
  <si>
    <t>Karrenzzeit</t>
  </si>
  <si>
    <t>Unfälle als Folge von Bewußtseinsstörungen 
durch  Alkohol</t>
  </si>
  <si>
    <t>Unfälle als Folge von Bewußtseinsstörungen 
durch Medikamente</t>
  </si>
  <si>
    <t>ReHa-kosten</t>
  </si>
  <si>
    <t>Vorsorge Kostenloser Schutz für Lebenspartner/Ehegatten</t>
  </si>
  <si>
    <t>10%
(65%)</t>
  </si>
  <si>
    <t>15%
(70%)</t>
  </si>
  <si>
    <t>10%
(70%)</t>
  </si>
  <si>
    <t>10%
(60%)</t>
  </si>
  <si>
    <t>l - 5% / ll - 10% / lll - 15%
(l - 55% / ll - 75% / lll - 90%)</t>
  </si>
  <si>
    <t>10%
(55%)</t>
  </si>
  <si>
    <t>10%
(75%)</t>
  </si>
  <si>
    <t>Trend: 5% (50%)
Top: 10% (75%)</t>
  </si>
  <si>
    <t>Top: 10% (75%)
Exklusiv: 20% (100%)</t>
  </si>
  <si>
    <t>5% verbessert: 15%
(- verbessert 75%)</t>
  </si>
  <si>
    <t>12%
Kleiner Finger: 7%
(70%)</t>
  </si>
  <si>
    <t>12%
(75%)</t>
  </si>
  <si>
    <t>Erläuterungen</t>
  </si>
  <si>
    <t>AUB , Nr. 1.4 + 5.2.7</t>
  </si>
  <si>
    <r>
      <t xml:space="preserve">Rettung von Menschenleben oder Sachen
Rettung von </t>
    </r>
    <r>
      <rPr>
        <sz val="7"/>
        <color rgb="FFFFC000"/>
        <rFont val="Arial"/>
        <family val="2"/>
      </rPr>
      <t>Personen, Tieren oder Sachen</t>
    </r>
  </si>
  <si>
    <r>
      <t>Rettung von</t>
    </r>
    <r>
      <rPr>
        <sz val="7"/>
        <color rgb="FFFFC000"/>
        <rFont val="Arial"/>
        <family val="2"/>
      </rPr>
      <t xml:space="preserve"> Personen , Tieren oder Sachen </t>
    </r>
  </si>
  <si>
    <t>AUB , Nr. 1.4.1</t>
  </si>
  <si>
    <t>INV 30.000 € ohne Prog.</t>
  </si>
  <si>
    <t>AUB, Nr. 1.6</t>
  </si>
  <si>
    <t>AUB, Nr. 2.1.1.1</t>
  </si>
  <si>
    <t>42 Monate</t>
  </si>
  <si>
    <t>Frsiten: Feststellung und Geltdmachung
(Frist ab Unfalltag, innerhalb der die Inv. Ärztlich festgestellt und beim VR geltend gemacht werden muss)</t>
  </si>
  <si>
    <t>AUB, Nr. 2.1.2.2.1</t>
  </si>
  <si>
    <t>AUB, Nr. 2.1.2.2.2</t>
  </si>
  <si>
    <t>nicht taxiert</t>
  </si>
  <si>
    <t>ab 90% Invalidität, 200 % max. 150.000 €
(vor Vollendung des 70. Lj.)</t>
  </si>
  <si>
    <t>AUB, Nr. 2.1.2.4</t>
  </si>
  <si>
    <t>Progessionensmodell, verfügbar sind</t>
  </si>
  <si>
    <t>AUB, Nr. 2.1.2.5 - 7</t>
  </si>
  <si>
    <t>Übergangsleistung</t>
  </si>
  <si>
    <t>vereinbarte VS</t>
  </si>
  <si>
    <t>AUB, Nr. 2.2</t>
  </si>
  <si>
    <t>Krankenhaustagegeld: Leistungsdauer ….. ab Unfalltag</t>
  </si>
  <si>
    <t>2 Jahre (darüber hinaus innerhalb weiterer 3 Jahre zur Materialentfernung)</t>
  </si>
  <si>
    <t>AUB, Nr, 2.4.2 + 2.4.3 a)</t>
  </si>
  <si>
    <t>bei ambulater OP unter Vollnarkose oder Reginalanästhesie einer ganzen Extremität</t>
  </si>
  <si>
    <t>AUB, Nr. 2.4.3 c)</t>
  </si>
  <si>
    <t>100 Tage</t>
  </si>
  <si>
    <t>AUB, Nr, 2.5.2</t>
  </si>
  <si>
    <t xml:space="preserve">zuvor Vollsttionärer Aufenthalt mit KH-Anspruch 
Leistung </t>
  </si>
  <si>
    <t>2 Tagessätze
(auch GG 2 Tagessätze)</t>
  </si>
  <si>
    <t xml:space="preserve">AUB, Nr. 2.4.3 b) + 2.5.2 </t>
  </si>
  <si>
    <t>AUB. Nr. 7.5</t>
  </si>
  <si>
    <t>beide versicherten Elternteile durch ein und dasselbe Unfallereignis
innerhalb des ersten jahres</t>
  </si>
  <si>
    <t>AUB. Nr. 2.6.2</t>
  </si>
  <si>
    <t>Leistungsart Tod (innerhalb eines Jahres ab Unfalltag)</t>
  </si>
  <si>
    <t>**** Brüche langer Röhrenknochen an mind. 2 Gliedmaßen
oder 2 Organen bzw. Kombination aus Organ / Knochen bzw. Becken oder Wirbelsäule</t>
  </si>
  <si>
    <t>AUB, Nr. 2.7</t>
  </si>
  <si>
    <t>AUB, Nr.2.9</t>
  </si>
  <si>
    <t>750 €  für 10-30 Tage
+ 250 € je 10 Tage vollstätionärer Aufenthalt innerhalb 2 Jahren</t>
  </si>
  <si>
    <t>AUB, Nr. 2.10.1.3</t>
  </si>
  <si>
    <t>AUB, Nr. 2.10.2.1</t>
  </si>
  <si>
    <t>bis 1000 Bahnkilometer 1. klasse Bahn drüber economy Linenflug
Taxi bis 50 € und Übernachtungen 75 € je P und nacht macx 3 ÜN</t>
  </si>
  <si>
    <t>AUB, Nr. 2.10.2 + 2.10.2.2</t>
  </si>
  <si>
    <t>innerhalb von 3 Jahren ab Unfalltag für mind. 3 Wochen
mit aärztlichem Nachweis</t>
  </si>
  <si>
    <t>AUB, Nr. 2.10.3</t>
  </si>
  <si>
    <t>AUB, Nr. 2.10.6</t>
  </si>
  <si>
    <t>AUB, Nr. 2.10.4</t>
  </si>
  <si>
    <t>für Erziehungsberechtigten bei Kindern unter 14 Jahren</t>
  </si>
  <si>
    <r>
      <t xml:space="preserve">Rooming-In Leistungen  </t>
    </r>
    <r>
      <rPr>
        <sz val="7"/>
        <color rgb="FF00B050"/>
        <rFont val="Arial"/>
        <family val="2"/>
      </rPr>
      <t>(beitragsfrei)</t>
    </r>
    <r>
      <rPr>
        <sz val="7"/>
        <rFont val="Arial"/>
        <family val="2"/>
      </rPr>
      <t xml:space="preserve">
(pro Übernachtung) </t>
    </r>
  </si>
  <si>
    <t>Arm-/Beinprothesen, Geh- Stützapparate, Roll- / Krankenfahrstuhl</t>
  </si>
  <si>
    <t>1.500 €
(subsidiär)</t>
  </si>
  <si>
    <t>AUB, 2.10.5</t>
  </si>
  <si>
    <t>Vermittlung von engl./dt.sprachigen Ärzten im Ausland 
benennung von Haushaltshilfen</t>
  </si>
  <si>
    <t>AUB, Nr. 3</t>
  </si>
  <si>
    <t>mit Eintritt Pflege VP nicht versicherbar</t>
  </si>
  <si>
    <t>AUB, Nr. 4.3</t>
  </si>
  <si>
    <t>AUB, Nr. 5.1.1</t>
  </si>
  <si>
    <t>ausgeschlossen bleibt Nachweislicher Alkoholkrank und medikamentenabhängig. Drogeneinfluss oder medikamentenmissbrauch</t>
  </si>
  <si>
    <t>AUB, Nr. 5.1.3</t>
  </si>
  <si>
    <t>AUB, Nr. 5.1.4</t>
  </si>
  <si>
    <t>AUB, Nr. 5.1.5</t>
  </si>
  <si>
    <t>AUB, Nr. 5.2.2</t>
  </si>
  <si>
    <t>AUB, Nr. 5.2.5</t>
  </si>
  <si>
    <t xml:space="preserve">AUB, Nr. 5 kein Ausschluß </t>
  </si>
  <si>
    <t>AUB, Nr. 5.2.6</t>
  </si>
  <si>
    <t xml:space="preserve">Berufsveränderung / Anzeigepflichtig
Verziecht auf automatische Summenreduzierung bei Nichtanzeige
</t>
  </si>
  <si>
    <t>AUB, Nr. 6.2.1</t>
  </si>
  <si>
    <t>AUB, Nr. 7.1</t>
  </si>
  <si>
    <t>Erwachsene: 500 € Kinder: 250 €
Meldefrist 1 Monat</t>
  </si>
  <si>
    <t>AUB, Nr. 2.8 + 7.6</t>
  </si>
  <si>
    <t>AUB, Nr. 2.1.2.1</t>
  </si>
  <si>
    <t>im Rahmen der Todesfallsumme
bei grundsätzlicher Leistungspflicht</t>
  </si>
  <si>
    <t>AUB, Nr. 9.3</t>
  </si>
  <si>
    <t>AUB, Nr. 11.7</t>
  </si>
  <si>
    <t>AUB, Nr. 18</t>
  </si>
  <si>
    <t>ja
mit sofortiger Wirkung</t>
  </si>
  <si>
    <t>A.Kiss</t>
  </si>
  <si>
    <t>anfragepflichtig</t>
  </si>
  <si>
    <t>AUB, Nr. 2.2 + 7.5</t>
  </si>
  <si>
    <t>AUB, Nr. 2.4.1.2</t>
  </si>
  <si>
    <t>AUB, 2.4.6</t>
  </si>
  <si>
    <t>AUB, Nr. 2.4.3</t>
  </si>
  <si>
    <t>AUB, Nr. 2.4.2 + 2.4.2.2</t>
  </si>
  <si>
    <t>AUB, Nr. 2.4.2.1</t>
  </si>
  <si>
    <t>AUB, Nr. 2.4.7</t>
  </si>
  <si>
    <t>AUB, Nr.2.3</t>
  </si>
  <si>
    <t>AUB, Nr. 2.4.4</t>
  </si>
  <si>
    <t>VN bei Vertragsbeginn nicht älter 45
vertrag war nicht gekündigt / tod nicht durch Krieg</t>
  </si>
  <si>
    <t>AUB. Nr. 7.4</t>
  </si>
  <si>
    <t>AURB 2007 Protect
Stand 01-2010</t>
  </si>
  <si>
    <t>BB Nr. 1.2 + AUB , Nr. 1.4 + 4.2.7</t>
  </si>
  <si>
    <t>ja 
(bis Ablauf des VJ, in dem VP 67. LJ vollendet hat)</t>
  </si>
  <si>
    <t>BB Nr. 1.1.6</t>
  </si>
  <si>
    <t>Sonnenbrand / Sonnenstich</t>
  </si>
  <si>
    <t>BB Nr. 1.1.2</t>
  </si>
  <si>
    <t>BB Nr. 1.1.3</t>
  </si>
  <si>
    <t>BB, Nr. 2.1  + (AUB, Nr. 2.1.1.1)</t>
  </si>
  <si>
    <t>100%
Sprechvermögen</t>
  </si>
  <si>
    <t>beide Nieren 
(oder eine Niere, wenn die andere bereits verloren war)</t>
  </si>
  <si>
    <t>10% 
20%  bis vollendeten 14. LJ</t>
  </si>
  <si>
    <t xml:space="preserve">bei 100% vorschädigung des anderen Auges gelten 100% </t>
  </si>
  <si>
    <t xml:space="preserve">individuelle Bewertung Organe, trotz Taxwert auf Verlangen möglich 
es gilt aber mind. Taxwert </t>
  </si>
  <si>
    <t>BB, Nr.. 2.2 (AUB 2.1.2.1)</t>
  </si>
  <si>
    <t>AUB, Nr. 2.1.3.1.1</t>
  </si>
  <si>
    <t>AUB, Nr. 2.3</t>
  </si>
  <si>
    <t>2 Jahre</t>
  </si>
  <si>
    <t>BB, Nr. 2.4.3 (AUB, Nr, 2.5.2)</t>
  </si>
  <si>
    <t>3 Tagessätze
(auch GG 3 Tagessätze)</t>
  </si>
  <si>
    <t>AUB, Nr, 2.4.2 + BB; 2.4.3</t>
  </si>
  <si>
    <t xml:space="preserve">BB, Nr. 6.2 (AUB, Nr. 6.5) </t>
  </si>
  <si>
    <t>BB; Nr. 6.1</t>
  </si>
  <si>
    <t>BB, Nr. 2.5.3</t>
  </si>
  <si>
    <t>BB, Nr. 3 (AUB, Nr. 3)</t>
  </si>
  <si>
    <t>100 % bis 18 LJ
50% bis 60 LJ
25% über 60 LJ</t>
  </si>
  <si>
    <t>VR verzichtet wenn der Anteil unter …. Liegt</t>
  </si>
  <si>
    <t>BB, Nr. 4.2 (AUB, Nr. 4.1.1)</t>
  </si>
  <si>
    <t>BB, Nr. 4.1 (AUB, Nr. 4.1.1)</t>
  </si>
  <si>
    <t>AUB, Nr. 4.1.3 + BB, Nr. 4.3</t>
  </si>
  <si>
    <t>AUB, Nr. 4.1.1</t>
  </si>
  <si>
    <t>AUB, Nr. 4.1.4</t>
  </si>
  <si>
    <t>ja 
sowie gelegentliche Fahrten in einer öffentlich zugänglichen Gokartbahn</t>
  </si>
  <si>
    <t>BB, Nr. 4.4 (AUB, Nr. 4.1.5)</t>
  </si>
  <si>
    <t>BB, Nr. 4.5 (AUB, Nr. 4.2.2)</t>
  </si>
  <si>
    <t>AUB, Nr. 4.2.4.2</t>
  </si>
  <si>
    <t>AUB, Nr. 4.2.6</t>
  </si>
  <si>
    <t>GDV - Stand 2010-10
AKBP - Stand 2010-02</t>
  </si>
  <si>
    <t>AUB, Nr. 19</t>
  </si>
  <si>
    <t>BB, Nr. 1.1.1</t>
  </si>
  <si>
    <r>
      <t xml:space="preserve">Gesundheitschädigungen
durch </t>
    </r>
    <r>
      <rPr>
        <sz val="7"/>
        <color rgb="FFFF0000"/>
        <rFont val="Arial"/>
        <family val="2"/>
      </rPr>
      <t>Flüssigkeits-, Nahrungs-, Sauerstoffentzug</t>
    </r>
  </si>
  <si>
    <t>BB, Nr. 1.1.7</t>
  </si>
  <si>
    <t>vereinbarte VS
erweitert um Sofortleistungen</t>
  </si>
  <si>
    <t>AUB, Nr. 2.2 + BB, Nr. 2.3</t>
  </si>
  <si>
    <t>BB, Nr. 2.6</t>
  </si>
  <si>
    <t>BB, Nr. 2.7</t>
  </si>
  <si>
    <t>BB, Nr. 2.4.1 (AUB, Nr, 2.4)</t>
  </si>
  <si>
    <t>5 Jahre (darüber hinaus zur Materialentfernung)
max 1.825 Tage</t>
  </si>
  <si>
    <t>BB, Nr. 2.4.2 a)</t>
  </si>
  <si>
    <t>BB, Nr. 2.4.2 b)</t>
  </si>
  <si>
    <t>BB, Nr.2.8</t>
  </si>
  <si>
    <t>BB, Nr. 2.9.1.2</t>
  </si>
  <si>
    <t>BB, Nr. 2.9.1.2 + 2.9.1.3</t>
  </si>
  <si>
    <t>BB, Nr. 2.9.2.1</t>
  </si>
  <si>
    <t>2.500 € pauschal o.
10.000 € mit Nacheis</t>
  </si>
  <si>
    <t>BB, Nr. 2.9.3</t>
  </si>
  <si>
    <t>Zusatzleistungen gegen Zuschlag</t>
  </si>
  <si>
    <t>Zusatzleistungen beitragsfrei</t>
  </si>
  <si>
    <t>Haushaltshilfegelld</t>
  </si>
  <si>
    <t>Kosmetische Operationen  bis …… 
innerhalb von ,,,,,,, nach Unfalltag</t>
  </si>
  <si>
    <t>BB, Nr, 2.9.4</t>
  </si>
  <si>
    <t>Reha-Management</t>
  </si>
  <si>
    <t>10.000 €
bei vorraussichtlichem INV-Grad &gt;50%</t>
  </si>
  <si>
    <t>BB, Nr. 2.9.5</t>
  </si>
  <si>
    <t>ReHa-Management</t>
  </si>
  <si>
    <t>Gutachter und Berater/Betreuungs-kosten</t>
  </si>
  <si>
    <t>BB, Nr. 2.9.6</t>
  </si>
  <si>
    <t xml:space="preserve">20 € pro Werktag, max. 20 Tage
Vorrausetzung mind. 10 € UKHTG/GG: </t>
  </si>
  <si>
    <t>BB, Nr. 2.9.8.2</t>
  </si>
  <si>
    <t>30 € pro Tag, max. 3 Jahre
Vorrausetzung UKHTG/GG</t>
  </si>
  <si>
    <t>BB, Nr. 2.9.9 + a)</t>
  </si>
  <si>
    <t>ab Pflegegrad 2
30 € pro Tag, max. 3 Jahre
Vorrausetzung UKHTG/GG</t>
  </si>
  <si>
    <t>BB, Nr. 2.9.9 + b)</t>
  </si>
  <si>
    <t>BB, Nr. 2.10.1</t>
  </si>
  <si>
    <t>BB, Nr. 2.11.1</t>
  </si>
  <si>
    <t>5.000 € 
nach Abluf der Vorsorge</t>
  </si>
  <si>
    <t>bis Vollendung 18. Lebensjahres</t>
  </si>
  <si>
    <t>Kostenloser Schutz 
für Neugeborene (für ein Jahr)</t>
  </si>
  <si>
    <t>ab eintragung / Heirat 1 Jahr
(sofern keine andere private Unfallversicherung besteht)</t>
  </si>
  <si>
    <t>BB, Nr. 2.11.2</t>
  </si>
  <si>
    <t>nur Kinder
25% erhöhte Grundsumme
max. 75.000 € Mehrleistung</t>
  </si>
  <si>
    <t>nur Kinder
50% erhöhte Grundsumme
max. 150.000 € Mehrleistung</t>
  </si>
  <si>
    <t>BB, Nr. 2.10.2</t>
  </si>
  <si>
    <t>BB, Nr. 2.10.3</t>
  </si>
  <si>
    <t>berechtigter Fahrgast</t>
  </si>
  <si>
    <t>BB, Nr. 4.6.1  + a)</t>
  </si>
  <si>
    <t>regelmäßig ausgeschlossen bleiben
Gesundheitsschäden durch Anhauchen, Anniesen, Anhusten
ANZEIGEPFLICHT VERKÜRZT ursächliches Ereigniss innerhalb von 4 Wochen / Sonstige Unfallverletzungen ohne 4 Wochenfrist</t>
  </si>
  <si>
    <t>AUB, Nr. 5.2.4.2</t>
  </si>
  <si>
    <t>BB, Nr. 4.6.2 a) +b)</t>
  </si>
  <si>
    <t>BB, Nr. 4.7</t>
  </si>
  <si>
    <t xml:space="preserve">AUB, Nr. 4 kein Ausschluß </t>
  </si>
  <si>
    <t>BB, Nr. 5.1 (AUB, Nr. 5.2.1)</t>
  </si>
  <si>
    <t>AUB, Nr. 8.3 + BB, Nr. 7.1</t>
  </si>
  <si>
    <t xml:space="preserve">BB, Nr. 8.1  + AUB, Nr. 10.7 </t>
  </si>
  <si>
    <t>bis zum Ablauf des Versicherungs-jahres, in dem Kind 25 Lj. Vollendet
(auch wenn VN nach SGB Pflegesufe 2 und nicht älter 60)</t>
  </si>
  <si>
    <t xml:space="preserve">BB, Nr. 8.2 + AUB Nr. 10.7 </t>
  </si>
  <si>
    <t>max 2 Jahre</t>
  </si>
  <si>
    <t>Beitragsfreie Weiterführung bei Tod des VN 
auch für den versicherten Partner</t>
  </si>
  <si>
    <r>
      <rPr>
        <sz val="7"/>
        <color rgb="FFFFC000"/>
        <rFont val="Arial"/>
        <family val="2"/>
      </rPr>
      <t xml:space="preserve">Beitragsfreie </t>
    </r>
    <r>
      <rPr>
        <sz val="7"/>
        <rFont val="Arial"/>
        <family val="2"/>
      </rPr>
      <t>Weiterführung bei Tod des VN
 für versicherte Kinder</t>
    </r>
  </si>
  <si>
    <t>mindestens seit 2 jahren im ungek. und unbefristeter AV nach dt. §
bei Beg. AL seit mind. 6 Monaten gezahlt und nicht älter 58</t>
  </si>
  <si>
    <t xml:space="preserve">Erstattung auf Antrag
max. für 24 Monate nach der AL </t>
  </si>
  <si>
    <t>BB, Nr. 8.3</t>
  </si>
  <si>
    <t>BB, Nr. 2.9.7</t>
  </si>
  <si>
    <t>im Rahmen der 
Behinderungsbedingten Kosten</t>
  </si>
  <si>
    <t>im Rahmen der 
Kurkostenbeihilfe</t>
  </si>
  <si>
    <t>im Rahmen der 
Berkungskosten</t>
  </si>
  <si>
    <t>Luftfahrt: Sport (nur bei nach dt. Recht erlaubnisfreier Führung)</t>
  </si>
  <si>
    <t>AUB 2013  + BB Premium
Stand 12-2012</t>
  </si>
  <si>
    <t>ja
auch Hitzschlag</t>
  </si>
  <si>
    <t>BB Nr. 1.1.6 + 1.1.8</t>
  </si>
  <si>
    <t>BB, Nr. 7.14</t>
  </si>
  <si>
    <t>ja
soweit Schädlichkeit nicht bekannt war</t>
  </si>
  <si>
    <t>AUB, Nr. 4 kein Ausschluß  + BB, Nr. 7.14</t>
  </si>
  <si>
    <t>ja
auch im Mund-/Rachenraum durch verschlucken bis Vollendung 14 LJ.</t>
  </si>
  <si>
    <t>BB, Nr. 7.13.2 a) +b)</t>
  </si>
  <si>
    <t>BB, Nr. 7.13.1  + a)</t>
  </si>
  <si>
    <t>BB, Nr. 7.11 (AUB, Nr. 4.2.2)</t>
  </si>
  <si>
    <t>BB, Nr. 7.2 (AUB, Nr. 4.1.1)</t>
  </si>
  <si>
    <t>ja
(Führen von Kfz bis 1,6 ‰)</t>
  </si>
  <si>
    <t>ja
auch K.O-Tropfen</t>
  </si>
  <si>
    <t>BB, Nr. 7.1 (AUB, Nr. 4.1.1)</t>
  </si>
  <si>
    <t>BB, Nr. 7.2 bis 7.4 (AUB, Nr. 4.1.1)</t>
  </si>
  <si>
    <t>AUB, Nr. 4.1.3 + BB, Nr. 7.7</t>
  </si>
  <si>
    <t>AUB, Nr. 5</t>
  </si>
  <si>
    <t>AUB, Nr. 41.2</t>
  </si>
  <si>
    <t>BB, Nr. 7.5 + 7.6 (AUB, Nr. 41.2)</t>
  </si>
  <si>
    <t>BB, Nr. 7.9 (AUB, Nr. 4.1.5)</t>
  </si>
  <si>
    <t>ohne Mitwirkung v. Gebrechen/ Krankeiten noch min. 50%</t>
  </si>
  <si>
    <t>vereinbarte VS
auch bei 3 Monaten zu 100 %
erweitert um Sofortleistungen</t>
  </si>
  <si>
    <t>AUB, Nr. 2.2 + BB, Nr. 2.3.1 + 2.3.2</t>
  </si>
  <si>
    <t>AUB, Nr, 2.4.2 + BB; 2.4.2 c)</t>
  </si>
  <si>
    <t>mindstens 3 Tagessätze KH+GG
sowie bei Knochenbrüchen ohne Narkose mindesten 200 €</t>
  </si>
  <si>
    <t>2 Jahre
(auch bei Tod während KH-Aufenthalt)</t>
  </si>
  <si>
    <t>BB, Nr. 2.4.3 + 2.4.2 d) (AUB, Nr, 2.5.2)</t>
  </si>
  <si>
    <t>BB, Nr. 2.4.4 + a)</t>
  </si>
  <si>
    <t>BB, Nr. 2.4.4 + b)</t>
  </si>
  <si>
    <t>doppelte VS-Tod 
max 50.000 €</t>
  </si>
  <si>
    <t>BB, Nr. 2.5.4</t>
  </si>
  <si>
    <t>BB, Nr. 7.15 (AUB, Nr. 4.2.6)</t>
  </si>
  <si>
    <t>6.000 €
5 Jahren oder bis 25. LJ</t>
  </si>
  <si>
    <t>50.000 €
3 Jahren oder bis 21. LJ</t>
  </si>
  <si>
    <t>medizinisch notwendig
Arzthonorae, Aufenthalt KH u. Heil-/Hilfsmittel</t>
  </si>
  <si>
    <t>nachgeweisene Kosten
– die behindertengerechte Umrüstung des eigenen Pkw
– den Umbau des selbst bewohnten Hauses oder der Wohnung
– einen notwendigen Umzug  Haus oder Wohnung bzw. heim
– Prothesen und medizinische Hilfsmittel ( §31  SGB VII), ärztlich
– Schulungs- und Prüfungsgebühren für Umschulungsmaßnahmen</t>
  </si>
  <si>
    <t xml:space="preserve">3.000 € 
innerhalb 3 Jahren </t>
  </si>
  <si>
    <t>im Rahmen der 
Behinderungsbedingten Kosten
auch Blindenhund</t>
  </si>
  <si>
    <t xml:space="preserve">im Rahmen der KOP 
innerhalb von 5 Jahren oder bis 25 LJ
(ReHa-Manager + 50% Einschränkung) </t>
  </si>
  <si>
    <t>im Rahmen der KOP
max. 10.000 €</t>
  </si>
  <si>
    <t>BB, Nr. 3.14 + 3.13</t>
  </si>
  <si>
    <t>unabhängig von KHT/GG
über Zuzahlung GKV</t>
  </si>
  <si>
    <t>BB, Nr. 3.15</t>
  </si>
  <si>
    <t>im Rahmen der VS-KOP/BK 
mit Kostenübernahme 
u.a. Soforthilfe weltweit bis 1.000 €</t>
  </si>
  <si>
    <t>BB, Nr. 3 (3.1)</t>
  </si>
  <si>
    <t>BB, Nr. 4.1</t>
  </si>
  <si>
    <t>BB, Nr. 4.2</t>
  </si>
  <si>
    <t>BB, Nr. 4.3</t>
  </si>
  <si>
    <t>BB, Nr. 4.4</t>
  </si>
  <si>
    <t>BB, Nr. 4.5</t>
  </si>
  <si>
    <t>100 € pro Tag max. 14 Tage
auch Nahestehende Personen
auch Zuschuß Besuchskosten</t>
  </si>
  <si>
    <t>BB, Nr. 4.8 +4.7</t>
  </si>
  <si>
    <t>INV 40.000 €
Tod 10.000 €</t>
  </si>
  <si>
    <t>BB, Nr. 5.2</t>
  </si>
  <si>
    <t>Kostenloser Schutz 
für Ehegatten o. eingetragenen Lebenspartner/-in 
ab Eintragung/Heirat für …….</t>
  </si>
  <si>
    <t>1 Jahr
INV 40.000 €
Tod 10.000 €</t>
  </si>
  <si>
    <t>3 Monate
Inv. bis 100.000 € ohne Progression
Tod bis 10.000 €
20 € KHT</t>
  </si>
  <si>
    <t>BB, Nr. 5.1</t>
  </si>
  <si>
    <t>100 % bis 18 LJ
100% bis 60 LJ (alle GF mit Nein bei AS)
70% bis 60 LJ
25% über 60 LJ sowie bei
bestimmten Krankheiten</t>
  </si>
  <si>
    <t>Krankheiten die auswirkung während der Vertragslaufzeit auf den Mitwirkungsanteil haben</t>
  </si>
  <si>
    <t>AUB, Nr. 4.1.4 + BB, Nr. 7.8</t>
  </si>
  <si>
    <t>BB, Nr. 8.1 (AUB, Nr. 5.2.1)</t>
  </si>
  <si>
    <t>BB; Nr. 9.1</t>
  </si>
  <si>
    <t>Keine Frist</t>
  </si>
  <si>
    <t>BB, Nr. 9.3</t>
  </si>
  <si>
    <t>AUB, Nr. 8.3 + BB, Nr. 10.1</t>
  </si>
  <si>
    <t>Dynamik  möglich und Höhe</t>
  </si>
  <si>
    <t xml:space="preserve">3%
AUB Nr. 10.8 </t>
  </si>
  <si>
    <t xml:space="preserve">INV und TOD auf volle 500
KH / TG +ÜL auf volle 10 </t>
  </si>
  <si>
    <t xml:space="preserve">BB, Nr. 3 + 3.2.1 </t>
  </si>
  <si>
    <t>BB, Nr.3 + 3.2.2</t>
  </si>
  <si>
    <t>BB, Nr.3 + 3.9</t>
  </si>
  <si>
    <t>BB, Nr.3 + 3.11</t>
  </si>
  <si>
    <t>BB, Nr. 3 + 3.18</t>
  </si>
  <si>
    <t>BB, Nr. 3 + 3.4</t>
  </si>
  <si>
    <t>VS-KOP / BK max 75.000 €
nicht auf medizin. notwendig begrenzt
5 Jahren oder bis 23. LJ</t>
  </si>
  <si>
    <t>Im Rahmen der VS-KOP / BK 
max .30.000 €
bei vorraussichtlichem INV-Grad &gt;50%</t>
  </si>
  <si>
    <t>VS-KOP / BK max 75.000 €</t>
  </si>
  <si>
    <t>ja
auch Höhenschädigungen
(HAPE, HACE, AMS)</t>
  </si>
  <si>
    <t>BB, Nr. 1.1.4 +1.1.5</t>
  </si>
  <si>
    <t>AUB, Nr. 2.1.3.1</t>
  </si>
  <si>
    <t>BB, Nr. 6 (AUB, Nr. 3)</t>
  </si>
  <si>
    <t>Todesfallsumme und weiter Arten werden die Kapitalleistungen gekürzt</t>
  </si>
  <si>
    <t>im Rahmen der Todesfallsumme
bei grundsätzlicher Leistungspflicht
oder 
10% der zu erwartenden INV-Leistung
auch ohne vereinbarte Todesfallsumme</t>
  </si>
  <si>
    <t>Interlloyd Premium HB</t>
  </si>
  <si>
    <t xml:space="preserve">Interlloyd Premium Plus </t>
  </si>
  <si>
    <t>45%
auf beiden 70%</t>
  </si>
  <si>
    <t>ein Auge
(bei 100% Vorschädigung des anderen Auges gelten 100%)</t>
  </si>
  <si>
    <t xml:space="preserve">Erstattung auf Antrag
max. für 36 Monate nach der AL </t>
  </si>
  <si>
    <t>BB, Nr. 11.3</t>
  </si>
  <si>
    <t xml:space="preserve">BB, Nr. 11.1  + AUB, Nr. 10.7 </t>
  </si>
  <si>
    <t xml:space="preserve">BB, Nr. 11.2 + AUB Nr. 10.7 </t>
  </si>
  <si>
    <t>Beitragsfreistellung bei Arbeitsunfähigkeit (AU)</t>
  </si>
  <si>
    <t>mahr als 6 Wochen zu 100 % 
Nachweis mit Attest</t>
  </si>
  <si>
    <t>BB, Nr. 11.4</t>
  </si>
  <si>
    <t>max 12 Monate
(Karrenzeit 6 Wochen )</t>
  </si>
  <si>
    <t>Beitragsfreistellung Arbeitsunfähigkeit</t>
  </si>
  <si>
    <t>Beitragsfreistellung bei Arbeitunfähigkeit</t>
  </si>
  <si>
    <t>Tarif S. 8</t>
  </si>
  <si>
    <t>Anfragepflichtige Risiken</t>
  </si>
  <si>
    <t>* Personen, deren Versicherungsverträge von anderen Gesellschaften gekündigt, abgelehnt oder im gegenseitigen
Einvernehmen aufgehoben wurden
* Personen ohne festen Wohnsitz oder mit nur vorübergehendem Aufenthalt in der Bundesrepublik Deutschland
* Personen, für die eine verbesserte Gliedertaxe für Heilberufe beantragt wird
* Berufe: Dachdecker, Schornsteinfeger, Zimmerer oder Gerüstbauer tätig sind
* Personen mit wesentlichen Krankheiten o. gesundheitlichen Beeinträchtigungen
Wesentlich sind Krankheiten oder gesundheitliche Beeinträchtigungen, die
 -in den letzten 5 Jahren zur Behandlung in einem Krankenhaus oder zu einer ambul. Gelenk-OP geführt haben
- regelmäßig (täglich oder in bestimmten Intervallen wiederkehrend und für die Dauer von min. 2 Monaten) innerhalb der letzten 12 Monate mit Medikamenten behandelt wurden
- zu einer Behinderung oder Invalidität geführt haben
- eine Sehschwäche von 8 Dioptrien oder mehr darstellen
Personen, die berufs- und/oder erwerbsunfähig sind
Personen mit einer Vorinvalidität oder einem Pflegegrad
Diese Risiken werden unter Umständen nur zu eingeschränkten Bedingungen oder gegebenenfalls gegen Prämienzuschlag
versichert.</t>
  </si>
  <si>
    <t>Inv inkl. Prog.</t>
  </si>
  <si>
    <t>Höchstversicherungssummen  Erwaschsene / Kinder</t>
  </si>
  <si>
    <t>Übergangsleistungen</t>
  </si>
  <si>
    <t>KOP</t>
  </si>
  <si>
    <t>Inv</t>
  </si>
  <si>
    <t>15.000 €
(max 10% der INV)</t>
  </si>
  <si>
    <t>250.000 € / 75.000 €
 (max 50% der INV)</t>
  </si>
  <si>
    <t>100 €
(max 1  Promill der VS)</t>
  </si>
  <si>
    <t>1.500 € / 750 €</t>
  </si>
  <si>
    <t>75
(ab 67 GG B / Prämienanpassung)</t>
  </si>
  <si>
    <t>75
(ab 60 GG B und 75 Prämienanpassung)</t>
  </si>
  <si>
    <t>AUB, Nr. 2.1.3.1.2 - 4 + Tarif S 14</t>
  </si>
  <si>
    <t>AUB, Nr. 2.1.3.1.2 - 4 + Tarif S 10</t>
  </si>
  <si>
    <t>Tarif S. 8 + S. 18</t>
  </si>
  <si>
    <t>75
Keine GG
einzelene Berufe mit 25% Zuschlag</t>
  </si>
  <si>
    <t>75
Keine GG
einzelene Berufe mit 50% Zuschlag</t>
  </si>
  <si>
    <t xml:space="preserve">Interlloyd Premium Plus HB </t>
  </si>
  <si>
    <t>INV 60.000 € ohne Prog.
Tod 10.000 €</t>
  </si>
  <si>
    <t>BB, Nr.. 2.2 (AUB 2.1.2.1)  / BB Heilberufe</t>
  </si>
  <si>
    <t>in 3 Absicherungsformnen 
auch ohne Hauptvertrag versicherbar</t>
  </si>
  <si>
    <t>Tarif S.65 und USB 2016</t>
  </si>
  <si>
    <t>AUB 2013  + BB Premium
+ BB Heilberufe 2010-01
Stand 12-2012</t>
  </si>
  <si>
    <t>aktuell
(geprüft am 2020-11-16)</t>
  </si>
  <si>
    <t>AUB, Nr. 1.4.2</t>
  </si>
  <si>
    <t>AUB, Nr. 1.4.1</t>
  </si>
  <si>
    <t>nur bei  bis zu max .10 Stunden
Aussetzung der UV-Strahlen</t>
  </si>
  <si>
    <t>AUB, Nr. 1.4.5</t>
  </si>
  <si>
    <t>AUB, Nr. 1.4.8</t>
  </si>
  <si>
    <t>AUB, Nr. 1.4.4</t>
  </si>
  <si>
    <t>ja 
(max. Einwirkung: 10 Std.)</t>
  </si>
  <si>
    <t>AUB, Nr. 1.4.3</t>
  </si>
  <si>
    <t>AUB, Nr. 1.4.7.3</t>
  </si>
  <si>
    <t>AUB, Nr. 1.4.7.2</t>
  </si>
  <si>
    <t>AUB, Nr. 1.4.7.1</t>
  </si>
  <si>
    <t>AUB, Nr. 1.4.4 Ausschluss</t>
  </si>
  <si>
    <t>bis 2 ‰
(Führen von Kfz bis 1,1 ‰)</t>
  </si>
  <si>
    <t>AUB, Nr. 1.4.6</t>
  </si>
  <si>
    <t xml:space="preserve">nein
allerdings Übemüdung Schlafwandel </t>
  </si>
  <si>
    <t>Oberschenkelhals oder Oberarmbruch, unabhängig der Ursache</t>
  </si>
  <si>
    <t>Pflanzenvergiftung</t>
  </si>
  <si>
    <t>Vergiftungen infolge 
Einnahme Alkohl (Kinder erweitert bis 14 Jahre)</t>
  </si>
  <si>
    <r>
      <t xml:space="preserve">Vergiftungen infolge 
</t>
    </r>
    <r>
      <rPr>
        <sz val="7"/>
        <color rgb="FFFFC000"/>
        <rFont val="Arial"/>
        <family val="2"/>
      </rPr>
      <t>Einnahme Alkohl (Kinder erweitert bis 14 Jahre)</t>
    </r>
  </si>
  <si>
    <t>auf Reisen überrascht / nicht einreise nach oder durchreise 
keine aktive Teilnahme
keine Unfälle durch atomare, biologische, vhemische Waffen</t>
  </si>
  <si>
    <t xml:space="preserve">- Terror nicht im Gebiet der Kriegsführenden Parteien
- IU nicht aktive Teilnahme auf Unruhestifterseite
- nicht Urheber der Streitereien </t>
  </si>
  <si>
    <t>Unfälle in Folge 
passives (soweit unvorhergesehen) Kriegsrisiko im Ausland</t>
  </si>
  <si>
    <t xml:space="preserve">Unfälle in Folge 
innerer Unruhen und Terror </t>
  </si>
  <si>
    <r>
      <t xml:space="preserve">Unfälle in Folge 
</t>
    </r>
    <r>
      <rPr>
        <sz val="7"/>
        <color rgb="FFFFC000"/>
        <rFont val="Arial"/>
        <family val="2"/>
      </rPr>
      <t>passives (soweit unvorhergesehen) Kriegsrisiko im Ausland</t>
    </r>
  </si>
  <si>
    <t>Unfälle in Folge 
innerer Unruhen und Terror</t>
  </si>
  <si>
    <r>
      <t xml:space="preserve">Gesundheitschädigungen
durch </t>
    </r>
    <r>
      <rPr>
        <sz val="7"/>
        <color rgb="FFFF0000"/>
        <rFont val="Arial"/>
        <family val="2"/>
      </rPr>
      <t>Explosions-, Schall- o. sonstige Druckwellen</t>
    </r>
  </si>
  <si>
    <t>Infektionen durch geringfügige Hautverletzungen
(Haut- o. Schleimhautverletzungen)</t>
  </si>
  <si>
    <t>AUB, Nr. 4.2.5 + BB, Nr. 4.7</t>
  </si>
  <si>
    <t>Vergiftungen infolge 
Einnahme fester oder Flüssiger Stoffe  durch den Schlund
versehentlich und Schädlichkeit nicht bewusst</t>
  </si>
  <si>
    <t>*   Nahrungsmittelvergiftungen
    Alkohohl gilt nicht als Nahrungsmittel</t>
  </si>
  <si>
    <t>nur Verschlucken</t>
  </si>
  <si>
    <t>bis 10 Jahre
ansonsten nur 
soweit Schädlichkeit nicht bekannt war</t>
  </si>
  <si>
    <t>ja
auch darüber hinaus</t>
  </si>
  <si>
    <r>
      <t xml:space="preserve">Gesundheitschädigungen
durch </t>
    </r>
    <r>
      <rPr>
        <sz val="7"/>
        <color rgb="FFFF0000"/>
        <rFont val="Arial"/>
        <family val="2"/>
      </rPr>
      <t>Explosions-, Schall- o. sonstige Druckwellen
auch allmähliche Einwirkung</t>
    </r>
  </si>
  <si>
    <r>
      <t xml:space="preserve">Gesundheitschädigungen
durch </t>
    </r>
    <r>
      <rPr>
        <sz val="7"/>
        <color rgb="FFFF0000"/>
        <rFont val="Arial"/>
        <family val="2"/>
      </rPr>
      <t>mechanische, chemische o elektrische Einwirkung 
auch allmähliche Einwirkung</t>
    </r>
  </si>
  <si>
    <t>Gesundheitschädigungen
durch Eingriffe des täglichen Lebens</t>
  </si>
  <si>
    <t>Pediküre und Maniküre</t>
  </si>
  <si>
    <t>BB, Nr. 7.12 (AUB 4.2.3 )</t>
  </si>
  <si>
    <t>Rasieren, Schneiden und Feilen
von Haaren, Nägeln, Hühneraugen und Hornhaut</t>
  </si>
  <si>
    <t>AUB, Nr. 1.4.12</t>
  </si>
  <si>
    <t>AUB, Nr. 1.4.9</t>
  </si>
  <si>
    <t>AUB, Nr. 1.4.10</t>
  </si>
  <si>
    <t>Beispiele: Pilot, Gleitschirm-
oder Drachenflieger</t>
  </si>
  <si>
    <t>Luftfahrt: Berufliches Luftfahrtriskio für Mediziner
(nicht eigenständiges Führen)</t>
  </si>
  <si>
    <t>AUB, Nr. 1.4.11</t>
  </si>
  <si>
    <t>Unerlaubtes Handeln (Minderjährige) Fahren von …...
(solange damit keine andere Straftat verbunden ist)</t>
  </si>
  <si>
    <t>Land- und Wasserfahrzeuge
selbstgebaute Feuerwerkskörper</t>
  </si>
  <si>
    <t>AUB, Nr. 2.1.1.2</t>
  </si>
  <si>
    <t>AUB, Nr. 2.1.1.2 + 2.1.1.3</t>
  </si>
  <si>
    <t>Keine Altersklausel
Kapitalleistung wird nicht verrentet</t>
  </si>
  <si>
    <t>AUB, Nr. 2.2.1 ff</t>
  </si>
  <si>
    <t>AUB, Nr. 2.4.1 + 2.4.3</t>
  </si>
  <si>
    <t>AUB, Nr. 2.4.2</t>
  </si>
  <si>
    <t>30 Tage</t>
  </si>
  <si>
    <t>150 Tage</t>
  </si>
  <si>
    <t xml:space="preserve">AUB, Nr. 2.4.1 </t>
  </si>
  <si>
    <t>AUB, Nr. 2.6.3</t>
  </si>
  <si>
    <t>10.000 €
5 Jahren oder bis 25. LJ</t>
  </si>
  <si>
    <t>AUB, Nr. 2.7 +Tarif / LÜ</t>
  </si>
  <si>
    <t>AUB, Nr. 2.6 +Tarif / LÜ</t>
  </si>
  <si>
    <t>AUB, Nr. 2.7.2</t>
  </si>
  <si>
    <t>AUB, Nr. 2.8</t>
  </si>
  <si>
    <t>INV 50.000 € ohne Prog.
Tod 5.000 €
KH 10 € KOP und BK
(auch für Adoptionen bis 17. LJ)</t>
  </si>
  <si>
    <t>INV 50.000 € ohne Prog.
Tod 5.000 €
KH 10 € KOP und BK
(auch für Partnerkinder bis 17. LJ)</t>
  </si>
  <si>
    <t>GDV - jeweils aktuellen
AKBP - Stand 2018-10</t>
  </si>
  <si>
    <t>AUB, Nr. 2.12</t>
  </si>
  <si>
    <t>AUB, Nr. 3.2</t>
  </si>
  <si>
    <t>AUB, Nr. 6.1 + Tarif</t>
  </si>
  <si>
    <t>nachträglich rückwirkende Prämienanpassung 
(Achtung Sportler und Gefährliche Berufe)</t>
  </si>
  <si>
    <t>nachträglich rückwirkende Prämienanpassung</t>
  </si>
  <si>
    <t>Versehensklausel bei Berufsveränderung
(keine automatische Leistungsreduzierung)
Grundsätzlich gilt Anzeigepflicht</t>
  </si>
  <si>
    <t>AUB, 6.2.3 + 6.2.4</t>
  </si>
  <si>
    <t>Erweiterte Meldefrist im Todesfall ab Kenntnis</t>
  </si>
  <si>
    <t>6 Monate</t>
  </si>
  <si>
    <t>AUB, Nr. 7.5</t>
  </si>
  <si>
    <t>AUB, Nr. 11.6.1</t>
  </si>
  <si>
    <t>Leistungsgarde inkl. Progression für Inv-Grad von …
                                          * 20%
                                          * 40% 
                                          * 50%
                                          * 80%
                                          * 90%</t>
  </si>
  <si>
    <t>AUB, U 901</t>
  </si>
  <si>
    <t>AUB, U 913
AUB, U 916</t>
  </si>
  <si>
    <t>AUB, Nr. 2.23 + 2.24</t>
  </si>
  <si>
    <t>AUB, Nr. 2.10 + 2.11</t>
  </si>
  <si>
    <t>AUB, Nr. 2.21.1</t>
  </si>
  <si>
    <t xml:space="preserve">* Vorläufige Deckungszusage
ab Antragseingang bei VR in HV
max 2 Monate
Vorraussetzung:
max 2 Schäden in 3 Jahren
keine erheblichen Krankheiten
keine gefährlichen Berufe (AR)
* Besitzstandsgarantie VVR
Beitragsfreie Leistungen auf 25.000 € begrenzt und nicht gegen Beitrag versicherbar wären 
Vorausstzung:
- mind. 3 Jahre bestand VVR
- nicht durch VVR gekündigt
- max 3 Monate zwischen 
Ablauf VVR und Beginn
</t>
  </si>
  <si>
    <t>AUB, Nr. 2.22
AUB, Nr. 2.21.2</t>
  </si>
  <si>
    <t>Ertrinkungs- bzw. Erstickungstod 
unter Wasser</t>
  </si>
  <si>
    <t>ausströmende
Dämpfe und Gase, Dünste, Staubwolken, Säuren etc.</t>
  </si>
  <si>
    <t>AUB, Nr. 1.4.7.4</t>
  </si>
  <si>
    <r>
      <t xml:space="preserve">ja
</t>
    </r>
    <r>
      <rPr>
        <sz val="7"/>
        <color rgb="FF00B050"/>
        <rFont val="Arial"/>
        <family val="2"/>
      </rPr>
      <t>alle Schutzimpfungen</t>
    </r>
  </si>
  <si>
    <t>Ausbruch oder erstmalige Infizierung 
Wartezeiten (Monate) 3 bei Verletzung vor Vertragsbeginn</t>
  </si>
  <si>
    <t>AUB, Nr. 1.4.7.2 + 1.4.7.3</t>
  </si>
  <si>
    <t>Infektionen: Wundinfektionen und Blutvergiftung</t>
  </si>
  <si>
    <t>FSME
Tollwut und Wundstarrkrampf</t>
  </si>
  <si>
    <t>AUB, Nr. 4.2.4.2 + BB, Nr. 4.6.1 b)</t>
  </si>
  <si>
    <t>Infektionen: 
Hautverletzungen durch Tiere oder Insetkten
(z.B. Borreliose, Brucellose, Enzephalitis (FSME), Fleckfieber, Gelbfieber, Malaria, Meningitis)</t>
  </si>
  <si>
    <t>AUB, Nr. 1.4.7 ff</t>
  </si>
  <si>
    <t>AUB, Nr. 1.4.14</t>
  </si>
  <si>
    <t>ja
(Führen von Kfz bis 1,7 ‰)</t>
  </si>
  <si>
    <t>solange ärztlich verordnet
Medikamentenmissbrauch ausgeschlossen</t>
  </si>
  <si>
    <t>ja
und bei  bis zu max .10 Stunden
Aussetzung der Wellen</t>
  </si>
  <si>
    <t>ja
und bei  bis zu max . 7 Tagen
Aussetzung der Wellen</t>
  </si>
  <si>
    <t>AUB, Nr. 1.4.13</t>
  </si>
  <si>
    <t>AUB, Nr. 1.4.15</t>
  </si>
  <si>
    <t xml:space="preserve">bis 30 Tage
bei unmöglicher Ausrause 
auch darüber hinaus </t>
  </si>
  <si>
    <t>AUB, Nr. 2.9.2</t>
  </si>
  <si>
    <t>im Rahmen der 
Behinderungsbedingten Kosten
(subsidiär)</t>
  </si>
  <si>
    <t>bis 25.000 €
innerhalb 4 Jahren
(subsidiär)</t>
  </si>
  <si>
    <t>30 € pro Tag - max. 100 Tage
innerhalb 3 Jahren 
(mind. 3 Wochen Zusammenhängend)</t>
  </si>
  <si>
    <t>AUB, Nr. 2.11</t>
  </si>
  <si>
    <t>AUB, Nr. 2.10</t>
  </si>
  <si>
    <t>in unbegrenzter Höhe inkl. Kosten für 
Wiedereingliederung, Fortbildung Blindenhund</t>
  </si>
  <si>
    <t>bis 6 Monate Kostenübernahme für
Haushaltshile, Kinderbetreuung Vermittlung durch VR</t>
  </si>
  <si>
    <t>bis 6 Monate Kostenübernahme für
Privatlehrer 
Vermittlung durch VR</t>
  </si>
  <si>
    <t>AUB, Nr. 2.13</t>
  </si>
  <si>
    <t>im Rahmen des 
Reha-Management</t>
  </si>
  <si>
    <t>ja
(subsidiär)</t>
  </si>
  <si>
    <t>AUB, Nr. 2.6.1.4</t>
  </si>
  <si>
    <t>ja
auch Mehrkosten Einzelzimmer
(subsidiär)</t>
  </si>
  <si>
    <t>AUB, Nr. 2.18</t>
  </si>
  <si>
    <t>AUB, Nr.2.19</t>
  </si>
  <si>
    <t>AUB, Nr. 2.25</t>
  </si>
  <si>
    <t>AUB Ergänzung U 901</t>
  </si>
  <si>
    <t>KT 2019-04 S.1</t>
  </si>
  <si>
    <t>75%
Gebrechen finde keine Anrechnung beim Mitwirkungsanteil - keine Leistungen für die Folgen von mitw. Krankenheiten und Gebrechen</t>
  </si>
  <si>
    <t>AUB, Nr. 3.2 + 3.1</t>
  </si>
  <si>
    <t>auf Wunsch 
angemessene Vorschüsse
bei Verlust von Gliedmaßen 
oder innerer Organe</t>
  </si>
  <si>
    <t>auf Wunsch 
angemessene Vorschüsse
bei Verlust von Gliedmaßen 
oder einer bzw. beider Nieren</t>
  </si>
  <si>
    <t>AUB, Nr. 9.16</t>
  </si>
  <si>
    <t>nur Kopfverletzungen 
25% erhöhte Grundsumme
max. 50.000 € Mehrleistung
Leistung greift nicht bei Helmpflicht</t>
  </si>
  <si>
    <t>nur Kopfverletzungen 
25% erhöhte Grundsumme
max. 50.000 € Mehrleistung
Leistung greift nicht bei Helmpflicht
weitere Sportarten siehe Bed.</t>
  </si>
  <si>
    <t>AUB, U 914
AUB, U 917</t>
  </si>
  <si>
    <t>Todesfallleistung
max Rentenzahlung über Tod hinaus</t>
  </si>
  <si>
    <t>12 Monate</t>
  </si>
  <si>
    <t>Wir zahlen die Rente auch die nächsten 12 Monate über den Monat, in dem die versicherte Person verstorben ist, weiter, wenn ein Anspruch auf eine Unfall-Rente bereits anerkannt war und der Tod
später als ein Jahr nach dem Unfall eingetreten ist.</t>
  </si>
  <si>
    <t>3 Monate</t>
  </si>
  <si>
    <t>Rentengarantie in …. Jahren, 
wenn VP im Leistungsbezug vor Vollendung des …. LJ verstirbt</t>
  </si>
  <si>
    <t>10 Jahre
70. LJ</t>
  </si>
  <si>
    <t>Anspruch auf Rente bestand
Tod innerhalb ersten Kahr nicht unfallbedingt</t>
  </si>
  <si>
    <t xml:space="preserve">doppelte VS-Tod </t>
  </si>
  <si>
    <t>AUB, Nr.2.5.3.1</t>
  </si>
  <si>
    <t>AUB, Nr. 1.4.8 + 1.4.12</t>
  </si>
  <si>
    <t>AUB, U 913
AUB, U 916
KT S.1  + LÜ</t>
  </si>
  <si>
    <t>AUB, U 914
AUB, U 917
KT S.1  + LÜ</t>
  </si>
  <si>
    <t>Tarif S. 9</t>
  </si>
  <si>
    <t>36 Monate</t>
  </si>
  <si>
    <t>10% 
20%  bis vollendeten 15. LJ</t>
  </si>
  <si>
    <t>organische Erkrankung des Hirnnervensystems oder neu entstandene Epilepsie</t>
  </si>
  <si>
    <t>500.000 € / 30.000 €
 (max 100% der INV) oder 150-fache UR</t>
  </si>
  <si>
    <t>AUB, Nr. 2.2.1 ff + 2.2.3 + 2.2.4</t>
  </si>
  <si>
    <t>vereinbarte VS
auch bei 3 Monaten zu 100 %
 (sofortige Zahlung bei Sofortleistung)</t>
  </si>
  <si>
    <t>vereinbarte VS
auch bei 3 Monaten zu 100 %</t>
  </si>
  <si>
    <t>5 Jahre</t>
  </si>
  <si>
    <t>5 Jahre
darüber hinaus Nachbehandlungen wenn diese nicht früher möglich war</t>
  </si>
  <si>
    <t>750 Tage</t>
  </si>
  <si>
    <t>7 Tagessätze
(auch GG 3 Tagessätze)
Vorraus. Min 3 Tage AU</t>
  </si>
  <si>
    <t>3 Tagessätze
(auch GG 3 Tagessätze)
Vorraus. Min 3 Tage AU</t>
  </si>
  <si>
    <t>Leistung auch nach Verschollenen Gesetz § 5 - 7</t>
  </si>
  <si>
    <t>AUB, Nr.2.5.1</t>
  </si>
  <si>
    <t>BB, Nr. 2.11.3</t>
  </si>
  <si>
    <t xml:space="preserve">Vorsorge bei erstmaligen 
Bau o. Erwerb von Wohneigentum
40.00 € Sofortleidtung bei SV
max 3 Jahre </t>
  </si>
  <si>
    <t>BB, Nr. 2.5.1</t>
  </si>
  <si>
    <t>AUB, Nr.2.5</t>
  </si>
  <si>
    <t>Vollwaisen-Leistung  im Rahmen der Todesfallleistung</t>
  </si>
  <si>
    <t>doppelte VS-Tod 
wenn Kind &lt; 18 Jahre</t>
  </si>
  <si>
    <t>doppelte VS-Tod 
wenn Kind &lt; 14 Jahre
max 40.000 € zusätzlich</t>
  </si>
  <si>
    <t>doppelte VS-Tod 
wenn Kind &lt; 18 Jahre
max 500.000 € zusätzlich</t>
  </si>
  <si>
    <t>AUB, Nr. 2.5.3.2</t>
  </si>
  <si>
    <t>Vollwaisen-Leistung auch ohne Todesfallleistung</t>
  </si>
  <si>
    <t>30 € pro Tag, max. 3 Jahre</t>
  </si>
  <si>
    <t>AUB, Nr. 2.15.1</t>
  </si>
  <si>
    <t xml:space="preserve">ab Pflegegrad 2
20 € pro Tag, max. 1 Jahre
PG3 40 € PG4+ 60 € </t>
  </si>
  <si>
    <t>AUB, Nr. 2.15.2</t>
  </si>
  <si>
    <t>AUB, Nr. 2.17</t>
  </si>
  <si>
    <t>INV 100.000 € ohne Prog.
Tod 10.000 €
KH 20 € KOP und BK
(auch für Adoptionen bis 17. LJ)</t>
  </si>
  <si>
    <t>keine Frist</t>
  </si>
  <si>
    <t>AUB, Nr. 7</t>
  </si>
  <si>
    <t>AUB 10.5</t>
  </si>
  <si>
    <t>Eintritt von Pflegebedürftigkeit bei VP</t>
  </si>
  <si>
    <t>VP ist weiter versicherbar
Kündigungsoption VN
ab Feststllung max 3 Jahre zurück</t>
  </si>
  <si>
    <t>VP ist weiter NICHT mehr versicherbar
Vertrag kann auf Antrag und Einfallprüfung fortgesetzt werden</t>
  </si>
  <si>
    <t>max 24 Monate auf nächste HF</t>
  </si>
  <si>
    <t>AUB 11.6.2</t>
  </si>
  <si>
    <t>Beitragsfreistellung bei unverschuldeter Arbeitslosigkeit (AL)
Achtung bzgl. der Vorraussetzungen</t>
  </si>
  <si>
    <t>AUB 11.6.3</t>
  </si>
  <si>
    <t>AUB 11.6.4</t>
  </si>
  <si>
    <t>ab feststllung der Invallidität</t>
  </si>
  <si>
    <t>Beitragsfreistellung bei unfallbedingter Invalidität 
von …… für …..</t>
  </si>
  <si>
    <t>50%
max 36 Monate</t>
  </si>
  <si>
    <r>
      <rPr>
        <sz val="7"/>
        <color rgb="FFFFC000"/>
        <rFont val="Arial"/>
        <family val="2"/>
      </rPr>
      <t xml:space="preserve">Beitragsfreie </t>
    </r>
    <r>
      <rPr>
        <sz val="7"/>
        <rFont val="Arial"/>
        <family val="2"/>
      </rPr>
      <t>Weiterführung bei Tod des VN 
 für versicherte Kinder</t>
    </r>
  </si>
  <si>
    <t>ja
auch Tröpfchen-, Kontakt- und Schmierinfektionen</t>
  </si>
  <si>
    <t xml:space="preserve">KOP Passagen
</t>
  </si>
  <si>
    <t>auf ärztliche Weisung oder
vorraussichlicher KH-Aufenthalt von mind. 7 Tagen
AUB 2.6.1.2</t>
  </si>
  <si>
    <t>auf ärztliche Weisung oder
vorraussichlicher KH-Aufenthalt von mind. 14 Tagen
AUB 2.6.1.2</t>
  </si>
  <si>
    <t>auf ärzliche Weisung oder
nach einem 14-tägigen KH-Aufenthalt
max 6.000 € Subsidär
AUB  2.10.2.1</t>
  </si>
  <si>
    <t>auf ärzliche Weisung oder
nach einem 14-tägigen KH-Aufenthalt
max 6.000 € Subsidär
AUB  2.4.2.1</t>
  </si>
  <si>
    <t>auf ärzliche Weisung oder
nach einem 14-tägigen KH-Aufenthalt
max 20.000 € Subsidär
AUB  2.9.2.1</t>
  </si>
  <si>
    <t>auf ärzliche Weisung oder
nach einem 14-tägigen KH-Aufenthalt
max 75.000 € Subsidär
AUB  3.6</t>
  </si>
  <si>
    <t>Kosten der Überführung an den Wohnsitz oder Beisetzungskosten im Ausland
AUB 2.6.1.3</t>
  </si>
  <si>
    <t>Rückholung vom Unfallort an den Wohnsitz der VP
(subsidär)</t>
  </si>
  <si>
    <t>Tod im Ausland oder Inland
(subsidär)</t>
  </si>
  <si>
    <t>Hotelkosten nach KH-Aufenthalt im Hausland
(subsidär)</t>
  </si>
  <si>
    <t>bis 350 €
wenn VP noch nicht transportfähig ist
AUB 2.6.1.5</t>
  </si>
  <si>
    <t>AUB, Nr. 2.6.3 ff</t>
  </si>
  <si>
    <t>ja
teilweise auch Übernahme von Betreunungkosten für Kindern e.t.c.</t>
  </si>
  <si>
    <t>Gesundheitsschäden an Bandscheiben (Wiedereinschluß)
nach einfacher Unfalldefinition</t>
  </si>
  <si>
    <t>ja
wenn überwiegend unfallbedingt</t>
  </si>
  <si>
    <t>AUB, Nr. 5.2.1</t>
  </si>
  <si>
    <t>Gesundheitsschäden durch Blutungen innerer Organe oder Gehirnblutungen (wiedereinschluß) nach einfacher Unfalldefinition</t>
  </si>
  <si>
    <t>AUB, Nr. 4.2.1</t>
  </si>
  <si>
    <t>auch im erweiterten Unfallbegriff
wenn überwiegend unfallbedingt</t>
  </si>
  <si>
    <t>BB, Nr. 7.10 (AUB, Nr. 4.2.1)</t>
  </si>
  <si>
    <t>einmalig 12 Monatsrenten</t>
  </si>
  <si>
    <t>AURB Nr. 2.1.2.1</t>
  </si>
  <si>
    <t>AUB, Nr. 6.1 + 6.3 + Tarif</t>
  </si>
  <si>
    <t>Unfallrente 50%</t>
  </si>
  <si>
    <t>Unfallrente 40%</t>
  </si>
  <si>
    <t>2.000 € (1.500 € unter 18 LJ)</t>
  </si>
  <si>
    <t>Tagegeld (Tagessatz)</t>
  </si>
  <si>
    <t>AUB, Nr. 2.1.2.2.1 + U 903</t>
  </si>
  <si>
    <t xml:space="preserve">U 903 = AUB, Nr. 2.1.2.2.1 </t>
  </si>
  <si>
    <t>AUB, Nr. 3.2 + 3.1 + U 904</t>
  </si>
  <si>
    <t>AUB, Nr. 2.4.4 + U 908</t>
  </si>
  <si>
    <t>bei Bruch oder Bänderriss
über Baustein "U-KH-TG"
250 € Gipsgeld 
----------------
über Baustein "Schmerzensgeld"
150 € bis 6.000 € definierter Katalog
max 6.000 € Erhöhung auf 4fach möglich</t>
  </si>
  <si>
    <t>U 906</t>
  </si>
  <si>
    <t xml:space="preserve">10.000 €
max 1 Jahr </t>
  </si>
  <si>
    <t xml:space="preserve">Pfege-, Essen-, Wäsche, Wohnungsreinigung- etc Services </t>
  </si>
  <si>
    <t>Tarif + Antrag</t>
  </si>
  <si>
    <t>Verträge mit aufgeschobenem technischem Beginn, der später als 12 Monate nach Deckungsauftrag liegt
Personen mit einer Alkohol-, Medikamenten- oder Drogenabhängigkeit
Personen mit folgenden Erkrankungen:
• Aids / HIV-Infektion
• Alzheimer / Demenz
• Autismus
• Geisteskrankheit / Schizophrenie
• Glasknochen
• Leberzirrhose
• Mukoviszidose
• Multiple Sklerose</t>
  </si>
  <si>
    <t>Nicht versicherbare Risiken
Berufe</t>
  </si>
  <si>
    <t>Nicht versicherbare Risiken
Kranheiten</t>
  </si>
  <si>
    <t>* Berufssportler
 - Sportler in der der ersten, 
bei Handball und Eishockey 
in der ersten oder zweiten und 
bei Fußball in der ersten, zweiten oder dritten Spiel- bzw. Leistungsklasse 
- Sportler in der Sportförderung 
von Polizei, Bundeswehr 
und ähnlichen Einrichtungen
*Angehörige von Spezialeinsatzkommandos 
(z. B. MEK, SEK, GSG9, ZUZ)
* Berufstaucher
* Akrobaten/Artisten, 
Tierbändiger, Kunstreiter
* Spreng- und Räumpersonal
* Leibwächter (Personenschutz)
* Beruflich fliegendes Personal
* Rennfahrer und Rennreiter
und ähnlich gefährliche Berufe
KT S.1
Es besteht auch kein Versicherungsschutz für Sportunfälle, wenn die versicherte Person aus ihrer sportlichen Tätigkeit den überwiegenden
Teil ihres Einkommens bezieht. 
Der Ausschluss greift nicht, wenn die Bruttoeinnahmen aus dem Sport nicht mehr als 500 EUR im Monat bzw. 6.000 EUR im Jahr betragen. Zu diesen
Einnahmen zählen feste Gehälter, Sieg- oder Antrittsprämie, Preisgelder, Einnahmen aus Werbeverträgen, Mäzenatentum und Sponsoring
oder anderweitigen Zuwendungen.
AUB, Nr. 5.1.3</t>
  </si>
  <si>
    <t>ab 70. LJ keine Annahme von VP mit
Demenz (z.B Alzheimer), Parkinson, insulinpfl. Diabetis o. Osteoporose
KT. S 1</t>
  </si>
  <si>
    <t>80%
mit Gliedertaxe 100
100%  (UR 80%)</t>
  </si>
  <si>
    <t>75%
mit Gliedertaxe 100
90% (UR 75%)</t>
  </si>
  <si>
    <t>25%
mit Gliedertaxe 100
45% (UR 35%)</t>
  </si>
  <si>
    <t>20%
mit Gliedertaxe 100
30% (UR 20%)</t>
  </si>
  <si>
    <t>15% (75%)
mit Gliedertaxe 100
25%  (UR 15%) / (90%) (UR 75%)</t>
  </si>
  <si>
    <t>anderer Finger /
(allerdings max ….. für sämtliche Finger einer Hand)</t>
  </si>
  <si>
    <t>15% / (75%)</t>
  </si>
  <si>
    <t>10% / (60%)</t>
  </si>
  <si>
    <t>10% / (75%)</t>
  </si>
  <si>
    <t>20% / (100%)</t>
  </si>
  <si>
    <t>80%
mit Gliedertaxe 100
100% (UR 80%)</t>
  </si>
  <si>
    <t>60%
mit Gliedertaxe 100
70% (UR 60%)</t>
  </si>
  <si>
    <t>Gehör auf einem Ohr /
(bei 100% Vorschädigung des anderen Ohres gelten …..%)</t>
  </si>
  <si>
    <t>30% / (60%)</t>
  </si>
  <si>
    <t>50% / (80%)</t>
  </si>
  <si>
    <t>50% / (80%)
mit Gliedertaxe 100
(90%) (UR 80%)</t>
  </si>
  <si>
    <t>3 bis 69
(ab 60 Prämienanpassung)
ab 70 Leistungen / Prämien nach Gold</t>
  </si>
  <si>
    <t>70
(ab 60 Prämienanpassung / 
ab 70 Tarif Senioren Wegfall einzelner Leistungsinhalten)</t>
  </si>
  <si>
    <t>VHV Klassik Garant 
2017-06</t>
  </si>
  <si>
    <t>VHV Klassik Garant Exklusiv
2017-06</t>
  </si>
  <si>
    <t>AVB, Nr. 1.4.13</t>
  </si>
  <si>
    <t>ZB, Nr. 3.1</t>
  </si>
  <si>
    <t>auch bei Eigenbewegung
sowie
Knochen bricht
 oder Meniskusschaden zuzieht</t>
  </si>
  <si>
    <t>ja
keine Verletzung Kopf, Lunge, Herz
Blutung innerer Organe</t>
  </si>
  <si>
    <t xml:space="preserve">Eigenbewegungen
Verletzungen an Gliedmaßen oder Wirbelsäule (keine Bandscheibe)
– ein Gelenk verrenkt wird oder
– Muskeln, Sehnen, Bänder, Kapsel gezerrt oder zerrissen werden. </t>
  </si>
  <si>
    <t xml:space="preserve">Eehöhte Kraftansträngung
Verletzungen an Gliedmaßen oder Wirbelsäule (keine Bandscheibe)
– ein Gelenk verrenkt wird oder
– Muskeln, Sehnen, Bänder, Kapsel gezerrt oder zerrissen werden. </t>
  </si>
  <si>
    <r>
      <t xml:space="preserve">Eehöhte Kraftansträngung
</t>
    </r>
    <r>
      <rPr>
        <sz val="7"/>
        <color rgb="FFFF0000"/>
        <rFont val="Arial"/>
        <family val="2"/>
      </rPr>
      <t xml:space="preserve">Verletzungen an Gliedmaßen oder Wirbelsäule (keine Bandscheibe)
– ein Gelenk verrenkt wird oder
– Muskeln, Sehnen, Bänder, Kapsel gezerrt oder zerrissen werden. </t>
    </r>
  </si>
  <si>
    <t>auch 
Bauch-, Unterleibs- und Knochenbruch
oder Meniskusschaden</t>
  </si>
  <si>
    <t>ja
(Bauch-, Unterleibs- und Knochenbruch
(bis Ablauf des VJ, in dem VP 67. LJ vollendet hat)</t>
  </si>
  <si>
    <t>ja
(Bauch-, Unterleibs- und Knochenbruch
bis Ablauf des VJ, in dem VP 67. LJ vollendet hat)</t>
  </si>
  <si>
    <t>auch 
Bauch-, Unterleibsbruch (z.B. Leiste)</t>
  </si>
  <si>
    <t>AVB, Nr. 1.4.1</t>
  </si>
  <si>
    <t>AVB, Nr. 1.4.4</t>
  </si>
  <si>
    <t>AVB, Nr. 1.4.5</t>
  </si>
  <si>
    <t xml:space="preserve">Rettung von Personen , Tieren oder Sachen
auch deren Verteidigung </t>
  </si>
  <si>
    <t>AVB, Nr. 1.3.2</t>
  </si>
  <si>
    <t>AVB, Nr. 1.3.3</t>
  </si>
  <si>
    <t>AVB, Nr. 1.4.2</t>
  </si>
  <si>
    <t>*   Pflanzenvergiftung (durch Berühren, Schlucken, Kauen und/oder Ausspucken der Pflanze oder ihrer Teile)</t>
  </si>
  <si>
    <t>ja
(max. Einwirkung: 7 Tage)
auch Dünste, Säuren etc.</t>
  </si>
  <si>
    <t>ja
(max. Einwirkung: 7 Tage)
auch Dünste, Säuren</t>
  </si>
  <si>
    <t>ja 
(max. Einwirkung: 10 Std.)
auch Dünste, Säuren</t>
  </si>
  <si>
    <r>
      <t xml:space="preserve">Vergiftungen
</t>
    </r>
    <r>
      <rPr>
        <sz val="7"/>
        <color rgb="FFFF0000"/>
        <rFont val="Arial"/>
        <family val="2"/>
      </rPr>
      <t>Gesundheitsschädigungen</t>
    </r>
    <r>
      <rPr>
        <sz val="7"/>
        <rFont val="Arial"/>
        <family val="2"/>
      </rPr>
      <t xml:space="preserve"> durch Gase, Dämpfe und Stäube
</t>
    </r>
    <r>
      <rPr>
        <sz val="7"/>
        <color rgb="FFFFC000"/>
        <rFont val="Arial"/>
        <family val="2"/>
      </rPr>
      <t>(plötzlich ausströmend) - Keine Berufskrankheiten</t>
    </r>
  </si>
  <si>
    <t>AVB, Nr. 1.4.3</t>
  </si>
  <si>
    <t>Strahlenunfälle 
auch Laser-, Röntgen-, Maser-, ultraviolette (UV)-Strahlen</t>
  </si>
  <si>
    <t>ja
(max. Einwirkung: 10 Std.)</t>
  </si>
  <si>
    <t>ja
auch Wärmestrahlen</t>
  </si>
  <si>
    <r>
      <t xml:space="preserve">Strahlenunfälle 
</t>
    </r>
    <r>
      <rPr>
        <sz val="7"/>
        <color rgb="FFFF0000"/>
        <rFont val="Arial"/>
        <family val="2"/>
      </rPr>
      <t>auch Laser-, Röntgen-, Maser-, ultraviolette (UV)-Strahlen</t>
    </r>
  </si>
  <si>
    <t>* ausgeschlossen Kernenergie (allgemein)</t>
  </si>
  <si>
    <t xml:space="preserve">ja
auch epilept.-/Krampfanfälle, </t>
  </si>
  <si>
    <t>auch epilept.-/Krampfanfälle, Zuckerschock</t>
  </si>
  <si>
    <t>auch durch Witterungsbedingungen
Übemüdung Schlafwandel / Ohnmacht
sowie durch sonstige nicht genannte</t>
  </si>
  <si>
    <t>auch durch Witterungsbedingungen
Übemüdung Schlafwandel / Ohnmacht
Einschlafen und Erschrecken</t>
  </si>
  <si>
    <t>AVB, Nr. 1.4.6</t>
  </si>
  <si>
    <t>ja
auch  Raufereinen und Schlägereien*
*auch beruflich bedingt</t>
  </si>
  <si>
    <t xml:space="preserve">auch Flugschüler
und Kite-Sport </t>
  </si>
  <si>
    <t>Luftfahrt / Luftsportrisiko: 
versichert als Flugast nicht als Fahrzeugführer</t>
  </si>
  <si>
    <t>ja
Kite-Surfen</t>
  </si>
  <si>
    <t>AVB, 1.4.9</t>
  </si>
  <si>
    <t>AVB, Nr. 1.4.10 a)</t>
  </si>
  <si>
    <t>AVB, Nr. 1.4.10 e)</t>
  </si>
  <si>
    <t>AVB, Nr. 1.4.10 d)</t>
  </si>
  <si>
    <t>Siehe Infektionskrankheiten</t>
  </si>
  <si>
    <t>AVB, Nr. 1.4.10 c)</t>
  </si>
  <si>
    <t>AVB, Nr. 1.3.3 + 1.4.12</t>
  </si>
  <si>
    <t>Land- und Wasserfahrzeuge
(bis Vollendung des 14. LJ)</t>
  </si>
  <si>
    <t>AVB, Nr. 2.1.1.2</t>
  </si>
  <si>
    <t>AVB, Nr. 2.1.1.2 +2.1.1.3</t>
  </si>
  <si>
    <t>AVB, Nr. 2.1.2.2.1</t>
  </si>
  <si>
    <t>12% / (70%)
kleiner Finger 7%</t>
  </si>
  <si>
    <t>50% (75%)</t>
  </si>
  <si>
    <t>AVB, Nr. 2.2.1 + 2.2.3.2</t>
  </si>
  <si>
    <t>AVB, Nr. 2.2</t>
  </si>
  <si>
    <t>vereinbarte VS
(bei 3 Monaten zu 100 % 
25% Vorschuss)</t>
  </si>
  <si>
    <t>max. 1 Jahr</t>
  </si>
  <si>
    <t>Leistungsdauer 
(tagessatz anteilig abgestufft nach Beeinträchtigung)</t>
  </si>
  <si>
    <t>5 Jahre
max 1.000 Tage</t>
  </si>
  <si>
    <t>AVB, Nr. 2.5.2</t>
  </si>
  <si>
    <t>AUB, Nr. 2.5.3</t>
  </si>
  <si>
    <t>AVB, Nr. 2.5.2 + 2.5.3</t>
  </si>
  <si>
    <t>max 12 Wochen
Vorrausetzung UKHTG/GG
(Karrenzzeit 7 Tage)</t>
  </si>
  <si>
    <t>AVB, Nr. 2.5.4</t>
  </si>
  <si>
    <t>AVB, Nr. 2.5.5</t>
  </si>
  <si>
    <t>auch im Rahmen einer Kur oder Reha
analog KHT</t>
  </si>
  <si>
    <t>Krankenhaustagegeld: 
Leistung  in Sanatorien oder  gemischten Instituten</t>
  </si>
  <si>
    <t>nur bei Noteinweisung o. einziges Ver-sorgungskrankenhaus in der Nähe</t>
  </si>
  <si>
    <t>AUB, Nr. 2.5.1</t>
  </si>
  <si>
    <t>AVB, Nr. 2.6.2</t>
  </si>
  <si>
    <t>AVB, Nr. 2.6.4</t>
  </si>
  <si>
    <t>AVB, Nr.2.6.3</t>
  </si>
  <si>
    <t>75.000 €
3 Jahren oder bis 21. LJ</t>
  </si>
  <si>
    <t>AVB, Nr. 2.7.2 + 2.7.1</t>
  </si>
  <si>
    <t xml:space="preserve">AVB, Nr. 2.7.2 </t>
  </si>
  <si>
    <t>Transportkosten 
im Rahmen der Berkungskosten</t>
  </si>
  <si>
    <t>AVB, Nr. 2.8.1.1</t>
  </si>
  <si>
    <t>BB, Nr. 3.3 + 3.4</t>
  </si>
  <si>
    <t>im Rahmen der 
Berkungskosten / KOP</t>
  </si>
  <si>
    <t>auf ärztliche Weisung
AUB 2.8.1.2</t>
  </si>
  <si>
    <t>AVB, Nr. 2.8.1.3</t>
  </si>
  <si>
    <t>Kosten der Überführung an den Wohnsitz oder Beisetzungskosten im Ausland
AUB 2.8.1.4</t>
  </si>
  <si>
    <t>AVB, Nr. 2.9</t>
  </si>
  <si>
    <t>75 € pro Tag
max. 75 Tage</t>
  </si>
  <si>
    <t>AVB, Nr. 2.10</t>
  </si>
  <si>
    <t>Kinderbetreuung</t>
  </si>
  <si>
    <t>neu</t>
  </si>
  <si>
    <t>Kinderbetreuung 24h 
100 € Tag max 14 Tgae
Kinderfahrdienst
100 € Tag max 14 Tage</t>
  </si>
  <si>
    <t xml:space="preserve">Kinderbetreuung 
Für Kinder bis 14.LJ der VP </t>
  </si>
  <si>
    <t>BB, Nr. 4.9+10</t>
  </si>
  <si>
    <t>AVB, Nr. 2.11.1</t>
  </si>
  <si>
    <t>im Rahmen von Haushaltshilfe
bis 17.500 €</t>
  </si>
  <si>
    <t>AVB, Nr. 2.12</t>
  </si>
  <si>
    <t>50 € pro Tag - max. 350 Tage als Einmalzahlung innerhalb 3 Jahren 
(mind. 3 Wochen Zusammenhängend)
auch ambulante Kuren</t>
  </si>
  <si>
    <t>30 € pro Tag max. 3.000 € für Kinder 
bis zum vollendeten 14. Lebensjahr</t>
  </si>
  <si>
    <t>AVB, Nr. 2.13</t>
  </si>
  <si>
    <t>AVB, Nr. 2.14</t>
  </si>
  <si>
    <t>AVB, Nr. 2.15.1</t>
  </si>
  <si>
    <t>im Rahmen des  Reha-Management
20% der VS-INV max 10.000 €</t>
  </si>
  <si>
    <t>im Rahmen des  Reha-Management
20% der VS-INV max 10.000 €
innerhalb 4 Jahren</t>
  </si>
  <si>
    <t>AVB, Nr. 2.16.1</t>
  </si>
  <si>
    <t>AVB, Nr. 2.16.2</t>
  </si>
  <si>
    <t>im Rahmen des  Reha-Management
20% der VS-INV max 10.000 €
auch Blindenhund</t>
  </si>
  <si>
    <t>AVB, Nr. 2.18.1</t>
  </si>
  <si>
    <t>INV 100.000 €
Tod 10.000 €
(auch für Adoptionen bis 14. LJ)</t>
  </si>
  <si>
    <t>INV 100.000 € ohne Prog.
Tod 10.000 €
KH 20 € KOP und BK
(auch für Partnerkinder bis 17. LJ)</t>
  </si>
  <si>
    <t>INV 25.000 €
bis nächste HF</t>
  </si>
  <si>
    <t>AVB, Nr. 2.18.2</t>
  </si>
  <si>
    <t>AVB, Nr. 2.19</t>
  </si>
  <si>
    <t>GDV - Stand 2014-03 Basis
AKBP - Stand 2015-09</t>
  </si>
  <si>
    <t>AVB, Nr. 2.8.2</t>
  </si>
  <si>
    <t>AVB, Nr. 3.2</t>
  </si>
  <si>
    <t>ab 75 %</t>
  </si>
  <si>
    <t>AVB, Nr. 1.4.8 (+ Ausschlüsse 5.1.3)</t>
  </si>
  <si>
    <t>AVB, Nr. 1.4.7 (+ Ausschlüsse 5.1.2)</t>
  </si>
  <si>
    <t>AvB, Nr. 5.2.1</t>
  </si>
  <si>
    <t>AVB, Nr. 1.4.11  (Ausschluss 5.2.4)</t>
  </si>
  <si>
    <t>AVB, Nr. 6.1.1</t>
  </si>
  <si>
    <t>AVB, Nr. 6.2.3</t>
  </si>
  <si>
    <t>21 Tage ab Kenntnis der Erben 
auch im Bezug auf Unfallursache</t>
  </si>
  <si>
    <t>AVB, Nr. 7.5</t>
  </si>
  <si>
    <t>Beginn</t>
  </si>
  <si>
    <r>
      <t>Sofern eine zeitliche Deckungslücke vom Ablauf des bisherigen Vertrags</t>
    </r>
    <r>
      <rPr>
        <sz val="7"/>
        <color rgb="FF00B050"/>
        <rFont val="Arial"/>
        <family val="2"/>
      </rPr>
      <t xml:space="preserve"> (24.00 Uhr bzw. 0.00 Uhr) und des Beginns
dieses Vertrags (12.00 Uhr mittags) </t>
    </r>
    <r>
      <rPr>
        <sz val="7"/>
        <rFont val="Arial"/>
        <family val="2"/>
      </rPr>
      <t>besteht, gewähren wir für diesen Zeitraum den in dem Versicherungsschein dokumentierten
Versicherungsschutz.
AVB, nr. 10.1</t>
    </r>
  </si>
  <si>
    <t>AVB, Nr. 11.6.2</t>
  </si>
  <si>
    <t>AVB, Nr. 11.6.3</t>
  </si>
  <si>
    <t>AVB, Nr. 11.6.1</t>
  </si>
  <si>
    <t>VP ist weiter versicherbar
Kündigungsoption VN
ab Feststllung max 3 Jahre zurück
VR behält sich Kündigungsrecht vor</t>
  </si>
  <si>
    <t>70
ab 65 Umstellung auf Seniorentarif</t>
  </si>
  <si>
    <t xml:space="preserve">Nachlässe </t>
  </si>
  <si>
    <t>Familienbonus 
(bei 2 oder mehr Personen innerhalb eines Vertrages)</t>
  </si>
  <si>
    <t>Ratenzuschläge 
1/2 1/4 1/12</t>
  </si>
  <si>
    <t>Mindestprämie (Jahresbeitrag netto)</t>
  </si>
  <si>
    <t>VHV Smart</t>
  </si>
  <si>
    <t>innerhalb der letzten 5 Jahre 
aktives Stufungsverfahren
Schadenfreiheit 10%
Zuschlag 20% bei zwei oder mehr</t>
  </si>
  <si>
    <t>30.000 €
 (max 10% der INV bzw. 10x UR)</t>
  </si>
  <si>
    <t>250.000 € / 25.000 €
 (max 100% der INV bzw. 60x UR)</t>
  </si>
  <si>
    <t>50 €
(max 1/3000 der INV bzw. 1% UR)</t>
  </si>
  <si>
    <t>65 €
(max 1/1000 der INV bzw. 3% UR)</t>
  </si>
  <si>
    <t>Tarif und TR-Vokis</t>
  </si>
  <si>
    <t>ZB Exkl. Nr.1.1 + AVB, Nr. 2.8.2</t>
  </si>
  <si>
    <t>wie 10-2011
aktuell
(geprüft am 03.04.2014)</t>
  </si>
  <si>
    <t>AVB, Nr. 2.15.1 + ZB Exkl. Nr. 1.2</t>
  </si>
  <si>
    <t>ZB Exkl. Nr. 2.1 + AVB, Nr. 2.1.2.2.1</t>
  </si>
  <si>
    <t>15% / (70%)</t>
  </si>
  <si>
    <t>65% (90%)</t>
  </si>
  <si>
    <t>40% / (80%)</t>
  </si>
  <si>
    <t>60% (90%)</t>
  </si>
  <si>
    <t>45% / (70%)</t>
  </si>
  <si>
    <t>ohne Begrenzung
3 Jahren oder bis 21. LJ</t>
  </si>
  <si>
    <t>im Rahmen von Haushaltshilfe
ohne Begrenzung</t>
  </si>
  <si>
    <t>ZB Exkl. Nr. 2.3 + AVB, Nr. 2.11.1</t>
  </si>
  <si>
    <t xml:space="preserve">ZB Exkl. Nr. 2.2 + AVB, Nr. 2.7.2 </t>
  </si>
  <si>
    <t>ZB Exkl. Nr. 2.2 + AVB, Nr. 2.7.2 + 2.7.1</t>
  </si>
  <si>
    <t>INKLUSIVE
bis 17.500 €</t>
  </si>
  <si>
    <t>INKLUSIVE
ohne Begrenzung</t>
  </si>
  <si>
    <t>5 Jahre(darüber hinaus zur Materialentfernung)
max 1.825 Tage</t>
  </si>
  <si>
    <t>ZB Exkl. Nr. 2.4 + AVB, Nr. 2.5.2</t>
  </si>
  <si>
    <t>750 Tage
(auch bei Tod während KH-Aufenthalt)</t>
  </si>
  <si>
    <t>ZB Exkl. Nr. 2.5 + AVB, Nr. 2.5.3</t>
  </si>
  <si>
    <t>vereinbarte VS
(bei 3 Monaten zu 100 % 
50% Vorschuss)</t>
  </si>
  <si>
    <t>AUB, Nr. 2.3 + ZB Exkl. Nr. 2.6</t>
  </si>
  <si>
    <t>AVB, Nr.2.6.3 + ZB Exkl. Nr. 2.7</t>
  </si>
  <si>
    <t>Tarif + TR Vokis</t>
  </si>
  <si>
    <t>Keine Anrechnung
(für Multiple Sklerose, Parkinson, Glasknochenkrankheit gilt 75%)</t>
  </si>
  <si>
    <t>ZB Exkl. 3.2 + AVB, Nr. 3.2</t>
  </si>
  <si>
    <t>ZB Exkl. Nr. 3.3.1</t>
  </si>
  <si>
    <t>---&gt; Infektionen</t>
  </si>
  <si>
    <t>inkl. 
Einspritzen durch Auge, Mund, o. Nase
(Anhauchen, Anniesen oder Anhusten gilt nur Diphtherie u. Tuberkulose)</t>
  </si>
  <si>
    <t>Land- und Wasserfahrzeuge
(bis Vollendung des 14. LJ)
selbstgebaute Feuerwerkskörper
(bis Vollendung des 18. LJ)</t>
  </si>
  <si>
    <t>AVB, Nr. 1.4.14 (5.1.1)</t>
  </si>
  <si>
    <t>AVB, Nr. 1.4.14 (5.1.1) + ZB Exkl. Nr. 3.4</t>
  </si>
  <si>
    <t>ZB Exkl. Nr. 3.5 + AVB, Nr. 2.1.1.2</t>
  </si>
  <si>
    <t>ZB Exkl. Nr. 3.5 + AVB, Nr. 2.1.1.2 +2.1.1.3</t>
  </si>
  <si>
    <t>ZB Exkl. Nr. 3.7 + AVB, Nr. 1.4.6</t>
  </si>
  <si>
    <t>analog schon versicherter Personen
ältestes Kind bzw. Erw.
mind. INV 100.000 € o. Prog.
mind. Tod 10.000 €
(auch für Adoptionen bis 14. LJ)</t>
  </si>
  <si>
    <t>ZB Exkl. Nr. 4.1 + AVB, Nr. 2.18.1</t>
  </si>
  <si>
    <t>INV 100.000 € o.Prog.
Tod 10.000 €
KH / GG  20 € TS
bis nächste HF</t>
  </si>
  <si>
    <t>AVB, Nr. 2.20</t>
  </si>
  <si>
    <t xml:space="preserve">* Borreliose
* Brucellose
* Cholera
* Diphtherie
* Dreitagefieber 
* Echinokokkose
* Fleckfieber
* Frühsommer-Meningoenzephalitis (FSME)
* Gelbfieber
* Gürtelrose
* Keuchhusten
* Lepra
* Malaria
* Masern
* Mumps
* Pest / Tularämie (Hasenpest)
* Pfeiffersches Drüsenfieber
* Pocken / Windpocken
* Röteln
* Scharlach
* Schlafkrankheit / Tsetsekrankheit
* Kinderlähmung (Poliomyelitis)
* Tollwut
-
-
* Typhus / Paratyphus
* Wundstarrkrampf (Tetanus)
</t>
  </si>
  <si>
    <t>AVB; Nr. 2.1.2.1</t>
  </si>
  <si>
    <t>AVB, Nr. 2.14 + ZB Exkl. Nr. 5.1</t>
  </si>
  <si>
    <t>INKLUSIVE
Schmerzensgeld 200 €
auch bei Bänderriss
gegen Zuschlag  über Baustein 
" Schmerzengeld Plus" 
bis max 3.000 €</t>
  </si>
  <si>
    <t>AUB, Nr. 2.7
AUB, Nr. 2.20
AUB, Nr. 2.14
U 907</t>
  </si>
  <si>
    <t>AUB, Nr. 2.7
AUB, Nr. 2.20
AUB, Nr. 2.14</t>
  </si>
  <si>
    <t xml:space="preserve">* im Rahmen der KOP
Brustkrebs 10.000 € OP und 5.000 € Kos.
* Reparaturkosten für Zahnspange
bis 1.500 € bei minderjährigen Kindern
* 10 Sitzungen für psychologische Betreuung
* "Baustein Aktivschutz"
Heilkosten bis 10.000 €
Physioschutz bis 10.000 €
Sportgeräte 1.500 € Zeitwertstaffel
Verdienstausfall 250 € pro 30 Tage
ab dem 43. Tag max 120 Tage
</t>
  </si>
  <si>
    <t xml:space="preserve">* im Rahmen der KOP
Brustkrebs 10.000 € OP und 5.000 € Kos.
* Reparaturkosten für Zahnspange
bis 1.500 € bei minderjährigen Kindern
* 10 Sitzungen für psychologische Betreuung
</t>
  </si>
  <si>
    <t>optionaler Baustein gegen Zuschlag</t>
  </si>
  <si>
    <t>"Easy Care"
bis 6 Monate, definierte Leistungen</t>
  </si>
  <si>
    <t>ZB Easy Care 2021 + Tarif</t>
  </si>
  <si>
    <t>auch Flugschüler und Kite-Sport 
Gegen Zuschlag  
Volles Luftfahrtrisiko möglich</t>
  </si>
  <si>
    <t>AVB, Nr. 1.4.7 (+ Ausschlüsse 5.1.2) 
ZB Luftfahrtrisiko</t>
  </si>
  <si>
    <t>VHV Klassik Garant Exklusiv HB</t>
  </si>
  <si>
    <t>ZB HB + AVB, Nr. 2.1.2.2.1</t>
  </si>
  <si>
    <t>80% (90%)</t>
  </si>
  <si>
    <t>45% / (80%)</t>
  </si>
  <si>
    <t>AVB, Nr. 7.1</t>
  </si>
  <si>
    <t xml:space="preserve">AVB BB U 205 + 206 + 207 </t>
  </si>
  <si>
    <t>3 % oder 5%
Tarifrechner Vokis
AVB BB U031 + 032</t>
  </si>
  <si>
    <t>• Artisten, Akrobaten 
und Dompteure
• Berufs-, Vertrags- 
und Lizenzsportler
-
-
• Berufstaucher
-
-
• Spreng-, Such- und Räumungspersonal für Munition und andere explosive Stoffe
• Feuerwerker / Pyrotechniker
• Rennfahrer, Rennrodler, Bobfahrer
• Stuntmen
• Personen im Bergbau
-
• Tierärzte / -veterinäre
• fliegendes Personal
-
• extrem unfallgefährdete Personen (wie z. B. Leibwächter, Höhlenforscher, Bergführer, Extrembergsteiger
und -kletterer, Tierbändiger)
Tarifbuch</t>
  </si>
  <si>
    <t>GDV - Stand 2014-03 Basis
AKBP - -------</t>
  </si>
  <si>
    <t>AVB, Nr. 1.4</t>
  </si>
  <si>
    <t>AVB, Nr. 5.1.1</t>
  </si>
  <si>
    <t>AVB, Nr. 5.1.3</t>
  </si>
  <si>
    <t>AVB, Nr. 5.1.2</t>
  </si>
  <si>
    <t>AVB, Nr. 5.1.4</t>
  </si>
  <si>
    <t>Nein und ACHTUNG 
Grundsätzlicher Ausschluß für das Führen von Krädern</t>
  </si>
  <si>
    <t>AVB, Nr. 5.1.5 + 5.1.6</t>
  </si>
  <si>
    <t>AVB, Nr. 2.6</t>
  </si>
  <si>
    <t>10.000 €
3 Jahren oder bis 21. LJ</t>
  </si>
  <si>
    <t>auch Backzähne sowie vorheriger Zahnerstz  (nach GOÄ/GOZ)</t>
  </si>
  <si>
    <t>AVB, Nr. 2.7</t>
  </si>
  <si>
    <t>AVB, Nr. 2.7.1.3</t>
  </si>
  <si>
    <t>AVB, Nr. 2.8</t>
  </si>
  <si>
    <t>30 € pro Tag
max. 30 Tage</t>
  </si>
  <si>
    <t>AVB, Nr. 2.4</t>
  </si>
  <si>
    <t xml:space="preserve">AVB BB U 210 + 211 + 212 </t>
  </si>
  <si>
    <t>AVB, Nr. 9.3</t>
  </si>
  <si>
    <t>nur im Rahmen der Sofortleistungen
oder auf Wunsch 
angemessene Vorschüsse</t>
  </si>
  <si>
    <t>AVB, Nr. 2.15.1  + 9.3</t>
  </si>
  <si>
    <t>AVB, Nr. 2.15.1 + 9.3 + ZB Exkl. Nr. 1.2</t>
  </si>
  <si>
    <t>AVB, Nr.2.5</t>
  </si>
  <si>
    <t>5 Jahre
max 500 Tage</t>
  </si>
  <si>
    <t>AVB, Nr. 2.3.2</t>
  </si>
  <si>
    <t>AVB, Nr. 2.3.3</t>
  </si>
  <si>
    <t>500 Tage</t>
  </si>
  <si>
    <t>AVB, Nr. 2.3.1</t>
  </si>
  <si>
    <t>AVB, Nr. 2.3.2 + 2.3.3</t>
  </si>
  <si>
    <t>AVB, Nr. 6.2</t>
  </si>
  <si>
    <t>50% (---)</t>
  </si>
  <si>
    <t>Vermitttlung, Hilfestellung und Organisation 
(keine Kostenübernahme)</t>
  </si>
  <si>
    <t>AVB, Nr. 5.2.4</t>
  </si>
  <si>
    <t>AVB, Nr. 5.2.5</t>
  </si>
  <si>
    <t>nur Gase und Dämpfe</t>
  </si>
  <si>
    <t>-Die Unfallversicherung SMART 2021 beinhaltet den bedingungsgemäßen Ausschluss von Unfällen mit bestimmten
Kraftfahrzeugen. Hierzu zählen zulassungspflichtige
– Krafträder
– Leichtkrafträder
– Leichtkraftroller
– Trikes und
– Quads.
Nicht dazu zählen:
– E-Scooter
– S-Pedelecs (E-Bikes)
– Motoroller bis 45 km/h</t>
  </si>
  <si>
    <t>Tarif 20-12-05 BT Nr. 1</t>
  </si>
  <si>
    <t>Tarif 20-12-05 BT Nr. 2</t>
  </si>
  <si>
    <t>Kosten der Überführung an den Wohnsitz oder Beisetzungskosten im Ausland
AUB 2.7.1.4</t>
  </si>
  <si>
    <t>auf ärztliche Weisung
AUB 2.7.1.2</t>
  </si>
  <si>
    <t xml:space="preserve">geprüft am </t>
  </si>
  <si>
    <t xml:space="preserve">Einzel-UV / EW </t>
  </si>
  <si>
    <t>Einzel-UV / K</t>
  </si>
  <si>
    <t>Tarif 2020-012-05 - Nr. 1.1</t>
  </si>
  <si>
    <t>18-64 Jahre</t>
  </si>
  <si>
    <t>65-69 Jahre
70 Keine Neuverträge möglich</t>
  </si>
  <si>
    <t xml:space="preserve">   0-13 Jahre Kindertarif I  
14-17 Jahre Kindertarif II</t>
  </si>
  <si>
    <t>AUB, Nr. 12.5</t>
  </si>
  <si>
    <t>HK Einfach Gut</t>
  </si>
  <si>
    <t>HK Einfach Besser</t>
  </si>
  <si>
    <t>HK Einfach Komplett</t>
  </si>
  <si>
    <t>AUB 2014 +
BB Produktline UV Einfach Gut
Stand 2019-06</t>
  </si>
  <si>
    <t>AUB, Nr. 1.4</t>
  </si>
  <si>
    <t>AUB, Nr. 1.4 + BB 3  I. A Nr. 9</t>
  </si>
  <si>
    <t>auch 
Bauch-, Unterleibs- und Knochenbruch</t>
  </si>
  <si>
    <t>BB 3  I. A Nr. 5</t>
  </si>
  <si>
    <t>BB 3  I. A Nr. 3</t>
  </si>
  <si>
    <t>Tod durch Erfrieren</t>
  </si>
  <si>
    <t xml:space="preserve">Tod durch Ertrinken, Ersticken </t>
  </si>
  <si>
    <r>
      <rPr>
        <sz val="7"/>
        <color rgb="FFFF0000"/>
        <rFont val="Arial"/>
        <family val="2"/>
      </rPr>
      <t>Tod durch</t>
    </r>
    <r>
      <rPr>
        <sz val="7"/>
        <rFont val="Arial"/>
        <family val="2"/>
      </rPr>
      <t xml:space="preserve"> Erfrieren</t>
    </r>
  </si>
  <si>
    <r>
      <rPr>
        <sz val="7"/>
        <color rgb="FFFF0000"/>
        <rFont val="Arial"/>
        <family val="2"/>
      </rPr>
      <t>Tod durch</t>
    </r>
    <r>
      <rPr>
        <sz val="7"/>
        <rFont val="Arial"/>
        <family val="2"/>
      </rPr>
      <t xml:space="preserve"> Ertrinken, Ersticken</t>
    </r>
    <r>
      <rPr>
        <sz val="7"/>
        <color rgb="FFFFC000"/>
        <rFont val="Arial"/>
        <family val="2"/>
      </rPr>
      <t/>
    </r>
  </si>
  <si>
    <r>
      <rPr>
        <sz val="7"/>
        <color rgb="FFFF0000"/>
        <rFont val="Arial"/>
        <family val="2"/>
      </rPr>
      <t xml:space="preserve">Tod durch </t>
    </r>
    <r>
      <rPr>
        <sz val="7"/>
        <rFont val="Arial"/>
        <family val="2"/>
      </rPr>
      <t>Erfrieren</t>
    </r>
  </si>
  <si>
    <r>
      <rPr>
        <sz val="7"/>
        <color rgb="FFFF0000"/>
        <rFont val="Arial"/>
        <family val="2"/>
      </rPr>
      <t xml:space="preserve">Tod durch </t>
    </r>
    <r>
      <rPr>
        <sz val="7"/>
        <rFont val="Arial"/>
        <family val="2"/>
      </rPr>
      <t xml:space="preserve">Ertrinken, Ersticken </t>
    </r>
    <r>
      <rPr>
        <sz val="7"/>
        <color rgb="FFFFC000"/>
        <rFont val="Arial"/>
        <family val="2"/>
      </rPr>
      <t>oder erfrieren</t>
    </r>
    <r>
      <rPr>
        <sz val="7"/>
        <rFont val="Arial"/>
        <family val="2"/>
      </rPr>
      <t xml:space="preserve"> unter Wasser</t>
    </r>
  </si>
  <si>
    <t>auch Erfrierungen 
einzelner Körperteile</t>
  </si>
  <si>
    <t>BB 3  I. A Nr. 2</t>
  </si>
  <si>
    <t>BB 3  I. A Nr. 4</t>
  </si>
  <si>
    <t>BB 3  I. A Nr. 6</t>
  </si>
  <si>
    <t>BB 3  I. A Nr. 7</t>
  </si>
  <si>
    <t>ja
auch  Raufereinen und Schlägereien</t>
  </si>
  <si>
    <t>AUB, Nr. 2.1.1.2 +  2.1.1.3 + 
BB 3  I. A Nr. 10</t>
  </si>
  <si>
    <t>BB 3  I. A Nr. 1</t>
  </si>
  <si>
    <t>Gase und Dämpfe</t>
  </si>
  <si>
    <t>5% / (55%)</t>
  </si>
  <si>
    <t>30% / (---)</t>
  </si>
  <si>
    <t>10% 
20%  bis vollendeten 13. LJ</t>
  </si>
  <si>
    <t>AUB, Nr. 2.1.3.2 findet keine Anwendung
Unfallrente wird nach AURB2007 Protect dokumentiert</t>
  </si>
  <si>
    <t>AUB, Nr. 2.2.1</t>
  </si>
  <si>
    <t>70% der Rente
36 Monate als Partner-Rente
oder Vollwaisen bis Vollendung 18 LJ.
Mehere Kinder anteilig aufgeteilt</t>
  </si>
  <si>
    <t>AUB, Nr. 2.4</t>
  </si>
  <si>
    <t>2 Jahre
max 730 Tage</t>
  </si>
  <si>
    <t>AUB, Nr. 2.5.1 + BB I. B. Nr. 14</t>
  </si>
  <si>
    <t>AUB, Nr. 2.5.2 + 2.5.1 + BB I. B. Nr. 14</t>
  </si>
  <si>
    <t>ab dem 8. Tag 
in Höhe des vereinbarten UKHT
max. 12 Wochen</t>
  </si>
  <si>
    <t>BB I. B. Nr. 15</t>
  </si>
  <si>
    <t>100.000 €
3 Jahren oder bis 21. LJ</t>
  </si>
  <si>
    <t>Kosten der Überführung an den Wohnsitz oder Beisetzungskosten im Ausland
AUB 2.8 + BB I. B. Nr.18</t>
  </si>
  <si>
    <t>auf ärztliche Weisung oder
Verletzungbedingt unvermeidbar
AUB 2.8 + BB I. B. Nr.18</t>
  </si>
  <si>
    <t>bis 2.000 €
innerhalb 3 Jahren
(subsidiär)</t>
  </si>
  <si>
    <t>im Rahmen der 
Behinderungsbedingten Kosten
auch Blindenhund (subsidiär)</t>
  </si>
  <si>
    <t>im Rahmen der 
Behinderungsbedingten Kosten
Umschulungsmaßnahmen (subsidiär)</t>
  </si>
  <si>
    <t>BB3 I. C. Nr. 21 + (AUB, Nr. 4.1.1 )</t>
  </si>
  <si>
    <t>nein
allerdings Übemüdung 
(Schlaftrunkenheit) und Einschlafen</t>
  </si>
  <si>
    <t xml:space="preserve">Land- und Wasserfahrzeuge
selbstgebaute Feuerwerkskörper
(Volljährige unter "gestz. Betreuung") </t>
  </si>
  <si>
    <t xml:space="preserve">Land- und Wasserfahrzeuge
(Volljährige unter "gestz. Betreuung") </t>
  </si>
  <si>
    <t>BB3 I. C. Nr. 22 + (AUB, Nr. 4.1.2 )</t>
  </si>
  <si>
    <t>BB3 I. C. Nr. 23 + (AUB, Nr. 4.1.3 )</t>
  </si>
  <si>
    <t xml:space="preserve">auch Kite-Sport </t>
  </si>
  <si>
    <t>BB3 I. C. Nr. 24 + (AUB, Nr. 4.1.4 )</t>
  </si>
  <si>
    <t>BB3 I. C. Nr. 25 + (AUB, Nr. 4.1.5)</t>
  </si>
  <si>
    <t>(AUB, Nr. 4.1.4 )</t>
  </si>
  <si>
    <t>BB 3  I. C Nr. 26 + (AUB, Nr. 4.2.2 + 4.1.6)</t>
  </si>
  <si>
    <t>BB 3 I. C. Nr. 29 + (AUB, Nr. 4.2.6)</t>
  </si>
  <si>
    <t>Schneiden von Nägeln, Hühneraugen 
und Hornhaut</t>
  </si>
  <si>
    <t>Rasieren, Schneiden und Feilen
von Haaren, Nägeln, Hühneraugen 
und Hornhaut</t>
  </si>
  <si>
    <t>BB 3 I. C Nr. 27 + (AUB, Nr. 4.2.3)</t>
  </si>
  <si>
    <t>AUB, Nr. 4.2.4</t>
  </si>
  <si>
    <t>kein Ausschluss 4.2</t>
  </si>
  <si>
    <t>BB 3 I. D. Nr. 30</t>
  </si>
  <si>
    <t>7 Tage ab Kenntnis der Erben 
auch im Bezug auf Unfallursache</t>
  </si>
  <si>
    <t>BB 3  I. D Nr. 32</t>
  </si>
  <si>
    <t>AUB, Nr. 5.2</t>
  </si>
  <si>
    <t>im Rahmen der Todesfallsumme
bei grundsätzlicher Leistungspflicht
oder
50 % der INV (max. 20.000 €)</t>
  </si>
  <si>
    <t>BB 3 I. E. Nr. 34 + (AUB, Nr. 8.3)</t>
  </si>
  <si>
    <t>Neubemessung des Invalididätsgrades bis ….. Jahre nach Unfall</t>
  </si>
  <si>
    <t>AUB, Nr. 8.4</t>
  </si>
  <si>
    <t xml:space="preserve">VR: 3 Jahre
VN: 3 Jahre
Kinder bis Vollendung 14. LJ
5 Jahre </t>
  </si>
  <si>
    <t>VR bietet nur 
Außerkraftsetzung für max 3 Jahre</t>
  </si>
  <si>
    <t>BB 3 I. F. Nr. 35</t>
  </si>
  <si>
    <t>BB 3 I. F. Nr. 36</t>
  </si>
  <si>
    <t>5%  AUB, U 912
UR auf volle 50€
TG auf volle 0,5 €
max bis 70 LJ 
Tarif und AUB, Nr. 6.3.2</t>
  </si>
  <si>
    <t>BB 3 I. G. Nr. 39</t>
  </si>
  <si>
    <t>BB 3 I. G. Nr. 40</t>
  </si>
  <si>
    <t xml:space="preserve">30 € pro Übernachtung
max. 5 </t>
  </si>
  <si>
    <t>nur für VP ab 65 LJ</t>
  </si>
  <si>
    <t>AUB, Nr. 3.2.2 + 3.2.1</t>
  </si>
  <si>
    <t>AUB, Nr. 10.6</t>
  </si>
  <si>
    <t>bis zum Ablauf des Versicherungsjahres, in dem Kind 18. LJ. vollendet
Vertragsabschluss VN vor 45</t>
  </si>
  <si>
    <t>bis zum Ablauf des Versicherungsjahres, in dem Kind 18. LJ. vollendet
Vertragsabschluss VN vor 60</t>
  </si>
  <si>
    <t>BB 2  I. A Nr. 1</t>
  </si>
  <si>
    <t>Gase und Dämpfe
Kein Ausschluß Beruf</t>
  </si>
  <si>
    <t>BB 2  I. A Nr. 2</t>
  </si>
  <si>
    <t>BB 2  I. A Nr. 3</t>
  </si>
  <si>
    <t>BB 2  I. A Nr. 4</t>
  </si>
  <si>
    <t>BB 2  I. A Nr. 5</t>
  </si>
  <si>
    <t>BB 2  I. A Nr. 6</t>
  </si>
  <si>
    <t>50.000 € 
inkl. Therapiekosten
(subsidiär)</t>
  </si>
  <si>
    <t>BB 2  I. A Nr. 7</t>
  </si>
  <si>
    <t>BB 3  I. A Nr. 8 + C. Nr. 23</t>
  </si>
  <si>
    <t>AUB, Nr. 1.4 + BB 2  I. A Nr. 9</t>
  </si>
  <si>
    <t>BB 2 I. A. Nr. 10 + AUB, Nr. 2.1.1.2</t>
  </si>
  <si>
    <t>BB 2  I. A Nr. 10 +
AUB, Nr. 2.1.1.2 +  2.1.1.3</t>
  </si>
  <si>
    <t>45% / (60%)</t>
  </si>
  <si>
    <t>BB 2 I. B. Nr. 13</t>
  </si>
  <si>
    <t>BB 3 I. B. Nr. 13</t>
  </si>
  <si>
    <t>AUB, Nr. 2.3 + BB 2 I. B Nr. 14</t>
  </si>
  <si>
    <t>BB 2 I. B. Nr. 12</t>
  </si>
  <si>
    <t xml:space="preserve">vereinbarte VS
50% der VS bei 3 Monaten zu 100 % AU </t>
  </si>
  <si>
    <t>Übergangsleistungen 
nach 6 Monaten  noch min. 50%  AU / Meldefrist 7 Monate</t>
  </si>
  <si>
    <t>AUB, Nr. 2.5.2 + BB 2 I. B. Nr. 15</t>
  </si>
  <si>
    <t>AUB, Nr. 2.5.2 + BB 3 I. B. Nr. 14</t>
  </si>
  <si>
    <t>BB 3 I. B. Nr. 14</t>
  </si>
  <si>
    <t>BB 2 I. B. Nr. 15</t>
  </si>
  <si>
    <t>BB 3 I. B. Nr. 16</t>
  </si>
  <si>
    <t>BB 2 I. B. Nr. 17</t>
  </si>
  <si>
    <t>doppelte VS-Tod 
max. 50.000 €</t>
  </si>
  <si>
    <t>BB 2 I. B. Nr. 18 + AUB, Nr. 2.7.2</t>
  </si>
  <si>
    <t>500.000 €
3 Jahren oder bis 21. LJ</t>
  </si>
  <si>
    <t>AUB, Nr. 2.7.1 + BB 2 I. B. Nr. 18</t>
  </si>
  <si>
    <t>AUB, Nr. 2.7.1 + BB 3 I. B. Nr. 17</t>
  </si>
  <si>
    <t>AUB, Nr. 2.8 + BB 3 I. B. Nr. 18</t>
  </si>
  <si>
    <t>AUB, Nr. 2.8 + BB 2 I. B. Nr. 19</t>
  </si>
  <si>
    <t xml:space="preserve"> nur Transportkosten 
im Rahmen der Berkungskosten</t>
  </si>
  <si>
    <t>AUB, Nr. 2.8 + BB 2  I. A Nr. 6</t>
  </si>
  <si>
    <r>
      <t xml:space="preserve">im Rahmen der 
Bergungskosten
</t>
    </r>
    <r>
      <rPr>
        <sz val="7"/>
        <color rgb="FF00B050"/>
        <rFont val="Arial"/>
        <family val="2"/>
      </rPr>
      <t>keine weitere Beschrännkung</t>
    </r>
  </si>
  <si>
    <t>im Rahmen der Bergungskosten
auch Unterbringungskosten vor Ort</t>
  </si>
  <si>
    <t>AUB, Nr. 2.8 + BB 2 I. B. Nr. 18</t>
  </si>
  <si>
    <t>auf ärztliche Weisung oder
Verletzungbedingt unvermeidbar
AUB 2.8 + BB 2 I. B. Nr.19</t>
  </si>
  <si>
    <t>Kosten der Überführung an den Wohnsitz oder Beisetzungskosten im Ausland
AUB 2.8 + BB 2 I. B. Nr.19</t>
  </si>
  <si>
    <t xml:space="preserve">500.000 €
innerhalb 3 Jahren </t>
  </si>
  <si>
    <t>BB 3 I. B. Nr. 19</t>
  </si>
  <si>
    <t>BB 2 I. B. Nr. 20</t>
  </si>
  <si>
    <t>BB 2 I. B. Nr. 21</t>
  </si>
  <si>
    <t>BB 3 I. B. Nr. 20</t>
  </si>
  <si>
    <t>bis 6.000 €
innerhalb 3 Jahren
(subsidiär)</t>
  </si>
  <si>
    <t>BB 2 I. C. Nr. 22 + AUB, Nr. 3.2.2 + 3.2.1</t>
  </si>
  <si>
    <t>durch Witterungsbedingungen
Übemüdung 
(Schlaftrunkenheit) und Einschlafen</t>
  </si>
  <si>
    <t>Fahrtveranstaltungen, 
wie Touren-, Stern- und Rallyefahrten (keine Rennen)</t>
  </si>
  <si>
    <r>
      <t xml:space="preserve">Fahrtveranstaltungen, 
</t>
    </r>
    <r>
      <rPr>
        <sz val="7"/>
        <color rgb="FF00B0F0"/>
        <rFont val="Arial"/>
        <family val="2"/>
      </rPr>
      <t>wie Touren-, Stern- und Rallyefahrten (keine Rennen)</t>
    </r>
  </si>
  <si>
    <t>BB 2  I. C Nr. 29 + (AUB, Nr. 4.2.2 + 4.1.6)</t>
  </si>
  <si>
    <t>BB 2 I. C Nr. 30 + (AUB, Nr. 4.2.3)</t>
  </si>
  <si>
    <t>AUB, Nr. 4.2.4.2+ BB, Nr. 7.13.1 b)</t>
  </si>
  <si>
    <t>BB 2 I. D Nr. 31</t>
  </si>
  <si>
    <t>BB 2 I. D Nr. 31 + AUB, Nr. 4.2.4</t>
  </si>
  <si>
    <t>AUB, Nr. 4.2</t>
  </si>
  <si>
    <t>BB 2 I. D Nr. 32 + (AUB, Nr. 4.2.5)</t>
  </si>
  <si>
    <t>BB 3 I. C Nr. 28 + (AUB, Nr. 4.2.5)</t>
  </si>
  <si>
    <t>BB 2 I D Nr. 34 + AUB, Nr. 5.2</t>
  </si>
  <si>
    <t>BB 2 I. F. Nr. 35</t>
  </si>
  <si>
    <t>BB 2  I. F Nr. 37</t>
  </si>
  <si>
    <t>BB 2 I. H. Nr. 41</t>
  </si>
  <si>
    <t>BB 2 I. H. Nr. 40</t>
  </si>
  <si>
    <t>---&gt; Infektionen, die durch nicht geringfügige Unfallverletzungen oder durch Heilmaßnahmen im Zusammenhang mit einem Unfall stattfinden sind versichert</t>
  </si>
  <si>
    <t>Infektionen: Erweiterung Krankheiten
generell mitversichert ohne bestimmte Ursache</t>
  </si>
  <si>
    <t>-
-
-
-
-
-
-
-
-
-
-
-
-
-
-
-
-
-
-
-
-
-
* Tollwut
-
-
-
* Wundstarrkrampf</t>
  </si>
  <si>
    <t>Infektionen: 
Hautverletzungen durch Tiere oder Insetkten
(z.B. Borreliose, Brucellose, Enzephalitis (FSME), Fleckfieber, Gelbfieber, Malaria, Meningitis)</t>
  </si>
  <si>
    <t>Infektionen sonstige Folgen</t>
  </si>
  <si>
    <t>ja
inkl. allergischer Reaktionen</t>
  </si>
  <si>
    <t>Infektionen: 
Besonderheiten</t>
  </si>
  <si>
    <t>Infektionenen: Klausel für Heilberufe
Kein Auschluss für bestimmte Berufe o. berufliche Risiken</t>
  </si>
  <si>
    <t>erweiterte Meldefrist
39 Monate
für Heilberufe, Chemiker und Desinfektoren, Mitglieder der FFW</t>
  </si>
  <si>
    <t>AUB, Nr. 4.2 kein Ausschluss</t>
  </si>
  <si>
    <t>-
-
* Cholera
* Diphtherie
-
* Enchinokokkose (Fuchsbandwurm)
-
-
-
-
* Gürtelrose
* Keuchhusten
* Lepra
-
* Masern
* Mumps
* Pest / * Tularämie (Hasenpest)
* Pfeiffersches Drüsenfieber
* Pocken / Windpocken 
* Röteln
* Scharlach 
* Schlafkrankheit
* spinale Kinderlähmung
* Tollwut
* Tuberkulose
* Typhus / Paratyphus. 
* Wundstarrkrampf</t>
  </si>
  <si>
    <t>* gesetzlich vorgeschrieben oder ärztlich verordnet</t>
  </si>
  <si>
    <t>inkl. 
allergische Reaktionen auf Insektenstiche</t>
  </si>
  <si>
    <t>AUB, Nr. 4.2  BB Heilberufe - Stand 2010-01</t>
  </si>
  <si>
    <t>AUB, Nr. 5.2.4</t>
  </si>
  <si>
    <t>AVB, Nr. 1.4.10</t>
  </si>
  <si>
    <t>stationäre Desensiblisierung 
gilt als unfallbed. KH-Aufentalt</t>
  </si>
  <si>
    <t>inkl. allergische Reaktionen auf Insektenbisse/-stiche</t>
  </si>
  <si>
    <t>Infektionenen: Besonderheiten</t>
  </si>
  <si>
    <t>* Borreliose
* Brucellose
* Cholera
* Diphtherie
* Dreitagefieber 
* Echinokokkose
* Fleckfieber
* Frühsommer-Meningoenzephalitis (FSME) / -
* Gelbfieber
* Gürtelrose
* Keuchhusten
* Lepra
* Malaria
* Masern
* Mumps
* Pest / Tularämie (Hasenpest)
* Pfeiffersches Drüsenfieber
* Pocken / Windpocken
* Röteln
* Scharlach
* Schlafkrankheit
* spinale Kinderlähmung
* Tollwut
*Tuberkulose
* Typhus / Paratyphus
* Wundstarrkrampf</t>
  </si>
  <si>
    <t>-
-
-
-
-
-
-
-
-
-
-
-
-
-
-
-
-
-
-
-
-
-
-
* Tollwut
-
-
* Wundstarrkrampf</t>
  </si>
  <si>
    <t>-
-
* Cholera
* Diphtherie
- 
-
-
-
-
-
* Gürtelrose
* Keuchhusten
* Lepra
-
* Masern
* Mumps
-
* Pfeiffersches Drüsenfieber
* Pocken / Windpocken
* Röteln
* Scharlach
-
* spinale Kinderlähmung
* Tollwut
*Tuberkulose
* Typhus / Paratyphus
* Wundstarrkrampf</t>
  </si>
  <si>
    <t>Infektionen: 
Tollwut und Wundstarrkrampf
sind generell mitversichert ohne bestimmte Ursache 
Erweiterung um Krankheiten</t>
  </si>
  <si>
    <t>2 + 44</t>
  </si>
  <si>
    <t>Infektionen ……..</t>
  </si>
  <si>
    <t>Infektionen: sondtige Folgen</t>
  </si>
  <si>
    <t>50 € pro Übernachtung
max. 10</t>
  </si>
  <si>
    <t>BB 2 I. K. Nr. 48</t>
  </si>
  <si>
    <t>BB 3 I. H. Nr. 41</t>
  </si>
  <si>
    <t>BB 3 I. H. Nr. 42</t>
  </si>
  <si>
    <t>BB 2 I. K. Nr. 52</t>
  </si>
  <si>
    <t>30 € pro ausgefallenem Schultag 
(+ Anpassung auf KHTS)
max 3.000 €</t>
  </si>
  <si>
    <t>BB 2 I. K. Nr. 51</t>
  </si>
  <si>
    <t>Jahresrente max 8.000 pro Jahr
fünfzigfache BJB des Kinder-UV  
bis zur Vollendung 18. LJ</t>
  </si>
  <si>
    <t>Jahresrente max 6.000 pro Jahr
fünfzigfache BJB des Kinder-UV  
bis zur Vollendung 18. LJ</t>
  </si>
  <si>
    <t>im Rahmen der Todesfallsumme
bei grundsätzlicher Leistungspflicht
oder
50 % der INV (max. 1000.000 €)</t>
  </si>
  <si>
    <t>BB 2 I. G. Nr. 39 + (AUB, Nr. 8.3)</t>
  </si>
  <si>
    <t>BB 2 I. K. Nr. 50</t>
  </si>
  <si>
    <t>INV 30.000 € ohne Prog.
Tod 5.000 €
KH 5 €
(auch für Adoptionen bis 14. LJ)
bis zur nächsten HF mind. 3 Monate</t>
  </si>
  <si>
    <t>INV 30.000 € ohne Prog.
-
-
bis zur nächsten HF mind. 3 Monate</t>
  </si>
  <si>
    <t>BB 2 I. H. Nr. 42</t>
  </si>
  <si>
    <t>AUB 2014 +
BB Produktline UV Einfach Besser
Stand 2019-06</t>
  </si>
  <si>
    <t>AUB 2014 +
BB Produktline UV Einfach Komplett
Stand 2019-06</t>
  </si>
  <si>
    <t>BB 2 I. J. Nr. 46</t>
  </si>
  <si>
    <t>BB 2 I. J. Nr. 47</t>
  </si>
  <si>
    <t>GDV - jeweils aktuellen
AKBP - Stand 2011-02</t>
  </si>
  <si>
    <t>kein Ausschluss 4.2 + BB 2 I. K. Nr. 49</t>
  </si>
  <si>
    <t>BB 3 ZB II Nr. 2</t>
  </si>
  <si>
    <t>BB 1  I. A Nr. 2</t>
  </si>
  <si>
    <t>BB 1  I. A Nr. 1</t>
  </si>
  <si>
    <t>BB 1  I. A Nr. 3</t>
  </si>
  <si>
    <t>BB 1  I. A Nr. 4</t>
  </si>
  <si>
    <t>BB 1  I. A Nr. 5</t>
  </si>
  <si>
    <t>BB 1  I. A Nr. 9 + 6</t>
  </si>
  <si>
    <t>AUB, Nr. 2.8 + BB 1  I. A Nr. 9 + 6</t>
  </si>
  <si>
    <t>1000.000 € 
inkl. Therapiekosten
(subsidiär)</t>
  </si>
  <si>
    <t>BB 1  I. A Nr. 10</t>
  </si>
  <si>
    <t>BB 1  I. A Nr. 11 + D Nr. 39</t>
  </si>
  <si>
    <t>AUB, Nr. 1.4 + BB 1  I. A Nr. 14</t>
  </si>
  <si>
    <t>BB 1  I. A Nr. 15</t>
  </si>
  <si>
    <t>BB 1 I. A. Nr. 16 + AUB, Nr. 2.1.1.2</t>
  </si>
  <si>
    <t>BB 1  I. A Nr. 16 +
AUB, Nr. 2.1.1.2 +  2.1.1.3</t>
  </si>
  <si>
    <t>nur Kopfverletzungen 
25% erhöhte Grundsumme
max. 100.000 € Mehrleistung
-
weitere Sportarten siehe Bed.</t>
  </si>
  <si>
    <t>nur Kopfverletzungen 
25% erhöhte Grundsumme
max. 100.000 € Mehrleistung
-</t>
  </si>
  <si>
    <t>nur Kopfverletzungen 
25% erhöhte Grundsumme
max. 100.000 € Mehrleistung
gilt bei Kindern auch für Laufräder</t>
  </si>
  <si>
    <t>BB 1 I. B. Nr. 18</t>
  </si>
  <si>
    <t xml:space="preserve">INKLUSIVE
20 % der INV-Grundsumme 
max. 20.000 €
* Querschnittslähmung
* Amputation min. Fuß oder Hand (ganz)
* Schädel-Hirn-Trauma mind. 2 Grades 
-
*Verbrennung 2. / 3. Grades von min 30%
* Sehbehinh. beide Augen mind. 60%
-
* Brüche 2 langer Röhrenknochen ****
weitere erleichterte Vorraussetzungen
gegenüber einfach Besser 
------------------------------------------------
bei Bau-Kauf Eigenheim für 5 Jahre
extra 30.000 € fallend  </t>
  </si>
  <si>
    <t>INKLUSIVE
10% der VS-INV max. 10.000 €
(spätere Anrechnung auf INV)
* Querschnittslähmung
* Amputation min. Fuß oder Hand (ganz)
* Schädel-Hirn-Trauma mind. 2 Grades
*Verbrennung 2. / 3. Grades von min 30%
* Erblindung/Sehbehinh. beide Augen
*schw.Mehrfachverl./Polytrauma
* Brüche 2 langer Röhrenknochen ****
----------------------------------------
bei Bau-Kauf Eigenheim für 5 Jahre
 30.000 €</t>
  </si>
  <si>
    <t xml:space="preserve">INKLUSIVE
10% der VS-INV max. 10.000 €
(spätere Anrechnung auf INV)
* Querschnittslähmung
* Amputation min. Fuß oder Hand (ganz)
* Schädel-Hirn-Trauma mind. 2 Grades
*Verbrennung 2. / 3. Grades von min 30%
* Erblindung/Sehbehinh. beide Augen
*schw.Mehrfachverl./Polytrauma
* Brüche 2 langer Röhrenknochen ****
</t>
  </si>
  <si>
    <t xml:space="preserve">vereinbarte VS
* Querschnittslähmung
* Amputation min. Fuß oder Hand (ganz)
* Schädel-Hirn-Trauma mind. 2 Grades
*Verbrennung 2. / 3. Grades von min 30%
* Erblindung/Sehbehinh. beide Augen
*schw.Mehrfachverl./Polytrauma
* Brüche 2 langer Röhrenknochen ****
</t>
  </si>
  <si>
    <t xml:space="preserve">INKLUSIVE
5 % der INV-Grundsumme 
max. 10.000 €
* Querschnittslähmung
* Amputation min. Fuß oder Hand (ganz)
* Schädel-Hirn-Trauma mind. 2 Grades 
-
*Verbrennung 2. / 3. Grades von min 30%
* Sehbehinh. beide Augen mind. 60%
-
* Brüche 2 langer Röhrenknochen ****
</t>
  </si>
  <si>
    <t xml:space="preserve">INKLUSIVE
3 % der INV-Grundsumme 
max. 5.000 €
* Querschnittslähmung
* Amputation min. Fuß oder Hand (ganz)
* Schädel-Hirn-Trauma mind. 2 Grades 
-
*Verbrennung 2. / 3. Grades von min 30%
* Sehbehinh. beide Augen mind. 60%
-
* Brüche 2 langer Röhrenknochen ****
</t>
  </si>
  <si>
    <t xml:space="preserve">INKLUSIVE
20.000 €
bis 50.000 € Eigenheimbesitzer
* Querschnittslähmung
* Amputation min. Fuß oder Hand (ganz)
* Schädel-Hirn-Trauma mind. 2 Grades 
oder Hinblutung (nach Prellung)
*Verbrennung 2. / 3. Grades von min 20%
* Erblindung/Sehbehinh. beide Augen
*schw.Mehrfachverl./Polytrauma
* Brüche 2 langer Röhrenknochen ****
</t>
  </si>
  <si>
    <t>BB 1 I. B. Nr. 17 + 19</t>
  </si>
  <si>
    <t>BB 1 I. B. Nr. 20</t>
  </si>
  <si>
    <t>AUB, Nr. 2.3 + BB 1 I. B Nr. 21</t>
  </si>
  <si>
    <t>AUB, Nr. 2.5.2 + BB 1 I. B. Nr. 22</t>
  </si>
  <si>
    <t>BB 1 I. B. Nr. 22</t>
  </si>
  <si>
    <t>7 Tagessätze
auch bei Leisten- Nabel- o. Bauchbruch 
ohne OP</t>
  </si>
  <si>
    <t>ja
sowie bei ambulanten Rehamaßnahmen 
pauschal 13 € pro Behandlungstag</t>
  </si>
  <si>
    <t>BB 1 I. B. Nr. 23</t>
  </si>
  <si>
    <t>in Höhe des vereinbarten UKHT
mind. 30 € pro Tag, max. 3 Jahre</t>
  </si>
  <si>
    <t>ab Pflegegrad 2
30 € pro Tag, 
innerhalb 3 Jahre ab Unfall</t>
  </si>
  <si>
    <t>BB 1 I. B. Nr. 24</t>
  </si>
  <si>
    <t>BB 1 I. B. Nr. 25</t>
  </si>
  <si>
    <t>doppelte VS-Tod 
max. 500.000 €
wenn Kind &lt; 18 Jahre</t>
  </si>
  <si>
    <t>BB 1 I. B. Nr. 26 + AUB, Nr. 2.7.2</t>
  </si>
  <si>
    <t>AUB, Nr. 2.8 + BB 1 I. B. Nr. 27</t>
  </si>
  <si>
    <t>im Rahmen der  Bergungskosten
(Taxi 100 € ÜN bis 5) auch für mVP</t>
  </si>
  <si>
    <r>
      <t xml:space="preserve">im Rahmen der  Bergungskosten
</t>
    </r>
    <r>
      <rPr>
        <sz val="7"/>
        <color rgb="FF00B050"/>
        <rFont val="Arial"/>
        <family val="2"/>
      </rPr>
      <t>keine weitere Beschrännkung
sowie weitere pauschale Leistungen</t>
    </r>
  </si>
  <si>
    <r>
      <t xml:space="preserve">im Rahmen der Bergungskosten
</t>
    </r>
    <r>
      <rPr>
        <sz val="7"/>
        <color rgb="FF00B050"/>
        <rFont val="Arial"/>
        <family val="2"/>
      </rPr>
      <t>keine weitere Beschrännkung</t>
    </r>
  </si>
  <si>
    <t xml:space="preserve">unbegrenzt
innerhalb 3 Jahren </t>
  </si>
  <si>
    <t>BB 1 I. B Nr. 28</t>
  </si>
  <si>
    <t xml:space="preserve">100.000 € 
innerhalb 3 Jahren </t>
  </si>
  <si>
    <t>Kurkostenbeihilfe 
für nach gewiesene selbst zu tragende Kosten 
oder pauschale Tagessätze</t>
  </si>
  <si>
    <t>BB 1 I. B Nr. 29</t>
  </si>
  <si>
    <t>bis 30.000 €
innerhalb 4 Jahren
(subsidiär)</t>
  </si>
  <si>
    <t>1.500 € sowie im Rahmen der 
Behinderungsbedingten Kosten
auch Blindenhund (subsidiär)</t>
  </si>
  <si>
    <t>BB 1 I. B Nr. 29 + 30</t>
  </si>
  <si>
    <t>unbegrenzt
3 Jahren oder bis 21. LJ</t>
  </si>
  <si>
    <t>AUB, Nr. 2.7.1 + BB 1 I. B. Nr. 26</t>
  </si>
  <si>
    <t xml:space="preserve">Besonderheiten Teil II
Obliegenheiten / Vertragsgestalltung </t>
  </si>
  <si>
    <t>Besonderheiten Teil I
Deckungserweieterungen</t>
  </si>
  <si>
    <t>* Vorläufige Deckungszusage
ab Antragseingang bei VR in HV
max 2 Monate
Vorraussetzung:
max 2 Schäden in 3 Jahren
keine erheblichen Krankheiten
keine gefährlichen Berufe (AR)
*Tarifanpassungsklausel</t>
  </si>
  <si>
    <t>AUB, Nr. 18
AUB, Nr. 2.9</t>
  </si>
  <si>
    <t>* Versehensklausel
vertraglicher Obliegenheiten
bei leichter Fahrlässigkeit</t>
  </si>
  <si>
    <t>BB, Nr. 9.4</t>
  </si>
  <si>
    <t xml:space="preserve">!!!!!  Im Rahmen der VS-KOP / BK !!!!!
* Heilbehandlung im Ausland 
Aufenthalten bis 42 Tage 
bis 5.000 €
* Reparatur von Gliedmaßenprothesen bis 2.500 € (subsidär)
* Soforthilfe für Opfer bei Geiselnahme oder Raubüberfall  1 % der INV 
max. 3.000 €
* telefonische Psychologische Hilfe
für max 4 Pers. pro Schaden
* 10 Sitzungen für psychologische Betreuung
* Mitversicherung von beschädigten Sportgeräten  nach
Unfall mit mind. 3 Tagen KH-Aufenthalt
zum Zeitwert: 1. Jahr: 90%; 2. Jahr: 70%; 3. Jahr:60%; 4.Jahr:40%; 5.Jahr:20%
ab 50 €, max. 5.000 € 
'Vorsorge bei erstmaligen 
Bau o. Erwerb von Wohneigentum
40.00 € Sofortleidtung bei SV
max 3 Jahre </t>
  </si>
  <si>
    <t>BB, Nr. 3.7
BB, Nr. 3.10
BB, Nr. 3.12
BB, Nr. 3.16
BB, Nr. 3.17
BB, Nr. 3.20
BB, Nr. 5.3</t>
  </si>
  <si>
    <t>* Heilmittel - Physio und Osteo
bis 500 € inkl. Eigenanteilübernahme
(subsidär)
abschließende Aufzählung
* Vorsorge Bauhlfer (max 4) 
private Bauvorhaben nur auf Bausetlle 
INV 50.00 € o. Prog.
Tod 10.000€</t>
  </si>
  <si>
    <t>AVB, Nr. 2.17
AVB, Nr. 2.18</t>
  </si>
  <si>
    <t>* Heilmittel - Physio und Osteo
bis 500 € inkl. Eigenanteilübernahme
(subsidär)
abschließende Aufzählung
* Vorsorge Bauhlfer (max 4) 
private Bauvorhaben nur auf Bausetlle 
INV 50.00 € o. Prog.
Tod 10.000€
gegen Zuschlag 
Baustein "Krebs-Soforthilfe"
5.000 € bei Diagnose 
6 Tumorerkrankungen
10.000 € KOP bei
plas. Brust-OP</t>
  </si>
  <si>
    <t>AVB, Nr. 2.17
AVB, Nr. 2.18
ZB Exkl. Nr. 5.2</t>
  </si>
  <si>
    <t>ZB Exkl. Nr. 4.3</t>
  </si>
  <si>
    <t>BB 1 I. C. Nr. 33 + AUB, Nr. 3.2.2 + 3.2.1</t>
  </si>
  <si>
    <t>BB 1 I. D. Nr. 34 + (AUB, Nr. 4.1.1 )</t>
  </si>
  <si>
    <t>BB 1 I. D. Nr. 35+36  + (AUB, Nr. 4.1.2 )</t>
  </si>
  <si>
    <t>BB 1 I. D. Nr. 37 + (AUB, Nr. 4.1.3 )</t>
  </si>
  <si>
    <t xml:space="preserve">bis 28 Tage
bei unmöglicher Ausrause 
auch darüber hinaus </t>
  </si>
  <si>
    <t>BB 1 I. D. Nr. 38 + (AUB, Nr. 4.1.4 )</t>
  </si>
  <si>
    <t>ja, solange nicht Besatzung
z.B. auch Personal der Verkehrsüberwachung</t>
  </si>
  <si>
    <t>BB 1 I. D. Nr. 39 + (AUB, Nr. 4.1.5)</t>
  </si>
  <si>
    <t>BB 2 I. D. Nr. 28 + (AUB, Nr. 4.1.5)</t>
  </si>
  <si>
    <t>BB 2 I. D. Nr. 27 + (AUB, Nr. 4.1.4 )</t>
  </si>
  <si>
    <t>BB2 I. D. Nr. 24+25 + (AUB, Nr. 4.1.2 )</t>
  </si>
  <si>
    <t>BB 2  I. A Nr. 8 + D. Nr. 26</t>
  </si>
  <si>
    <t>BB 2 I. D. Nr. 26 + (AUB, Nr. 4.1.3 )</t>
  </si>
  <si>
    <t>BB2 I. D. Nr. 23 + (AUB, Nr. 4.1.1 )</t>
  </si>
  <si>
    <t>BB 1 I. C Nr. 40 + AUB, Nr. 4.2.1</t>
  </si>
  <si>
    <t>BB 1 I. D Nr. 42 + (AUB, Nr. 4.2.3)</t>
  </si>
  <si>
    <t>BB 1 I. D Nr. 43 + AUB, Nr. 4.2.4</t>
  </si>
  <si>
    <t>BB 1 I. D Nr. 43</t>
  </si>
  <si>
    <t>ja
inkl. sonstiger Folgen 
auf Insektenbisse/-stiche
(z.B.  allergische Reaktionen)</t>
  </si>
  <si>
    <t>BB 1 I. D Nr. 44</t>
  </si>
  <si>
    <t>BB 1 I. D Nr. 45 + (AUB, Nr. 4.2.5)</t>
  </si>
  <si>
    <t>ja
inkl. Nahrungsmittelallergie</t>
  </si>
  <si>
    <t>BB 2 I. D. Nr. 33 + (AUB, Nr. 4.2.6)</t>
  </si>
  <si>
    <t>BB 1 I. D. Nr. 46 + (AUB, Nr. 4.2.6)</t>
  </si>
  <si>
    <t>BB 1 I. E Nr. 47 + AUB, Nr. 5.2</t>
  </si>
  <si>
    <t>BB 1 I. F. Nr. 48</t>
  </si>
  <si>
    <t>BB 1 I. F. Nr. 50</t>
  </si>
  <si>
    <t>im Rahmen der Todesfallsumme
bei grundsätzlicher Leistungspflicht
oder
100 % der INV</t>
  </si>
  <si>
    <t>BB 1 I. G. Nr. 52 + (AUB, Nr. 8.3)</t>
  </si>
  <si>
    <t>BB 1 I. G. Nr. 53 + (AUB, Nr. 8.4)</t>
  </si>
  <si>
    <t>VR: 2 Jahre
VN: 5 Jahre</t>
  </si>
  <si>
    <r>
      <t>Sofern eine zeitliche Deckungslücke vom Ablauf des bisherigen Vertrags</t>
    </r>
    <r>
      <rPr>
        <sz val="7"/>
        <color rgb="FF00B050"/>
        <rFont val="Arial"/>
        <family val="2"/>
      </rPr>
      <t xml:space="preserve"> (24.00 Uhr bzw. 0.00 Uhr) und des Beginns
dieses Vertrags (12.00 Uhr mittags) </t>
    </r>
    <r>
      <rPr>
        <sz val="7"/>
        <rFont val="Arial"/>
        <family val="2"/>
      </rPr>
      <t>besteht, gewähren wir für diesen Zeitraum den in dem Versicherungsschein dokumentierten
Versicherungsschutz.
BB 1 I. H. Nr. 54</t>
    </r>
  </si>
  <si>
    <t>max 3 Jahre</t>
  </si>
  <si>
    <t>BB 1 I. H. Nr. 55</t>
  </si>
  <si>
    <t>BB 1 I. H. Nr. 56</t>
  </si>
  <si>
    <t>BB 1 I. H. Nr. 58</t>
  </si>
  <si>
    <t>INV 100.000 € ohne Prog.
Tod 10.000 €
KH 20 €
(auch für Adoptionen bis 14. LJ)
bis zur nächsten HF mind. 3 Monate</t>
  </si>
  <si>
    <t>BB 1 I. H. Nr. 59</t>
  </si>
  <si>
    <t>BB 1 I. K. Nr. 69</t>
  </si>
  <si>
    <t>INV 100.000 € ohne Prog.
Tod 10.000 €
KH 20 €
(auch für Adoptionen bis 18. LJ)
ab Schwangerschaft Vorsorge</t>
  </si>
  <si>
    <t>50%  
mitversicherte Kinder und Partner
bis Vollend. 21 LJ des jüngsten Kindes</t>
  </si>
  <si>
    <t>BB 1 I. I. Nr. 61</t>
  </si>
  <si>
    <t>bis zum Ablauf des Versicherungsjahres, in dem Kind 21. LJ. vollendet
(Vertragsabschluss VN vor 45)</t>
  </si>
  <si>
    <t>BB 1 I. I. Nr. 61 zu AUB, Nr. 10.6</t>
  </si>
  <si>
    <t>BB 1  I. D Nr. 41 + (AUB, Nr. 4.2.2 + 4.1.6)</t>
  </si>
  <si>
    <t>BB 1 I. K. Nr. 71</t>
  </si>
  <si>
    <t>60 € pro Übernachtung</t>
  </si>
  <si>
    <t>ja
auch im Mund-/Rachenraum durch verschlucken bis Vollendung 18 LJ.</t>
  </si>
  <si>
    <t>kein Ausschluss 4.2 + BB 1 I. K. Nr. 68</t>
  </si>
  <si>
    <t>BB 2 I. J. Nr. 66</t>
  </si>
  <si>
    <t>BB 2 I. J. Nr. 65</t>
  </si>
  <si>
    <t>keine Anrechnung
ab 65. LJ Senioren-Tarif  70%</t>
  </si>
  <si>
    <t>* Versehensklausel Obliegenheiten 
im Leistungsfall
* Seniorentarif 
mit Integralfranchise 25 %
möglich (Nachlass 19 bis 70%)
'Gliedertaxe "Premium Plus" 
hinterlegt im Vergleich 
Wählbar alternativ sind
Gliedertaxe " Komfort" o. "Standart"</t>
  </si>
  <si>
    <t>BB 1 I. F. Nr. 51
BB 1 II. ZB Nr. 1
Traif S. 6</t>
  </si>
  <si>
    <t>81
ab 65 Tarif Senioren</t>
  </si>
  <si>
    <t>Tarif S. 3 + BB 3 ZB II Nr. 1</t>
  </si>
  <si>
    <t>Tarif S. 3 + BB 1 ZB II Nr. 1</t>
  </si>
  <si>
    <t>30 € auch je ZW
(mtl. 5 € Brutto bei SEPA)
Tarif S, 4</t>
  </si>
  <si>
    <t>3%
5%
7% nur SEPA möglich
Tarif S, 4</t>
  </si>
  <si>
    <t>10 % 
besondere Anforderungen an VS für weitere personen</t>
  </si>
  <si>
    <t>-
-
5% Papierlos
5 bzw. 10% Bündel
Tarif S. 4</t>
  </si>
  <si>
    <t>7% auf Komplett-Tarif
nichat auf Bausteine wie Reha, Hilfe, etc 
5% Papierlos
5 bzw. 10% Bündel
Tarif S. 4</t>
  </si>
  <si>
    <t>45% auf Komplett-Tarif
nichat auf Bausteine wie Reha, Hilfe, etc 
5% Papierlos
5 bzw. 10% Bündel
Tarif S. 4</t>
  </si>
  <si>
    <t>3 % oder 5%
UR auf volle 1 €
TG auf volle 1 €
max. bis 65 LJ.
BB 3 I. F. Nr. 37 + Tarif S. 4</t>
  </si>
  <si>
    <t>Tarifrechner / Antrag</t>
  </si>
  <si>
    <t>über Baustein "Schmerzensgeld"
definierter Katalog mit %-Werten
max 10.000 €
nicht für Seniorentarif möglich
entfällt mit 65 automatisch</t>
  </si>
  <si>
    <t>Klausel 3 + Tarif</t>
  </si>
  <si>
    <t>AUB; Ziff. 2.1.2.2.1 + Klausel 1.3 Premium</t>
  </si>
  <si>
    <t>AUB; Nr. 2.1.2.2.1 + Klausel 1.1 Standard</t>
  </si>
  <si>
    <t>AUB, Nr. 2.1.2.2.1 + Klausel 1.2 Komfort</t>
  </si>
  <si>
    <t>20% / (90%)</t>
  </si>
  <si>
    <t>20% 
20%  bis vollendeten 13. LJ</t>
  </si>
  <si>
    <t>Klausel 2 Progression + Tarif</t>
  </si>
  <si>
    <t>BB 5. Reha-Management</t>
  </si>
  <si>
    <t>gegegn Zuschlag
bis 10.000 €
subsidär</t>
  </si>
  <si>
    <t>max 6 Monate</t>
  </si>
  <si>
    <t>BB 6. Hilfe-Paket</t>
  </si>
  <si>
    <t xml:space="preserve">nur über optinale Bausteine
Schutzbrief "Hilfe-Paket" bzw. ReHa </t>
  </si>
  <si>
    <t>BB 5.+6</t>
  </si>
  <si>
    <t>Tod
Erwachsene / Kinder</t>
  </si>
  <si>
    <t>Krankenhaustagegeld mit Gennesungsgeld (Tagessatz)
Erwachsene / Kinder</t>
  </si>
  <si>
    <t xml:space="preserve">75 € / 30 € </t>
  </si>
  <si>
    <t>20.000 € / 10.000 €
(max 10% der INV)</t>
  </si>
  <si>
    <t>unbegrenzt</t>
  </si>
  <si>
    <t>• Artisten, Akrobaten 
und Tiertrainer/Tierbändiger
• Berufs-/Profisportler, 
die durch den Sport ihren Lebensunterhalt bestreiten und ihn zeitgemäß wie einen Beruf ausüben
• Berufstaucher und Tauchlehrer
* Rennreiter, Skilehrer
* Schausteller
• Spreng-, Such- und Räumungspersonal für Munition und andere explosive Stoffe
-
• Rennfahrer,Testfahrer
• Stuntmen
•  Untertagetätige, Bergleute, Erzaufbereiter
-
-
* Spezialeinheiten bei der Polizei (SEK, MEK, GSG)
* Offshore-Personal
* Schiffsbesatzungen
-
Berufsgruppenkatalog 
mit über 20.000 Einträgen
keine generelle Aussage möglich
Tarifrechner Vokis
+ Anhang S 35 der AVB</t>
  </si>
  <si>
    <t xml:space="preserve">• Artisten, Akrobaten 
-
• Berufs-, Vertrags- 
und Lizenzsportler
-
-
• Berufstaucher
-
-
• Spreng-, Such- und Räumungspersonal für Munition und andere explosive Stoffe
• Feuerwerker / Pyrotechniker
-
-
• Bergleute
-
-
• Flugzeugbesatzungen / Drachenflieger
-
* Berufssoldaten und Kriegsteilnehmer 
und Angestellte der Bundeswehr
* Personal v. Ölplattformen
* Schiffsbesatzungen
• Abrissarbeiter/-Helfer
* Bewachungspersonal  Personenschutz
Tarifbuch
</t>
  </si>
  <si>
    <t>* Geiselnahme oder Raubüberfall
mit Körperverletzung gelten als Unfall
pauschal 3.000 €
* Reparaturkostenbeteiligung für
vorhandene Prothesen
2.500 € (max Alter 3 Jahre)
*Heilbehandlungskosten im Ausland
max 5.000 € auf Reisen bis zu 45 Tagen
*Pysische und nervöse Störungen
aufgrund Unfall, Geiselnahme, Versterben einer VP oder Angehöriger 1 Gardes 
10 Sitzungen
*Kinder - logopädische Therapie
wegen psychischer Störung
max. 1.500 €
* gegen Zuschlag Baustein 
"Krebsgeld"
für definierte Diagnosen 
max. 10.000 €
Brustkrebs 10.000 € OP und 5.000 € Kos.
nicht im Seniorentarif</t>
  </si>
  <si>
    <t>BB 1 I. B. Nr.13
BB 1 I. B. Nr.31
BB 1 I. B. Nr.32
BB 1 I. D. Nr. 46 + (AUB, Nr. 4.2.6)
BB 1 I. K. Nr. 72
Klausel Krebsgeld + Tarif</t>
  </si>
  <si>
    <t xml:space="preserve">* Versehensklausel Obliegenheiten 
im Leistungsfall
* Seniorentarif 
mit Integralfranchise 25 %
möglich (Nachlass 19 bis 70%)
</t>
  </si>
  <si>
    <t>BB 3 I. B. Nr. 11
BB 3 II. ZB. Nr.1</t>
  </si>
  <si>
    <t>BB 2 I. B. Nr. 11
BB 2 II. ZB. Nr.1</t>
  </si>
  <si>
    <t>Leistungen nur für 
Inavalidität undTodesfall</t>
  </si>
  <si>
    <t>Tarif + AUB, Nr. 17</t>
  </si>
  <si>
    <t xml:space="preserve">800.000 €
Leistungen über mehrere Verträge 
max Leistung 1,750 Mio € </t>
  </si>
  <si>
    <t>Senkung Mitwirkung
* Autismus
* Alzheimer oder Demenzerkrankungen 
in andren Formen
* Alkoholismus; Drogenabhängige
* Bluter
* Down Syndrom/Trisomie   
* Diabetes mellitus
* Depressionen (aktuell in Therapie und Medikamenteneinnahme)
* geistig behinderte Personen
* Glasknochenkrankheit
* HIV/Aids
* Multiple Sklerose
* Osteoporose
* Paget-Syndrom/Morbus Paget
* Parkinsonsche Krankheit
* Polyneuropathie
BB, Nr. 6.3.2</t>
  </si>
  <si>
    <t>aktuell
(geprüft am 2021-02-16)</t>
  </si>
  <si>
    <t>Tarif S. 8 + BB, Nr. 8.2</t>
  </si>
  <si>
    <t>Tarif S. 8 + BB, Nr. 5.2</t>
  </si>
  <si>
    <t>Bestehen / bestanden Erkrankungen oder Gebrechen, die in den letzten 5 Jahren zu einer stationären Krankenhausbehandlung, oder zu einer ambulanten Operation geführt haben?</t>
  </si>
  <si>
    <t>Gesundheitsfragen 
wenn vorhanden</t>
  </si>
  <si>
    <t>Bestehen / bestanden Erkrankungen oder Gebrechen, die in den letzten 12 Monaten zu einer regelmäßigen Medikamenteneinnahme geführt haben? (Unter regelmäßig verstehen wir: Täglich oder in bestimmten Intervallen wiederkehrend für die Dauer von mindestens 2 Monaten)</t>
  </si>
  <si>
    <t>Stationär</t>
  </si>
  <si>
    <t>Ambulant / medikamente</t>
  </si>
  <si>
    <t>Gebrechen dauerhaft</t>
  </si>
  <si>
    <t>Bestehen / bestanden Erkrankungen oder Gebrechen, die zu einem Grad der Behinderung geführt haben?</t>
  </si>
  <si>
    <t>Vovertragliche Schäden</t>
  </si>
  <si>
    <t>Bestand / besteht in den letzten 5 Jahren eine gleichartige Versicherung?*
Sind in den letzten 5 Jahren Unfallschäden gemeldet worden?</t>
  </si>
  <si>
    <t xml:space="preserve">nein
aber vorvertragliche Schäden
(5 Jahre)  </t>
  </si>
  <si>
    <t>Antrag + Tarif</t>
  </si>
  <si>
    <t>* Tierärzte 
* Frührentner
tel. Frau Mihlan 2021-02-16</t>
  </si>
  <si>
    <t>INV           :   225  /  350  /  500
bis 25       :    1x    /    1x   /    1x
25 bis 50  :    2x    /    3x   /    3x
50 bis 75  :    3x    /    5x   /    8x
75 bis 100:    3x    /    5x   /    8x
sowie jeweils eine Plus-Staffel (..)</t>
  </si>
  <si>
    <t xml:space="preserve">INV           :   225  /  350  /  500
bis 25       :    1x    /    1x   /    1x
25 bis 50  :    2x    /    3x   /    3x
50 bis 75  :    3x    /    5x   /    8x
75 bis 100:    3x    /    5x   /    8x
</t>
  </si>
  <si>
    <t xml:space="preserve">INV           :   225  /  350  /  500
bis 25       :    1x    /    1x   /    1x
25 bis 50  :    2x    /    3x   /    4x
50 bis 75  :    3x    /    5x   /    6x
75 bis 100:    3x    /    5x   /    9x
</t>
  </si>
  <si>
    <t xml:space="preserve">INV           :   ------- /  350  /  500
bis 25       :    ----    /    1x   /    1x
25 bis 50  :    ----    /    3x   /    4x
50 bis 75  :    ----    /    5x   /    6x
75 bis 100:    ----    /    5x   /    9x
</t>
  </si>
  <si>
    <t xml:space="preserve">INV           :   225  /  350  /  500
bis 25       :    1x    /    1x   /    1x
25 bis 75  :    1x    /    1x   /    1x
75 bis 90  :    2x    /   11x  /  15x
90 bis 100:   12x   /   11x  /  20x
</t>
  </si>
  <si>
    <t xml:space="preserve">INV           :   225  /  350  /  500
bis 25       :    1x    /    1x   /    1x
25 bis 50  :    2x    /    3x   /    5x
50 bis 75  :    3x    /    5x   /    7x
75 bis 100:    3x    /    5x   /    7x
</t>
  </si>
  <si>
    <t xml:space="preserve">Eigenbewegungen
Verletzungen an Gliedmaßen o. Wirbelsäule (keine Bandscheibe)
– ein Gelenk verrenkt wird oder
– Muskeln, Sehnen, Bänder, Kapsel gezerrt oder zerrissen werden. </t>
  </si>
  <si>
    <t xml:space="preserve">Eehöhte Kraftansträngung
Verletzungen an Gliedmaßen o. Wirbelsäule (keine Bandscheibe)
– ein Gelenk verrenkt wird oder
– Muskeln, Sehnen, Bänder, Kapsel gezerrt oder zerrissen werden. </t>
  </si>
  <si>
    <t>ja*
(nur benannte inkl. Covid 19 und von Tieren übertragenen Infektionsarten)</t>
  </si>
  <si>
    <t>BB, Nr. 4.6.1 + VR Mitteilung 2021-03</t>
  </si>
  <si>
    <t>BB, Nr. 7.13.1 + VR Mitteilung 2021-03</t>
  </si>
  <si>
    <t>1.00.000 €
5 Jahren oder bis 25. LJ
(Krankheit: Brustkrebs 
10.000 € OP und 5.000 € Kos.)</t>
  </si>
  <si>
    <t xml:space="preserve">INV           :   225  /  350  /  500
bis 25       :    1x    /    1x   /    1x
26 bis 50  :    2x    /    3x   /    3x
51 bis 75  :    3x    /    5x   /    8x
76 bis 100:    3x    /    5x   /    8x
</t>
  </si>
  <si>
    <t>INV            : 225  /  350  /  500 / 1000
     bis 25   :   1x  /     1x  /    1x  /     1x
26 bis 50  :    2x  /     3x  /    5x  /     5x
26 bis 75  :    3x  /     5x  /    7x  /   17x
76 bis 100:    3x  /     5x  /    7x  /   17x
sowie jeweils eine Plus-Staffel</t>
  </si>
  <si>
    <t>INV            : 225  /  350  /  500 / 1000
                  :   20  /    20  /    20  /    20
                  :   55  /    70  /  100  /  100
                  :   75  /  100  /  150  /  150
                  : 105  /  150  /  220  /  320
                  : 165  /  250  /  360  /  660
                  : 195  /  300  /  430  /  830
Baustein "Progession Plus"
ab 51% InV-Grad erhöter Faktor ab 75% INV-Grad volle 100% Progression</t>
  </si>
  <si>
    <t xml:space="preserve">INV           :     225 /  350  /  500
                 :       20  /    20  /    20
                 :       55  /    70  /  100
                 :       75  /  100  /  150
                 :     105  /  150  /  220
                 :     165  /  250  /  360
                 :     195  /  300  /  430
</t>
  </si>
  <si>
    <t xml:space="preserve">Leistungsgarde inkl. Progression für Inv-Grad von …
                                          * 20%
                                          * 40% 
                                          * 50%
                                          * 60%
                                          * 80%
                                          * 90%
</t>
  </si>
  <si>
    <t xml:space="preserve">INV           :     225 /  350  /  500
                 :       20  /    20  /    20
                 :       55  /    70  /    70
                 :       75  /  100  /  100
                 :     105 /  150  /  180
                 :     165 /  250  /  340
                 :     195 /  300  /  420
</t>
  </si>
  <si>
    <t>INV           :     225 /  350  /  500
                 :       20  /    20  /    20
                 :       55  /    70  /    70
                 :       75  /  100  /  100
                 :     105 /  150  /  180
                 :     165 /  250  /  340
                 :     195 /  300  /  420
Baustein "Progession Plus"
ab 51% INV-Grad erhöter Faktor ab 75% INV-Grad volle 100% Progression</t>
  </si>
  <si>
    <t>INV            : 225  /  350  /  500 / 1000
                  :   20  /    20  /    20  /    20
                  :   55  /    70  /  100  /  100
                  :   75  /  100  /  150  /  150
                  : 105  /  150  /  220  /  320
                  : 165  /  250  /  360  /  660
                  : 195  /  300  /  430  /  830
Baustein "Progession Plus"
ab 51% INV-Grad erhöter Faktor ab 75% INV-Grad volle 100% Progression</t>
  </si>
  <si>
    <t xml:space="preserve">INV           :     225 /  350  /  500
                 :       20  /    20  /    20
                 :       55  /    70  /    85
                 :       75  /  100  /  125
                 :     105  /  150  /  185
                 :     165  /  250  /  320
                 :     195  /  300  /  410
</t>
  </si>
  <si>
    <t xml:space="preserve">INV           :   ------- /  350  /  500
                 :    ----    /    20  /    20
                 :    ----    /    70  /    85
                 :    ----    /  100  /  125
                 :    ----    /  150  /  185
                 :    ----    /  250  /  320
                 :    ----    /  300  /  410
</t>
  </si>
  <si>
    <t xml:space="preserve">INV           :   225  /  350  /  500
bis 25       :    1x    /    1x   /    1x
26 bis 50  :    2x    /    3x   /    3x
51 bis 75  :    3x    /    5x   /    7x
76 bis 100:    3x    /    5x   /    7x
</t>
  </si>
  <si>
    <t xml:space="preserve">INV           :     225 /  350  /  500
                 :       20  /    20  /    20
                 :       40  /    40  /    40
                 :       50  /    50  /    50
                 :       60  /    60  /    60
                 :       85 /  130  /  150
                 :     105 /  240  /  300
</t>
  </si>
  <si>
    <t>alle natürlichen Zähne
Keine Materialkosten für Zahnersatz</t>
  </si>
  <si>
    <t xml:space="preserve">medizinisch notwendig
Beschädigung oder Verlust von natürlichen  Eck und Schneidezähnen in der Regel nach Vorleistung bzw. Anrechnung gesetzl. o. privater Vers. </t>
  </si>
  <si>
    <t>alle natürlichen Zähne sowie vorheriger Zahnersatz / keine Zahnprothesen</t>
  </si>
  <si>
    <t>alle natürlichen Zähne</t>
  </si>
  <si>
    <t>alle natürlichen Zähne 
vorheriger Zahnersatz gilt als Hilsmittel</t>
  </si>
  <si>
    <t>im Rahmen der KOP
Zahnersatz- und -behandlungskosten
für Eck-und Schneidezähne (subsidär)</t>
  </si>
  <si>
    <t>Bergungskosten (subsidär)</t>
  </si>
  <si>
    <t xml:space="preserve">Such-Bergung-Rettung öffent o. privat
Transport KH oder Spezialklinik </t>
  </si>
  <si>
    <t>15 € 
max 1.000 €</t>
  </si>
  <si>
    <t>30 € (+ Anpassung auf KHTS)
max 3.000 €</t>
  </si>
  <si>
    <t>Nachhilfegeld / Schulausfallgeld
(Tagessatz pro ausgefallenem Schultag)</t>
  </si>
  <si>
    <t xml:space="preserve">20 € pro Schultag, max. 20 Tage und
ab 21.Tag 30 € pro Tag, max. 3.000 €
Vorrausetzung mind. 10 € UKHTG/GG </t>
  </si>
  <si>
    <t>BB, Nr. 2.9.8.1 + 2.9.8.3</t>
  </si>
  <si>
    <t>20 € pro Schultag, max. 20 Tage
Vorrausetzung mind. 10 € UKHTG/GG
-------------------------
50 € pro Tag  max. 30 Tage
Voraussetzung 14 KH-Aufenthalt</t>
  </si>
  <si>
    <t>Nachhilfegeld / Schulausfallgeld</t>
  </si>
  <si>
    <t>41+43</t>
  </si>
  <si>
    <t>max. mtl. Rentenhöhe (Erwachsene / Kinder)</t>
  </si>
  <si>
    <t>AUB, Nr. 2.1.3.2 + Tarif
Telefonat 2021-02-10 Herr Vaupel 
nur Premium nach Protect 2007</t>
  </si>
  <si>
    <t>AUB, Nr. 2.1.3.2 + tarif
Telefonat 2021-02-10 Herr Vaupel 
nur Premium nach Protect 2007</t>
  </si>
  <si>
    <t>ab 50 %
wahlweise auch Progressionsrente
ab 40% INV 75% Rente
ab 55% INV 100% Rente
ab 75% INV 150% Rente 
ab 90% INV 200% Rente</t>
  </si>
  <si>
    <t>AURB Nr. 2.1.2.1
Police</t>
  </si>
  <si>
    <t>3.000 €
wahlweise auch Progressionsrente
2.000 € (1.500 € unter 18 LJ)</t>
  </si>
  <si>
    <t>ab einem Invaliditätsgrad von ……. 
Lebenslang monatl. gezahlt</t>
  </si>
  <si>
    <t>50 %
Leinstung nach Unfallrente AURB 2007</t>
  </si>
  <si>
    <t>Rentenhöhe (max. versicherbar für Erwachsene / Kinder)</t>
  </si>
  <si>
    <t>AUB, Nr.2.5.2</t>
  </si>
  <si>
    <t>KT S.1  + LÜ</t>
  </si>
  <si>
    <t>Versicherungssummen 
(max. versicherbar für Erwachsene / Kinder)
grundsätzlich max 100% der INV</t>
  </si>
  <si>
    <t>AUB, Nr. 2.6 + BB, Nr. 2.5.1</t>
  </si>
  <si>
    <t>250.000 € / 25.000 €</t>
  </si>
  <si>
    <t>600.000 € / 10.000 € (ab 70.LJ 100.000)</t>
  </si>
  <si>
    <t>erweitert auf …. ,wenn kein Leistungsanspruch 
auf Invalidität bestand</t>
  </si>
  <si>
    <t>Deckungserweiterung Besonderheit</t>
  </si>
  <si>
    <t>bis 6.000 € 
genereller Verzicht auf Auschluss Bewusstseinsstörung</t>
  </si>
  <si>
    <t>bis 20.000 € 
Verzicht auf Geistets- und Bewusstseinsstörungen</t>
  </si>
  <si>
    <t>AUB, Nr. 2.6 + BB, Nr. 2.5.5</t>
  </si>
  <si>
    <t>600.000 € / 10.000 €
(100.000 € ab 70. Lebensjahr)</t>
  </si>
  <si>
    <t xml:space="preserve">500.000 € / 30.000 €
(oder 150-fache der UR) </t>
  </si>
  <si>
    <t>Wiedereinschlüsse</t>
  </si>
  <si>
    <t>Telefonische Serviceleistungen
Vermittlung von Hilfs und Serviceleistungen ohne Kostenübernahme</t>
  </si>
  <si>
    <t>Unfälle als Folge von Bewußtseinsstörungen durch
Schlaganfall oder Herzinfarkt</t>
  </si>
  <si>
    <t>Gesundheitschädigungen
durch Explosions-, Schall- o. sonstige Druckwellen
auch allmähliche Einwirkung</t>
  </si>
  <si>
    <t>Gesundheitschädigungen
durch Flüssigkeits-, Nahrungs-, Sauerstoffentzug</t>
  </si>
  <si>
    <t>Vergiftungen
Gesundheitsschädigungen durch Gase, Dämpfe und Stäube
(plötzlich ausströmend) - Keine Berufskrankheiten</t>
  </si>
  <si>
    <t>Gesundheitschädigungen
durch mechanische, chemische o elektrische Einwirkung 
auch allmähliche Einwirkung</t>
  </si>
  <si>
    <t>Mitwirkung von Vorerkrankungen 
Mitwirkungsanteil: Kürzung der Kapitalleistungen ab einem Anteil von …….</t>
  </si>
  <si>
    <t>Mitwirkung von Vorerkrankungen 
Mitwirkungsanteil: Kürzung des Invadliditätsgrades ab einem Anteil von …….</t>
  </si>
  <si>
    <t xml:space="preserve">Rooming-In Leistungen  (beitragsfrei)
(pro Übernachtung) </t>
  </si>
  <si>
    <t>Arm oberhalb Ellenbogen(-gelenks)</t>
  </si>
  <si>
    <t>Beitragsfreie Weiterführung bei Tod des VN 
 für versicherte Kinder</t>
  </si>
  <si>
    <t>Aktualität des Bedingungswerks</t>
  </si>
  <si>
    <t>Bedingungswerk, Tarif und Klauseln</t>
  </si>
  <si>
    <t>keine</t>
  </si>
  <si>
    <t>Interlloyd Protect UR</t>
  </si>
  <si>
    <t>Interllyod Protect UR</t>
  </si>
  <si>
    <t>AUB 2013  + BB Premium Plus
Stand 12-2012</t>
  </si>
  <si>
    <t>AUB 2013  + BB Premium Plus
+ BB Heilberufe 2010-01
Stand 12-2012</t>
  </si>
  <si>
    <t>ja, (max. Einwirkung: 7 Tage)
auch Einatmung 
sonstiger schädlicher Stoffe</t>
  </si>
  <si>
    <t>inkl.
Einspritzen durch Auge, Mund, o. Nase
(Anhauchen, Anniesen oder Anhusten
gilt nur für Diphtherie) abw. Regelung Tierärte und Chemiker, Desinfektoren</t>
  </si>
  <si>
    <t>Leistungsart Invalidität - Fortsetzung</t>
  </si>
  <si>
    <t>---&gt; Infektionen - Fortsetzung</t>
  </si>
  <si>
    <t>Erweiteter Unfallbegriff - Fortsetzung</t>
  </si>
  <si>
    <t>Gliedertaxe - Fortsetzung</t>
  </si>
  <si>
    <t>Besonderheiten Teil I
Deckungserweiterungen</t>
  </si>
  <si>
    <t xml:space="preserve">VR: 3 Jahre
VN: 3 Jahre
Kinder bis Vollendung 14. LJ 5 Jahre </t>
  </si>
  <si>
    <t>3%
5%
8% (nur im LSV möglich 6/2021)
ab Tarif 06.2021 wegfall bei LSV</t>
  </si>
  <si>
    <t>AVB, Nr. 10.5
Tarif: ab Pflegegrad 3 nicht versicherbar</t>
  </si>
  <si>
    <t>AVB Klassik Garant 2021
Stand 2021-06-01 (wie 2021-01)</t>
  </si>
  <si>
    <t>AVB Klassik Garant 2021
+ ZB Exkl.
Stand 2021-06-01 (wie 2021-01)</t>
  </si>
  <si>
    <t>AVB Klassik Garant 2021
+ ZB Exkl. + ZB HB
Stand 2021-06-01 (wie 2021-01)</t>
  </si>
  <si>
    <t>aktuell
(geprüft am 2021-07-19)</t>
  </si>
  <si>
    <t>AVB Smart 2021
Stand 2021-06-01 (wie 2021-01)</t>
  </si>
  <si>
    <t>99% Keine Anrechnung
Gebrechen finde keine Anrechnung beim Mitwirkungsanteil - keine Leistungen für die Folgen von mitw. Krankenheiten und Gebrechen</t>
  </si>
  <si>
    <t>50% / (100%)</t>
  </si>
  <si>
    <t>10% / (70%)</t>
  </si>
  <si>
    <t>65% (65%)</t>
  </si>
  <si>
    <t>40% (40%)</t>
  </si>
  <si>
    <t>B2-1.2.2.1</t>
  </si>
  <si>
    <t>GDV - Stand 2020-12
AKBP - Stand 2015-09</t>
  </si>
  <si>
    <t>A11-1 | A11-2</t>
  </si>
  <si>
    <t>A11-3</t>
  </si>
  <si>
    <t>A1-4</t>
  </si>
  <si>
    <t>B1-4.1</t>
  </si>
  <si>
    <t>B1-4.2</t>
  </si>
  <si>
    <t>B1-4.3.1</t>
  </si>
  <si>
    <t>B1-4.3.2</t>
  </si>
  <si>
    <t>B1-4.4 | B1-4.5</t>
  </si>
  <si>
    <t>B1-4.6</t>
  </si>
  <si>
    <t>B1-4.7</t>
  </si>
  <si>
    <t>B1-4.8</t>
  </si>
  <si>
    <t>B1-4.16</t>
  </si>
  <si>
    <t>B1-4.10</t>
  </si>
  <si>
    <t>B1-4.12</t>
  </si>
  <si>
    <t>B1-4.13</t>
  </si>
  <si>
    <t>B1-4.14</t>
  </si>
  <si>
    <t>B1-4.15</t>
  </si>
  <si>
    <t>B1-4.18.1 | B1-4.9</t>
  </si>
  <si>
    <t>B1-4.18.1</t>
  </si>
  <si>
    <t>B1-4.18.2</t>
  </si>
  <si>
    <t>B1-4.19</t>
  </si>
  <si>
    <t>B2-1.1.2</t>
  </si>
  <si>
    <t>B2-1.3</t>
  </si>
  <si>
    <t>B2-1.4.2</t>
  </si>
  <si>
    <t>B2-1.4.1</t>
  </si>
  <si>
    <t>B2-2.1</t>
  </si>
  <si>
    <t>B2-2.2.1</t>
  </si>
  <si>
    <t>B2-4.2</t>
  </si>
  <si>
    <t>mind. 7 Tage
max. 1.825 Tage</t>
  </si>
  <si>
    <t>B2-5.2</t>
  </si>
  <si>
    <t>B2-5.3</t>
  </si>
  <si>
    <t>B2-5.4</t>
  </si>
  <si>
    <t>B2-5.5</t>
  </si>
  <si>
    <t>B2-6.1</t>
  </si>
  <si>
    <t>B2-6.4</t>
  </si>
  <si>
    <t>B2-7</t>
  </si>
  <si>
    <t>B2-9</t>
  </si>
  <si>
    <t>B2-5.2 | B2-5.4</t>
  </si>
  <si>
    <t>B2-5.1</t>
  </si>
  <si>
    <t>B2-12.2</t>
  </si>
  <si>
    <t>B2-12.3</t>
  </si>
  <si>
    <t>B2-12.3.2</t>
  </si>
  <si>
    <t>B2-12.5</t>
  </si>
  <si>
    <t>B2-12.7</t>
  </si>
  <si>
    <t>B3-2.1</t>
  </si>
  <si>
    <t>B3-2.2</t>
  </si>
  <si>
    <t>individuell auf Wunsch bei Leistungspflicht dem Grunde nach</t>
  </si>
  <si>
    <t>B8-3</t>
  </si>
  <si>
    <t>B5-1</t>
  </si>
  <si>
    <t>B5-3</t>
  </si>
  <si>
    <t>max 12 Monate
(Karrenzeit 6 Wochen
Wartezeit 6 Monate)</t>
  </si>
  <si>
    <t>B5-4</t>
  </si>
  <si>
    <t>B5-2</t>
  </si>
  <si>
    <t>B2-12.6</t>
  </si>
  <si>
    <t xml:space="preserve">VR: 3 Jahre
VN: 3 Jahre
Kinder bis Vollendung 18. LJ 5 Jahre </t>
  </si>
  <si>
    <t>B8-4</t>
  </si>
  <si>
    <t>bis 100 € pro Tag max. 14 Tage
auch Krankenbesuche
Vorraussetzung mind. 7 Tage KH</t>
  </si>
  <si>
    <t>B2-12.4 d)</t>
  </si>
  <si>
    <t>B1-4.11</t>
  </si>
  <si>
    <t>B1-4.4</t>
  </si>
  <si>
    <t>B1-4.5</t>
  </si>
  <si>
    <t>ja
auch ärztlich verordnete Medikamente</t>
  </si>
  <si>
    <t>Unfälle als Folge von Bewußtseinsstörungen 
durch Alkohol</t>
  </si>
  <si>
    <t>B1-4.9</t>
  </si>
  <si>
    <t>ja 
sowie gelegentliche Fahrten in einer öffentlich zugänglichen Gokartbahn in Europa und Fahrsicherheitstrainings</t>
  </si>
  <si>
    <t>B4-1.17</t>
  </si>
  <si>
    <t>B4-1.16</t>
  </si>
  <si>
    <t>B1-4.18</t>
  </si>
  <si>
    <t>B1-4.17.1</t>
  </si>
  <si>
    <t>B1-4.17.2</t>
  </si>
  <si>
    <t>Infektionen: 
Tollwut und Wundstarrkrampf sind generell mitversichert ohne bestimmte Ursache 
Erweiterung um Krankheiten</t>
  </si>
  <si>
    <t>B2-1.1.2 | 2-1.1.3</t>
  </si>
  <si>
    <t>Krankenhaustagegeld: 
Leistung in Sanatorien oder gemischten Instituten</t>
  </si>
  <si>
    <t>Krankenhaustagegeld: 
Doppelte Leistung im Ausland und Leistungsdauer</t>
  </si>
  <si>
    <t>8 Wochen</t>
  </si>
  <si>
    <t>B2-10.2</t>
  </si>
  <si>
    <t>für Kinder bis 15 LJ
Kinderbetreuung 24h 
bis 100 € pro Tag max 14 Tgae
Kinderfahrdienst
bis 100 € pro Tag max 14 Tage
Vorraussetzung mind. 7 Tage KH</t>
  </si>
  <si>
    <t>B5-2.1</t>
  </si>
  <si>
    <t>B5-2.2</t>
  </si>
  <si>
    <t>A10 | allg. TB Ziff. 4</t>
  </si>
  <si>
    <t xml:space="preserve">800.000 €
Leistungen über mehrere Verträge bei ARAG und ITL max Leistung 1,750 Mio € </t>
  </si>
  <si>
    <t>B2-1.2.1</t>
  </si>
  <si>
    <t>aktuell
(geprüft am 2023-02-17)</t>
  </si>
  <si>
    <t>AUB 2019 Gold
Stand 2019-04
VIB - Stand 2022-10</t>
  </si>
  <si>
    <t>AUB 2019 Gold 100
Stand 2019-04
VIB - Stand 2022-10</t>
  </si>
  <si>
    <t>AUB 2019 Silber
Stand 2019-04
VIB - Stand 2022-10</t>
  </si>
  <si>
    <t>Baloise Gold</t>
  </si>
  <si>
    <t>Baloise Gold 100</t>
  </si>
  <si>
    <t>Baloise Silber</t>
  </si>
  <si>
    <t>ITL Protect Plus</t>
  </si>
  <si>
    <t xml:space="preserve">ITL Eurosecure Plus </t>
  </si>
  <si>
    <t>max pro person 1.750.000 € bei mehreren Verträgen
ITL und ARAG zusammen
A 10</t>
  </si>
  <si>
    <t>Tarif 2022-05 Nr. 8</t>
  </si>
  <si>
    <t>74
(Tarif mit altersdynamischer Anpassung der Prämie 18/55/67/75)</t>
  </si>
  <si>
    <t>Tarif 2022-05 Nr. 6</t>
  </si>
  <si>
    <t>ja 
(max. Einwirkung: 7 Tage.)</t>
  </si>
  <si>
    <t>ja
(nicht berühren)</t>
  </si>
  <si>
    <t>inkl. 
allergische Reaktionen</t>
  </si>
  <si>
    <t>Siehe Infektionskrankheiten
inkl. allergische Reaktionen auf Insektenstiche/-bisse und Spinnen</t>
  </si>
  <si>
    <t>ja
auch Betäubungsmittel z.B. K.O-Tropfen</t>
  </si>
  <si>
    <t>Luftfahrt / Luftsportrisiko: 
versichert als Flugast (nicht als Fahrzeugführer bzw.Luftsportgeräteführer)</t>
  </si>
  <si>
    <t>B1-4.8 + 1-4.17.1+3</t>
  </si>
  <si>
    <t>5% / (60%)</t>
  </si>
  <si>
    <t>B2-1.3 + Hilfstabellen</t>
  </si>
  <si>
    <t>B2-3.1 + 2.3.2</t>
  </si>
  <si>
    <t xml:space="preserve">vereinbarte VS
* Querschnittslähmung
* Amputation min. Fuß oder Hand (ganz)
* Schädel-Hirn-Trauma mind. 2 Grades
* Verbrennung 2./3. Grades 
von min 30%
* Erblindung/Sehbehinh. beide Augen
*schw.Mehrfachverl./Polytrauma
* Brüche 2 langer Röhrenknochen ****
</t>
  </si>
  <si>
    <t xml:space="preserve">7 Tagessätze
(auch GG)
3 Tagesätze Knochenbruchversorgung </t>
  </si>
  <si>
    <t>730 Tage
(auch bei Tod während KH-Aufenthalt)</t>
  </si>
  <si>
    <t>Tarif 2022 Nr. 4</t>
  </si>
  <si>
    <t>B2-8</t>
  </si>
  <si>
    <t xml:space="preserve">vereinbarte VS
* Querschnittslähmung
* Amputation min. Fuß oder Hand (ganz)
* Schädel-Hirn-Trauma mind. 2 Grades
* Verbrennung ab 2.Grades 
von min 20%
* Augenverletzung 
mind. 60% beider Augen
mind. 95% eines Auges
oder Linsenverlust
*schw.Mehrfachverl./Polytrauma
* Brüche 2 langer Röhrenknochen ****
____________
gilt nicht für Übergangsleistung
nur für SLS bei Einfache Verletzungen:
* Oberschenkelhalsfraktur: 30% VS
* einfacher Knochenbruch 5% VS
* Bänderriss: 5% VS
</t>
  </si>
  <si>
    <t>Zusatzleistungen beitragsfrei (in der Regel Subsidär)</t>
  </si>
  <si>
    <t>alle natürlichen Zähne
(nach GOÄ/GOZ)</t>
  </si>
  <si>
    <t>im Rahmen der VS-KOP
max. 25.000 €</t>
  </si>
  <si>
    <t>B2-10.3.1 + 2.10.1</t>
  </si>
  <si>
    <t>B2-10.3.2 +  2.10.1</t>
  </si>
  <si>
    <t>B2-10.2 + 2.10.1</t>
  </si>
  <si>
    <t>B2-10.3.4 +  2.10.1</t>
  </si>
  <si>
    <t>max .10.000 €
bei vorraussichtlichem INV-Grad &gt;25%
oder Verletzung nach Übergangsleistung</t>
  </si>
  <si>
    <t>B2-11</t>
  </si>
  <si>
    <t>im Rhmen des ReHa-Menagement</t>
  </si>
  <si>
    <t>75%  bis 67 LJ
50%* bis 75 LJ
25%  ab 75 LJ
* ab LJ 67 bei Bluterkrankheit, 
Multiple Sklerose, Parkinson, Glasknochenkrankheit gilt 25%</t>
  </si>
  <si>
    <t>Tarif 2022-05 Nr. 6 / B4-1 + 4-2</t>
  </si>
  <si>
    <t>nachträglich rückwirkende Prämienanpassung
bei Berufsunfällen nicht versicherbarer
Berufe Kürzung der VS auf 10%</t>
  </si>
  <si>
    <t>B4-3.4 + 4-3.3</t>
  </si>
  <si>
    <t>INV 50.000 € ohne Prog.
Tod 10.000 €
(auch für Adoptionen Pflegekinder und Kinder des LP bis 18. LJ)
Dauer: bis Ablauf übernächstes VJ</t>
  </si>
  <si>
    <t>INV 50.000 € ohne Prog.
Tod 10.000 €
Dauer: bis Ablauf übernächstes VJ</t>
  </si>
  <si>
    <t>nein
bis 67 LJ bei Vers.-Beginn</t>
  </si>
  <si>
    <t>ja
sowie Armfraktur allgemein</t>
  </si>
  <si>
    <t>bis 14 Jahre
(nicht nur versehentlich)</t>
  </si>
  <si>
    <t>B6-1</t>
  </si>
  <si>
    <t xml:space="preserve">* Übernahme der angemessenen Arztkosten für Leistungsnachweise </t>
  </si>
  <si>
    <t>B8-1</t>
  </si>
  <si>
    <t>B6-6</t>
  </si>
  <si>
    <t>Sonnenstich und Hitzschlag
(Sonnenbrand 
nur Im Rahmen Strahlenunfall)</t>
  </si>
  <si>
    <t>(Sonnenbrand 
nur Im Rahmen Strahlenunfall)</t>
  </si>
  <si>
    <t>B1-4.6 + B1-4.16</t>
  </si>
  <si>
    <t>* ausgeschlossen Kernenergie (allgemein)
* mitversichert Röntgen-, Laser-, und Maserstrahlen sowie künstlich erzeuhte ultraviolette Strahlen (z.B. Interlloyd2013) 2022 auch natürlich</t>
  </si>
  <si>
    <t>ja
ausgeschl. Berufs- u. GewerbeKrankheit
u. regelmäßiger Umgang mit Apparaten</t>
  </si>
  <si>
    <t>bis 18 Jahre
(nicht nur versehentlich)</t>
  </si>
  <si>
    <t>B1-4.3.2 + B1-4.8</t>
  </si>
  <si>
    <t>B1-4.3.2 + B1-4.9</t>
  </si>
  <si>
    <t>auch Übemüdung, Schlaftrunkenheit, Schlafwandel und Erschrecken
sowie hitzbedingte Reaktionen</t>
  </si>
  <si>
    <t>nein nur Übemüdung, Schlaftrunkenheit, Schlafwandel und Erschrecken</t>
  </si>
  <si>
    <t>auch Übemüdung Schlafwandel / Ohnmacht 
sowie durch Witterungsbedingungen</t>
  </si>
  <si>
    <t xml:space="preserve">Land- und Wasserfahrzeuge
selbstgebaute Feuerwerkskörper
(auch Volljährige unter "gestz. Betreuung") </t>
  </si>
  <si>
    <t>endet 14 Tage nach Ausbruch</t>
  </si>
  <si>
    <t>auch andere Berufsgruppen
Nicht aber als Besatzungmitglied</t>
  </si>
  <si>
    <t>* Borreliose
* Brucellose
-
-
* Dreitagefieber
-
* Fleckfieber
* Frühsommer-Meningoenzephalitis (FSME) / Menginitis / Encephalitis
* Gelbfieber
-
-
-
* Malaria
-
-
* Pest / -
-
-
-
-
-
-
* Tollwut
-
-
* Wundstarrkrampf</t>
  </si>
  <si>
    <t>* Borreliose
* Brucellose
* Cholera
* Diphtherie
* Dreitagefieber 
* Echinokokkose (Fuchsbandwurm)
* Fleckfieber
* Frühsommer-Meningoenzephalitis (FSME) / * Meningitis / Encephalitis
* Gelbfieber
* Gürtelrose (Herpes Zoster)
* Keuchhusten (Pertussis)
* Lepra
* Malaria
* Masern
* Mumps
* Pest / Tularämie (Hasenpest)
* Pfeiffersches Drüsenfieber
* Pocken / Windpocken
* Röteln
* Scharlach
* Schlafkrankheit
* spinale Kinderlähmung (Polio)
* Tollwut
* Tuberkulose
* Typhus / Paratyphus
* Wundstarrkrampf</t>
  </si>
  <si>
    <r>
      <t xml:space="preserve">ja
</t>
    </r>
    <r>
      <rPr>
        <sz val="7"/>
        <color rgb="FF00B050"/>
        <rFont val="Arial"/>
        <family val="2"/>
      </rPr>
      <t>alle empfohlenen Schutzimpfungen</t>
    </r>
  </si>
  <si>
    <t>45% / (90%)</t>
  </si>
  <si>
    <t>gilt nur für Kinder bis max 18 Jahre
bei Kopfverletzungen
25% erhöhte Grundsumme
max. 75.000 € Mehrleistung</t>
  </si>
  <si>
    <t>gilt nur für Kinder bis max 18 Jahre
bei Kopfverletzungen
25% erhöhte Grundsumme
max. 75.000 € Mehrleistung
sowie weitere Sportarten</t>
  </si>
  <si>
    <t>gilt nur für Kinder bis max 18 Jahre
50% erhöhte Grundsumme
max. 150.000 € Mehrleistung</t>
  </si>
  <si>
    <t>2 Jahre
(auch im 1. Jahr bei Invalidität)</t>
  </si>
  <si>
    <t>B2-6.3</t>
  </si>
  <si>
    <t>doppelte VS für Tod Kind
wenn Kind &lt; 18 Jahre
max 5.000 € zusätzlich</t>
  </si>
  <si>
    <t>B2-12.2 + 2.12.1</t>
  </si>
  <si>
    <t>B2-12.3.6 +  2.12.1</t>
  </si>
  <si>
    <t>Nur für verletzte VP nach stat. Aufenth.
im Rahmen der  Bergungskosten
* Bahn 1. Klasse | Linienflug Economy
* Taxi 100 € 
* 3 Übernachtungen a 75 €</t>
  </si>
  <si>
    <t xml:space="preserve">
im Rahmen der  Bergungskosten
* Bahn 1. Klasse | Linienflug Economy
* Taxi 100 € 
* 3 Übernachtungen a 75 €</t>
  </si>
  <si>
    <t>B2-12.4 a-c)</t>
  </si>
  <si>
    <t>im Rahmen unfallbedingter Kosten
50.000 €
3 Jahren oder bis 23. LJ</t>
  </si>
  <si>
    <t>im Rahmen unfallbedingter Kosten
25.000 €
3 Jahren oder bis 23. LJ</t>
  </si>
  <si>
    <t xml:space="preserve">im Rahmen unfallbedingter Kosten
innerhalb von 5 Jahren oder bis 25 LJ
(ReHa-Manager + 50% Einschränkung) </t>
  </si>
  <si>
    <t>im Rahmen unfallbedingter Kosten
innerhalb 3 Jahren 
(ReHa-Manager + 50% Einschränkung)
max. 5.000 €
(mind. 3 Wochen Zusammenhängend)</t>
  </si>
  <si>
    <t>Kurkostenbeihilfe 
für nachgewiesene selbst zu tragende Kosten 
oder pauschale Tagessätze</t>
  </si>
  <si>
    <t>max .20.000 €
bei vorraussichtlichem INV-Grad &gt;25%
oder Verletzung nach Übergangsleistung</t>
  </si>
  <si>
    <t>B2-13</t>
  </si>
  <si>
    <t>B2-13-9</t>
  </si>
  <si>
    <t>keine Anrechnung*  bis 67 LJ
50% bis 75 LJ
25%  ab 75 LJ
*19 bis 67 LJ bei Bluterkrankheit, 
Multiple Sklerose, Parkinson, Glasknochenkrankheit gilt 75%</t>
  </si>
  <si>
    <t>Im Rahmen der unfallbedingten Kosten
für Nachhilfestunden
bis 100 € pro Tag max. 14 Tage
Vorraussetzung mind. 7 Tage KH</t>
  </si>
  <si>
    <t>bis zum Ablauf des VJ, in dem Kind 21. LJ. vollendet
(Vertragsabschluss VN vor 45)</t>
  </si>
  <si>
    <t>max 2 Jahre o. bis zum Ablauf des VJ, 
in dem MVP 60. LJ vollendet
(auch VN/LG nach SGB Pflegesufe 2)
bei Vertragsbeginn max 60LJ</t>
  </si>
  <si>
    <t>bis zum Ablauf des VJ, 
in dem Kind 18. Lj. Vollendet
(auch VN/LG SGB Pflegesufe 2)
bei Vertragsbeginn max 60LJ</t>
  </si>
  <si>
    <t>50%  
bis zum Ablauf des VJ, 
in dem Kind 18. Lj. Vollendet und
max 2 Jahre o. bis zum Ablauf des VJ, 
in dem MVP 60. LJ vollendet</t>
  </si>
  <si>
    <t xml:space="preserve">Erstattung auf Antrag
max. für 12 Monate nach der AL </t>
  </si>
  <si>
    <t>ja, im erweiterten Unfallbegriff
auch ohne PAUKE
bei Personen bis 67. LJ</t>
  </si>
  <si>
    <t>alle natürlichen Zähne
sowie vorheriger Zahnersatz
(nach GOÄ/GOZ)</t>
  </si>
  <si>
    <t>im Rahmen unfallbedingter Kosten
75.000 €
3 Jahren oder bis 23. LJ</t>
  </si>
  <si>
    <t>B2-15-9</t>
  </si>
  <si>
    <t>max .30.000 €
bei vorraussichtlichem INV-Grad &gt;25%
oder Verletzung nach Übergangsleistung</t>
  </si>
  <si>
    <t>B2-15</t>
  </si>
  <si>
    <t>im Rahmen des ReHa-Menagement</t>
  </si>
  <si>
    <t xml:space="preserve">doppelte VS für Tod Kind
wenn Kind &lt; 18 Jahre
</t>
  </si>
  <si>
    <t>aktuell
(geprüft am 2023-05-22)</t>
  </si>
  <si>
    <t>AUB 2022 + AVBU Infinitus
Stand 2022-05</t>
  </si>
  <si>
    <t>AUB 2022 + AVBU Protect Plus
Stand 2022-05</t>
  </si>
  <si>
    <t>AUB 2022 + AVBU Eurosecure Plus
Stand 2022-05</t>
  </si>
  <si>
    <t>Tarif S.19</t>
  </si>
  <si>
    <t>zwischen 39 und 139 €
in 3 Absicherungsformnen 
auch ohne Hauptvertrag versicherbar</t>
  </si>
  <si>
    <t>50%  
bis zum Ablauf des VJ, 
in dem Kind 21. Lj. Vollendet und
max 2 Jahre o. bis zum Ablauf des VJ, 
in dem MVP 60. LJ vollendet</t>
  </si>
  <si>
    <t>bis zum Ablauf des VJ, 
in dem Kind 21. Lj. Vollendet
(auch VN/LG SGB Pflegesufe 2)
bei Vertragsbeginn max 60LJ</t>
  </si>
  <si>
    <t>B2-14</t>
  </si>
  <si>
    <t>B8-1
B2-1.2.2.4 a+b
B2-10
B2-11
B2-12-6
B2-12-8</t>
  </si>
  <si>
    <t>B8-1
B2-1.2.2.4 a+b
B2-10
B2-11
B2-12-6
B2-12-8
B2-13 a)
B2-13 b)</t>
  </si>
  <si>
    <t xml:space="preserve">Besserstellungsgarantie
Vorvertrag mind 3 Jahre vorhanden
max Lücke 3 Monate
ACHTUNG viele Einschränkungen
z.B. Gliedertaxe
</t>
  </si>
  <si>
    <t xml:space="preserve">
-
'aktives SFR-System
10% Nachlass ohne Schaden
bzw.
20% Zuschlag
bei 2 oder mehr Schäden
in den letzten 5 Jahren</t>
  </si>
  <si>
    <t>B9</t>
  </si>
  <si>
    <t>Besitzstandsgarantie für 5 Jahre
Vorvertrag mind. 3 Jahre vorhanden
Keine Lücke im Übergang
ACHTUNG gilt nur für 
- Definition des Erweitereten Unfallbegriff
- beitragsfreie Leistung max 25.000 € 
 und nicht gegen Zuschlag möglich</t>
  </si>
  <si>
    <t>100 €
(max 1/1000 der INV)</t>
  </si>
  <si>
    <t>Dread Disease</t>
  </si>
  <si>
    <t xml:space="preserve">INKLUSIVE
Schmerzensgeld 200 €
auch bei Bänderriss
</t>
  </si>
  <si>
    <t xml:space="preserve">INKLUSIVE
Schmerzensgeld 300 €
auch bei Bänderriss
Meldefrist 1 Monat
</t>
  </si>
  <si>
    <t xml:space="preserve">INKLUSIVE
Schmerzensgeld 200 €
auch bei Bänderriss
Meldefrist 1 Monat
</t>
  </si>
  <si>
    <t xml:space="preserve">
Schmerzensgeld 300 €
auch bei Bänderriss
Meldefrist 1 Monat
</t>
  </si>
  <si>
    <t>* Übernahme der angemessenen Arztkosten für Leistungsnachweise
* Gliedertaxe
gleichzeitige Schädigung 
beider Augen oder Ohren
Zuschlag 50% bei gleicher Schädigung
oder 100% auf das weniger geschädigte
* Kap.-Sofort-Leistung 
bei best. Krebserkrankungen
10% der VS-INV max. 5.000 € 
sowie max 5.000 € für plast- bzw. Kosme. Brust-OP 
!!!Im Rahmen unfallbedingter kosten!!!!! 
* Reparatur von Gliedmaßenprothesen 
bis 2.500 € (subsidär)
*sonstige Kosten bis 1.000 €
* telefonische Psychologische Hilfe
für max 4 Pers. pro Schaden
* 10 Sitzungen für psychologische Betreuung
gegen Zuschlag
* Kap.-Sofort-Leistung Dread Disease
 bei best. Organ- o. Krebserkrankungen
vereinbarte VS (nicht Tarif K möglich)
Wartezeit 6 Monate</t>
  </si>
  <si>
    <t>* Übernahme der angemessenen Arztkosten für Leistungsnachweise
* Gliedertaxe
gleichzeitige Schädigung 
beider Augen oder Ohren 
Zuschlag 50% bei gleicher Schädigung oder 100% auf das weniger geschädigte
* Kap.-Sofort-Leistung 
bei best. Krebserkrankungen
10% der VS-INV max. 5.000 € 
sowie max 5.000 € für plast- bzw. Kosme. Brust-OP 
!!!Im Rahmen unfallbedingter kosten!!!!! 
* Reparatur von Gliedmaßenprothesen bis 2.500 € (subsidär)
*sonstige Kosten bis 500 €
gegen Zuschlag
* Kap.-Sofort-Leistung Dread Disease
 bei best. Organ- o. Krebserkrankungen
vereinbarte VS (nicht Tarif K möglich)
Wartezeit 6 Monate</t>
  </si>
  <si>
    <t>VP ist weiter versicherbar
Kündigungsoption VN
ab Feststllung max 3 Jahre zurück
Pfegegrad 2</t>
  </si>
  <si>
    <t>X%
AUB A2-6</t>
  </si>
  <si>
    <t xml:space="preserve">AUB kein Ausschluß </t>
  </si>
  <si>
    <t>Kein Ausschluß</t>
  </si>
  <si>
    <t>nach Bed.B1-4.18.1nein / LÜ - ja</t>
  </si>
  <si>
    <t>Kein Ausschluss</t>
  </si>
  <si>
    <t>ITL Infinitus</t>
  </si>
  <si>
    <t>ITL Infinitus HB</t>
  </si>
  <si>
    <t>B2-1.2.2.1 + ZB HB 2</t>
  </si>
  <si>
    <t>50% / (90%)</t>
  </si>
  <si>
    <t>Anfragepflichtig</t>
  </si>
  <si>
    <t>Tarif 2022-05</t>
  </si>
  <si>
    <t>ACHTUNG Leistungsumfang
nochmals nach Berufsgruppen differenziert z.B. Chemiker Viternäre</t>
  </si>
  <si>
    <t>ZB HB 1</t>
  </si>
  <si>
    <t>hirnorganische Erkrankung 
z.B.Posttraumatische Belastung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</si>
</sst>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0\ &quot;€&quot;;[Red]\-#,##0\ &quot;€&quot;"/>
    <numFmt numFmtId="164" formatCode="#,##0.00\ &quot;€&quot;"/>
    <numFmt numFmtId="165" formatCode="#,##0\ [$€-1];[Red]\-#,##0\ [$€-1]"/>
    <numFmt numFmtId="166" formatCode="#,##0\ &quot;€&quot;"/>
  </numFmts>
  <fonts count="21">
    <font>
      <sz val="10"/>
      <name val="Arial"/>
    </font>
    <font>
      <sz val="8"/>
      <name val="Arial"/>
      <family val="2"/>
    </font>
    <font>
      <b/>
      <sz val="10"/>
      <name val="Arial"/>
      <family val="2"/>
    </font>
    <font>
      <sz val="8"/>
      <name val="Arial"/>
      <family val="2"/>
    </font>
    <font>
      <b/>
      <sz val="8"/>
      <color indexed="9"/>
      <name val="Arial"/>
      <family val="2"/>
    </font>
    <font>
      <b/>
      <sz val="8"/>
      <name val="Arial"/>
      <family val="2"/>
    </font>
    <font>
      <b/>
      <sz val="7"/>
      <name val="Arial"/>
      <family val="2"/>
    </font>
    <font>
      <sz val="7"/>
      <name val="Arial"/>
      <family val="2"/>
    </font>
    <font>
      <b/>
      <sz val="7"/>
      <color indexed="9"/>
      <name val="Arial"/>
      <family val="2"/>
    </font>
    <font>
      <sz val="10"/>
      <name val="Arial"/>
      <family val="2"/>
    </font>
    <font>
      <sz val="7"/>
      <color rgb="FFFFC000"/>
      <name val="Arial"/>
      <family val="2"/>
    </font>
    <font>
      <sz val="7"/>
      <color rgb="FFFF0000"/>
      <name val="Arial"/>
      <family val="2"/>
    </font>
    <font>
      <b/>
      <sz val="9"/>
      <color theme="0"/>
      <name val="Arial"/>
      <family val="2"/>
    </font>
    <font>
      <sz val="9"/>
      <name val="Arial"/>
      <family val="2"/>
    </font>
    <font>
      <sz val="9"/>
      <color theme="1"/>
      <name val="Arial"/>
      <family val="2"/>
    </font>
    <font>
      <sz val="7"/>
      <color rgb="FF00B050"/>
      <name val="Arial"/>
      <family val="2"/>
    </font>
    <font>
      <sz val="10"/>
      <color rgb="FF9C6500"/>
      <name val="Arial"/>
      <family val="2"/>
    </font>
    <font>
      <sz val="10"/>
      <color rgb="FF9C0006"/>
      <name val="Arial"/>
      <family val="2"/>
    </font>
    <font>
      <sz val="7"/>
      <color rgb="FF9C0006"/>
      <name val="Arial"/>
      <family val="2"/>
    </font>
    <font>
      <sz val="7"/>
      <color rgb="FF00B0F0"/>
      <name val="Arial"/>
      <family val="2"/>
    </font>
    <font>
      <b/>
      <sz val="7"/>
      <color theme="0"/>
      <name val="Arial"/>
      <family val="2"/>
    </font>
  </fonts>
  <fills count="19">
    <fill>
      <patternFill patternType="none"/>
    </fill>
    <fill>
      <patternFill patternType="gray125"/>
    </fill>
    <fill>
      <patternFill patternType="solid">
        <fgColor indexed="45"/>
        <bgColor indexed="64"/>
      </patternFill>
    </fill>
    <fill>
      <patternFill patternType="solid">
        <fgColor theme="9" tint="0.59999389629810485"/>
        <bgColor indexed="64"/>
      </patternFill>
    </fill>
    <fill>
      <patternFill patternType="solid">
        <fgColor theme="3" tint="-0.499984740745262"/>
        <bgColor indexed="64"/>
      </patternFill>
    </fill>
    <fill>
      <patternFill patternType="solid">
        <fgColor rgb="FF92D05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0000"/>
        <bgColor indexed="64"/>
      </patternFill>
    </fill>
    <fill>
      <patternFill patternType="solid">
        <fgColor rgb="FF1D2D4B"/>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EB9C"/>
      </patternFill>
    </fill>
    <fill>
      <patternFill patternType="solid">
        <fgColor rgb="FFFFC7CE"/>
      </patternFill>
    </fill>
    <fill>
      <patternFill patternType="solid">
        <fgColor theme="6" tint="0.79998168889431442"/>
        <bgColor indexed="64"/>
      </patternFill>
    </fill>
    <fill>
      <patternFill patternType="solid">
        <fgColor rgb="FF002060"/>
        <bgColor indexed="64"/>
      </patternFill>
    </fill>
    <fill>
      <patternFill patternType="solid">
        <fgColor theme="0" tint="-4.9989318521683403E-2"/>
        <bgColor indexed="64"/>
      </patternFill>
    </fill>
  </fills>
  <borders count="22">
    <border>
      <left/>
      <right/>
      <top/>
      <bottom/>
      <diagonal/>
    </border>
    <border>
      <left/>
      <right style="thin">
        <color indexed="24"/>
      </right>
      <top style="thin">
        <color indexed="24"/>
      </top>
      <bottom style="thin">
        <color indexed="24"/>
      </bottom>
      <diagonal/>
    </border>
    <border>
      <left/>
      <right style="thin">
        <color indexed="24"/>
      </right>
      <top/>
      <bottom style="thin">
        <color indexed="24"/>
      </bottom>
      <diagonal/>
    </border>
    <border>
      <left style="thin">
        <color indexed="64"/>
      </left>
      <right style="thin">
        <color indexed="64"/>
      </right>
      <top style="thin">
        <color indexed="64"/>
      </top>
      <bottom style="thin">
        <color indexed="64"/>
      </bottom>
      <diagonal/>
    </border>
    <border>
      <left/>
      <right style="thin">
        <color indexed="24"/>
      </right>
      <top style="thin">
        <color indexed="2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4"/>
      </left>
      <right/>
      <top style="thin">
        <color indexed="24"/>
      </top>
      <bottom style="thin">
        <color indexed="24"/>
      </bottom>
      <diagonal/>
    </border>
    <border>
      <left/>
      <right/>
      <top style="thin">
        <color indexed="24"/>
      </top>
      <bottom style="thin">
        <color indexed="24"/>
      </bottom>
      <diagonal/>
    </border>
    <border>
      <left style="thin">
        <color indexed="24"/>
      </left>
      <right/>
      <top/>
      <bottom style="thin">
        <color indexed="24"/>
      </bottom>
      <diagonal/>
    </border>
    <border>
      <left style="thin">
        <color indexed="24"/>
      </left>
      <right/>
      <top style="thin">
        <color indexed="24"/>
      </top>
      <bottom/>
      <diagonal/>
    </border>
    <border>
      <left style="thin">
        <color indexed="64"/>
      </left>
      <right style="thin">
        <color indexed="64"/>
      </right>
      <top style="thin">
        <color indexed="64"/>
      </top>
      <bottom/>
      <diagonal/>
    </border>
    <border>
      <left/>
      <right/>
      <top style="thin">
        <color indexed="2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24"/>
      </top>
      <bottom style="thin">
        <color indexed="64"/>
      </bottom>
      <diagonal/>
    </border>
    <border>
      <left/>
      <right style="thin">
        <color indexed="24"/>
      </right>
      <top/>
      <bottom/>
      <diagonal/>
    </border>
    <border>
      <left/>
      <right/>
      <top/>
      <bottom style="thin">
        <color indexed="24"/>
      </bottom>
      <diagonal/>
    </border>
    <border>
      <left style="thin">
        <color indexed="64"/>
      </left>
      <right style="thin">
        <color indexed="64"/>
      </right>
      <top/>
      <bottom/>
      <diagonal/>
    </border>
    <border>
      <left style="thin">
        <color indexed="63"/>
      </left>
      <right/>
      <top style="thin">
        <color indexed="63"/>
      </top>
      <bottom/>
      <diagonal/>
    </border>
  </borders>
  <cellStyleXfs count="4">
    <xf numFmtId="0" fontId="0" fillId="0" borderId="0"/>
    <xf numFmtId="0" fontId="9" fillId="0" borderId="0"/>
    <xf numFmtId="0" fontId="16" fillId="14" borderId="0" applyNumberFormat="0" applyBorder="0" applyAlignment="0" applyProtection="0"/>
    <xf numFmtId="0" fontId="17" fillId="15" borderId="0" applyNumberFormat="0" applyBorder="0" applyAlignment="0" applyProtection="0"/>
  </cellStyleXfs>
  <cellXfs count="298">
    <xf numFmtId="0" fontId="0" fillId="0" borderId="0" xfId="0"/>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wrapText="1"/>
    </xf>
    <xf numFmtId="0" fontId="3" fillId="0" borderId="0" xfId="0"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0" xfId="0"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0" fillId="0" borderId="0" xfId="0" applyBorder="1"/>
    <xf numFmtId="0" fontId="2" fillId="0" borderId="0" xfId="0" applyFont="1" applyBorder="1" applyAlignment="1">
      <alignment vertical="top" wrapText="1"/>
    </xf>
    <xf numFmtId="0" fontId="2" fillId="0" borderId="0" xfId="0" applyFont="1" applyBorder="1" applyAlignment="1">
      <alignment vertical="center" wrapText="1"/>
    </xf>
    <xf numFmtId="0" fontId="0" fillId="0" borderId="0" xfId="0" applyFill="1" applyAlignment="1">
      <alignment vertical="center"/>
    </xf>
    <xf numFmtId="0" fontId="3"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9" fontId="3" fillId="0" borderId="3" xfId="0" applyNumberFormat="1" applyFont="1" applyBorder="1" applyAlignment="1">
      <alignment horizontal="center" vertical="center" wrapText="1"/>
    </xf>
    <xf numFmtId="0" fontId="1" fillId="0" borderId="0" xfId="0" applyFont="1" applyBorder="1"/>
    <xf numFmtId="0" fontId="5" fillId="0" borderId="0" xfId="0" applyFont="1" applyBorder="1"/>
    <xf numFmtId="10" fontId="3" fillId="0" borderId="3" xfId="0" applyNumberFormat="1" applyFont="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0" fillId="0" borderId="0" xfId="0" applyBorder="1" applyProtection="1"/>
    <xf numFmtId="0" fontId="1" fillId="3"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0" xfId="0" applyFont="1" applyBorder="1" applyAlignment="1" applyProtection="1">
      <alignment horizontal="right" vertical="center" indent="3"/>
    </xf>
    <xf numFmtId="0" fontId="6" fillId="0" borderId="0" xfId="0" applyFont="1" applyBorder="1" applyAlignment="1">
      <alignment horizontal="right" vertical="center" indent="3"/>
    </xf>
    <xf numFmtId="0" fontId="7" fillId="0" borderId="3" xfId="0" applyFont="1" applyBorder="1" applyAlignment="1" applyProtection="1">
      <alignment horizontal="center" vertical="center"/>
      <protection locked="0"/>
    </xf>
    <xf numFmtId="0" fontId="7" fillId="0" borderId="0" xfId="0" applyFont="1" applyFill="1" applyBorder="1"/>
    <xf numFmtId="0" fontId="6" fillId="0" borderId="0" xfId="0" applyFont="1" applyBorder="1" applyAlignment="1">
      <alignment vertical="top" wrapText="1"/>
    </xf>
    <xf numFmtId="0" fontId="8" fillId="4" borderId="5" xfId="0" applyNumberFormat="1" applyFont="1" applyFill="1" applyBorder="1" applyAlignment="1">
      <alignment horizontal="center" vertical="center" wrapText="1"/>
    </xf>
    <xf numFmtId="0" fontId="8" fillId="4" borderId="6" xfId="0" applyNumberFormat="1" applyFont="1" applyFill="1" applyBorder="1" applyAlignment="1">
      <alignment horizontal="center" vertical="center" wrapText="1"/>
    </xf>
    <xf numFmtId="0" fontId="8" fillId="4" borderId="7" xfId="0" applyNumberFormat="1" applyFont="1" applyFill="1" applyBorder="1" applyAlignment="1" applyProtection="1">
      <alignment horizontal="center" vertical="center" wrapText="1"/>
      <protection locked="0"/>
    </xf>
    <xf numFmtId="0" fontId="7" fillId="0" borderId="0" xfId="0" applyFont="1" applyBorder="1"/>
    <xf numFmtId="164" fontId="6" fillId="0" borderId="8" xfId="0" applyNumberFormat="1" applyFont="1" applyBorder="1" applyAlignment="1" applyProtection="1">
      <alignment horizontal="center" vertical="center"/>
      <protection locked="0"/>
    </xf>
    <xf numFmtId="0" fontId="7" fillId="0" borderId="3" xfId="0" applyFont="1" applyBorder="1" applyAlignment="1" applyProtection="1">
      <alignment horizontal="center" vertical="center" wrapText="1"/>
    </xf>
    <xf numFmtId="0" fontId="7" fillId="0" borderId="0" xfId="0" applyFont="1"/>
    <xf numFmtId="0" fontId="7" fillId="0" borderId="0" xfId="0" applyFont="1" applyFill="1" applyBorder="1" applyAlignment="1" applyProtection="1">
      <alignment vertical="center" wrapText="1"/>
    </xf>
    <xf numFmtId="0" fontId="7" fillId="0" borderId="0" xfId="0" applyFont="1" applyProtection="1"/>
    <xf numFmtId="0" fontId="7" fillId="0" borderId="0" xfId="0" applyFont="1" applyBorder="1" applyProtection="1"/>
    <xf numFmtId="9" fontId="7" fillId="0" borderId="3" xfId="0" applyNumberFormat="1" applyFont="1" applyBorder="1" applyAlignment="1" applyProtection="1">
      <alignment horizontal="center" vertical="center" wrapText="1"/>
    </xf>
    <xf numFmtId="0" fontId="7" fillId="0" borderId="0" xfId="0" applyFont="1" applyBorder="1" applyAlignment="1" applyProtection="1">
      <alignment vertical="center" wrapText="1"/>
    </xf>
    <xf numFmtId="9" fontId="7" fillId="0" borderId="0" xfId="0" applyNumberFormat="1" applyFont="1" applyBorder="1" applyAlignment="1" applyProtection="1">
      <alignment horizontal="center" vertical="center" wrapText="1"/>
    </xf>
    <xf numFmtId="9" fontId="7" fillId="0" borderId="0" xfId="0" applyNumberFormat="1" applyFont="1" applyBorder="1" applyAlignment="1">
      <alignment horizontal="center" vertical="center" wrapText="1"/>
    </xf>
    <xf numFmtId="0" fontId="6" fillId="0" borderId="0" xfId="0" applyFont="1" applyBorder="1" applyAlignment="1" applyProtection="1">
      <alignment vertical="top" wrapText="1"/>
    </xf>
    <xf numFmtId="0" fontId="6" fillId="0" borderId="0" xfId="0" applyFont="1" applyBorder="1" applyAlignment="1" applyProtection="1">
      <alignment vertical="center" wrapText="1"/>
    </xf>
    <xf numFmtId="9" fontId="7" fillId="0"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8" fillId="2" borderId="9" xfId="0" applyFont="1" applyFill="1" applyBorder="1" applyAlignment="1">
      <alignment vertical="center"/>
    </xf>
    <xf numFmtId="0" fontId="8" fillId="2" borderId="10" xfId="0" applyFont="1" applyFill="1" applyBorder="1" applyAlignment="1">
      <alignment horizontal="center" vertical="center"/>
    </xf>
    <xf numFmtId="0" fontId="7" fillId="0" borderId="0" xfId="0" applyFont="1" applyFill="1"/>
    <xf numFmtId="0" fontId="7" fillId="0" borderId="3"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vertical="center" wrapText="1"/>
    </xf>
    <xf numFmtId="0" fontId="8" fillId="2" borderId="1" xfId="0" applyFont="1" applyFill="1" applyBorder="1" applyAlignment="1">
      <alignment horizontal="center" vertical="center" wrapText="1"/>
    </xf>
    <xf numFmtId="0" fontId="7" fillId="0" borderId="3"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Border="1" applyAlignment="1">
      <alignment horizontal="center" vertical="center"/>
    </xf>
    <xf numFmtId="0" fontId="8" fillId="2" borderId="11" xfId="0" applyFont="1" applyFill="1" applyBorder="1" applyAlignment="1">
      <alignment vertical="center"/>
    </xf>
    <xf numFmtId="0" fontId="8" fillId="2" borderId="2" xfId="0" applyFont="1" applyFill="1" applyBorder="1" applyAlignment="1">
      <alignment horizontal="center" vertical="center" wrapText="1"/>
    </xf>
    <xf numFmtId="165" fontId="7" fillId="0" borderId="3"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0" fontId="7" fillId="0" borderId="3" xfId="0" applyFont="1" applyBorder="1" applyAlignment="1">
      <alignment horizontal="center" vertical="center"/>
    </xf>
    <xf numFmtId="0" fontId="8" fillId="2" borderId="12" xfId="0" applyFont="1" applyFill="1" applyBorder="1" applyAlignment="1">
      <alignment vertical="center"/>
    </xf>
    <xf numFmtId="0" fontId="8" fillId="2" borderId="4" xfId="0" applyFont="1" applyFill="1" applyBorder="1" applyAlignment="1">
      <alignment horizontal="center" vertical="center" wrapText="1"/>
    </xf>
    <xf numFmtId="0" fontId="7" fillId="0" borderId="0" xfId="0" applyFont="1" applyAlignment="1">
      <alignment horizontal="center" vertical="center"/>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0" borderId="3" xfId="0" applyFont="1" applyFill="1" applyBorder="1" applyAlignment="1" applyProtection="1">
      <alignment horizontal="center" vertical="center" wrapText="1"/>
    </xf>
    <xf numFmtId="9" fontId="7" fillId="0" borderId="3"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xf>
    <xf numFmtId="0" fontId="7" fillId="0" borderId="3" xfId="0" quotePrefix="1" applyFont="1" applyBorder="1" applyAlignment="1">
      <alignment horizontal="center" vertical="center" wrapText="1"/>
    </xf>
    <xf numFmtId="165" fontId="7" fillId="0" borderId="3" xfId="0" applyNumberFormat="1" applyFont="1" applyFill="1" applyBorder="1" applyAlignment="1">
      <alignment horizontal="center" vertical="center" wrapText="1"/>
    </xf>
    <xf numFmtId="0" fontId="7" fillId="0" borderId="3" xfId="0" quotePrefix="1" applyFont="1" applyFill="1" applyBorder="1" applyAlignment="1">
      <alignment horizontal="center" vertical="center" wrapText="1"/>
    </xf>
    <xf numFmtId="0" fontId="7" fillId="0" borderId="13" xfId="0" applyFont="1" applyFill="1" applyBorder="1" applyAlignment="1">
      <alignment horizontal="center" vertical="center"/>
    </xf>
    <xf numFmtId="0" fontId="7" fillId="3" borderId="13"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0" xfId="0" applyFont="1" applyFill="1" applyAlignment="1">
      <alignment horizontal="center" vertical="center"/>
    </xf>
    <xf numFmtId="0" fontId="7" fillId="5" borderId="3"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9" fontId="7" fillId="0" borderId="3" xfId="0" quotePrefix="1" applyNumberFormat="1" applyFont="1" applyFill="1" applyBorder="1" applyAlignment="1">
      <alignment horizontal="center" vertical="center" wrapText="1"/>
    </xf>
    <xf numFmtId="0" fontId="8" fillId="3" borderId="10" xfId="0" applyFont="1" applyFill="1" applyBorder="1" applyAlignment="1">
      <alignment horizontal="center" vertical="center"/>
    </xf>
    <xf numFmtId="0" fontId="7" fillId="0" borderId="3" xfId="0" applyFont="1" applyFill="1" applyBorder="1" applyAlignment="1">
      <alignment horizontal="left" vertical="center" wrapText="1" indent="3"/>
    </xf>
    <xf numFmtId="0" fontId="7" fillId="7" borderId="3" xfId="0"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0" fontId="7" fillId="7" borderId="3" xfId="0" quotePrefix="1"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3" xfId="0" applyFont="1" applyFill="1" applyBorder="1" applyAlignment="1">
      <alignment horizontal="right" vertical="center" wrapText="1" indent="1"/>
    </xf>
    <xf numFmtId="0" fontId="7" fillId="0" borderId="0" xfId="0" applyFont="1" applyAlignment="1"/>
    <xf numFmtId="0" fontId="6" fillId="0" borderId="0" xfId="0" applyFont="1" applyBorder="1"/>
    <xf numFmtId="0" fontId="6" fillId="0" borderId="0" xfId="0" applyFont="1" applyAlignment="1"/>
    <xf numFmtId="0" fontId="6" fillId="0" borderId="0" xfId="0" applyFont="1" applyFill="1" applyBorder="1"/>
    <xf numFmtId="0" fontId="7" fillId="0" borderId="0" xfId="0" applyFont="1" applyAlignment="1">
      <alignment horizontal="right"/>
    </xf>
    <xf numFmtId="0" fontId="8" fillId="2" borderId="9" xfId="0" applyFont="1" applyFill="1" applyBorder="1" applyAlignment="1">
      <alignment horizontal="center" vertic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xf>
    <xf numFmtId="0" fontId="6" fillId="0" borderId="0" xfId="0" applyFont="1" applyBorder="1" applyAlignment="1">
      <alignment horizontal="left" vertical="center" wrapText="1"/>
    </xf>
    <xf numFmtId="164" fontId="6" fillId="0" borderId="8" xfId="0" applyNumberFormat="1" applyFont="1" applyBorder="1" applyAlignment="1" applyProtection="1">
      <alignment horizontal="center" vertical="center" wrapText="1"/>
      <protection locked="0"/>
    </xf>
    <xf numFmtId="0" fontId="6" fillId="0" borderId="0" xfId="0" applyFont="1" applyFill="1" applyBorder="1" applyAlignment="1">
      <alignment wrapText="1"/>
    </xf>
    <xf numFmtId="0" fontId="7" fillId="0" borderId="3" xfId="0" quotePrefix="1" applyFont="1" applyFill="1" applyBorder="1" applyAlignment="1" applyProtection="1">
      <alignment horizontal="center" vertical="center" wrapText="1"/>
      <protection locked="0"/>
    </xf>
    <xf numFmtId="0" fontId="8" fillId="2" borderId="1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0" borderId="0" xfId="0" applyFont="1" applyFill="1" applyAlignment="1">
      <alignment vertical="center"/>
    </xf>
    <xf numFmtId="0" fontId="6" fillId="0" borderId="0" xfId="0" applyFont="1" applyFill="1" applyAlignment="1"/>
    <xf numFmtId="0" fontId="7" fillId="0" borderId="0" xfId="0" applyFont="1" applyFill="1" applyAlignment="1"/>
    <xf numFmtId="0" fontId="7" fillId="0" borderId="0" xfId="0" applyFont="1" applyFill="1" applyAlignment="1">
      <alignment horizontal="right"/>
    </xf>
    <xf numFmtId="49" fontId="7" fillId="0" borderId="3" xfId="0" applyNumberFormat="1" applyFont="1" applyFill="1" applyBorder="1" applyAlignment="1">
      <alignment horizontal="center" vertical="center" wrapText="1"/>
    </xf>
    <xf numFmtId="0" fontId="0" fillId="0" borderId="0" xfId="0" applyFill="1" applyAlignment="1">
      <alignment vertical="center" wrapText="1"/>
    </xf>
    <xf numFmtId="6" fontId="7" fillId="0" borderId="3" xfId="0" applyNumberFormat="1" applyFont="1" applyFill="1" applyBorder="1" applyAlignment="1">
      <alignment horizontal="center" vertical="center" wrapText="1"/>
    </xf>
    <xf numFmtId="0" fontId="0" fillId="0" borderId="0" xfId="0" applyFill="1"/>
    <xf numFmtId="10" fontId="7" fillId="0" borderId="3"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Border="1" applyAlignment="1">
      <alignment horizontal="center" vertical="center"/>
    </xf>
    <xf numFmtId="0" fontId="7" fillId="5" borderId="3" xfId="0" applyFont="1" applyFill="1" applyBorder="1" applyAlignment="1">
      <alignment horizontal="center" vertical="center" wrapText="1"/>
    </xf>
    <xf numFmtId="0" fontId="8" fillId="9" borderId="0" xfId="0" applyFont="1" applyFill="1" applyBorder="1" applyAlignment="1">
      <alignment horizontal="center" vertical="center" wrapText="1"/>
    </xf>
    <xf numFmtId="166" fontId="7" fillId="0" borderId="3" xfId="0" applyNumberFormat="1" applyFont="1" applyFill="1" applyBorder="1" applyAlignment="1" applyProtection="1">
      <alignment horizontal="center" vertical="center" wrapText="1"/>
    </xf>
    <xf numFmtId="166" fontId="7" fillId="0" borderId="3" xfId="0" quotePrefix="1" applyNumberFormat="1" applyFont="1" applyFill="1" applyBorder="1" applyAlignment="1" applyProtection="1">
      <alignment horizontal="center" vertical="center" wrapText="1"/>
      <protection locked="0"/>
    </xf>
    <xf numFmtId="0" fontId="7" fillId="0" borderId="0" xfId="0" applyFont="1" applyFill="1" applyAlignment="1">
      <alignment horizontal="center" vertical="center" wrapText="1"/>
    </xf>
    <xf numFmtId="0" fontId="7" fillId="0" borderId="3" xfId="0" applyFont="1" applyFill="1" applyBorder="1"/>
    <xf numFmtId="0" fontId="7" fillId="0" borderId="0"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7" fillId="5" borderId="3" xfId="0" applyNumberFormat="1" applyFont="1" applyFill="1" applyBorder="1" applyAlignment="1">
      <alignment horizontal="center" vertical="center" wrapText="1"/>
    </xf>
    <xf numFmtId="0" fontId="7" fillId="5" borderId="3" xfId="0" quotePrefix="1" applyFont="1" applyFill="1" applyBorder="1" applyAlignment="1">
      <alignment horizontal="center" vertical="center" wrapText="1"/>
    </xf>
    <xf numFmtId="0" fontId="7" fillId="8" borderId="3" xfId="0" applyFont="1" applyFill="1" applyBorder="1" applyAlignment="1">
      <alignment horizontal="center" vertical="center" wrapText="1"/>
    </xf>
    <xf numFmtId="0" fontId="8" fillId="8" borderId="9" xfId="0" applyFont="1" applyFill="1" applyBorder="1" applyAlignment="1">
      <alignment horizontal="center" vertical="center"/>
    </xf>
    <xf numFmtId="0" fontId="6" fillId="0" borderId="0" xfId="0" applyFont="1" applyAlignment="1">
      <alignment vertical="center"/>
    </xf>
    <xf numFmtId="0" fontId="8" fillId="2" borderId="1" xfId="0" applyFont="1" applyFill="1" applyBorder="1" applyAlignment="1">
      <alignment horizontal="center" vertical="center"/>
    </xf>
    <xf numFmtId="0" fontId="7" fillId="0" borderId="17" xfId="0" applyFont="1" applyBorder="1" applyAlignment="1">
      <alignment horizontal="center" vertical="center" wrapText="1"/>
    </xf>
    <xf numFmtId="0" fontId="7" fillId="10" borderId="3" xfId="0" applyFont="1" applyFill="1" applyBorder="1" applyAlignment="1">
      <alignment horizontal="center" vertical="center"/>
    </xf>
    <xf numFmtId="0" fontId="7" fillId="0" borderId="0" xfId="0" applyFont="1" applyAlignment="1">
      <alignment wrapText="1"/>
    </xf>
    <xf numFmtId="0" fontId="8" fillId="2" borderId="0" xfId="0" applyFont="1" applyFill="1" applyBorder="1" applyAlignment="1">
      <alignment horizontal="center" vertical="center"/>
    </xf>
    <xf numFmtId="0" fontId="7" fillId="10" borderId="3" xfId="0" applyFont="1" applyFill="1" applyBorder="1" applyAlignment="1">
      <alignment horizontal="center" vertical="center" wrapText="1"/>
    </xf>
    <xf numFmtId="0" fontId="7" fillId="0" borderId="0" xfId="0" applyFont="1" applyBorder="1" applyAlignment="1">
      <alignment horizontal="center"/>
    </xf>
    <xf numFmtId="0" fontId="7" fillId="0" borderId="0" xfId="0" applyFont="1" applyAlignment="1">
      <alignment horizontal="center"/>
    </xf>
    <xf numFmtId="0" fontId="8" fillId="2" borderId="16" xfId="0" applyFont="1" applyFill="1" applyBorder="1" applyAlignment="1">
      <alignment horizontal="center" vertical="center"/>
    </xf>
    <xf numFmtId="0" fontId="7" fillId="0" borderId="3" xfId="0" applyFont="1" applyBorder="1" applyAlignment="1">
      <alignment horizontal="center" wrapText="1"/>
    </xf>
    <xf numFmtId="0" fontId="7" fillId="0" borderId="0" xfId="0" applyFont="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xf>
    <xf numFmtId="0" fontId="7" fillId="10" borderId="0" xfId="0" applyFont="1" applyFill="1" applyBorder="1" applyAlignment="1">
      <alignment horizontal="center" vertical="center" wrapText="1"/>
    </xf>
    <xf numFmtId="0" fontId="7" fillId="10" borderId="0" xfId="0" applyFont="1" applyFill="1" applyBorder="1"/>
    <xf numFmtId="0" fontId="9" fillId="0" borderId="0" xfId="0" applyFont="1"/>
    <xf numFmtId="0" fontId="9" fillId="0" borderId="0" xfId="0" applyFont="1" applyAlignment="1">
      <alignment wrapText="1"/>
    </xf>
    <xf numFmtId="0" fontId="0" fillId="0" borderId="0" xfId="0" applyFill="1" applyBorder="1"/>
    <xf numFmtId="0" fontId="7" fillId="0" borderId="0" xfId="0" applyFont="1" applyFill="1" applyBorder="1" applyAlignment="1">
      <alignment horizontal="right" vertical="center" wrapText="1" indent="1"/>
    </xf>
    <xf numFmtId="0" fontId="12" fillId="9" borderId="3" xfId="0" applyFont="1" applyFill="1" applyBorder="1"/>
    <xf numFmtId="0" fontId="12" fillId="9" borderId="20" xfId="0" applyFont="1" applyFill="1" applyBorder="1"/>
    <xf numFmtId="0" fontId="14" fillId="0" borderId="3" xfId="0" applyFont="1" applyBorder="1"/>
    <xf numFmtId="0" fontId="14" fillId="0" borderId="3" xfId="0" applyFont="1" applyBorder="1" applyAlignment="1">
      <alignment horizontal="left" vertical="center" wrapText="1"/>
    </xf>
    <xf numFmtId="0" fontId="13" fillId="0" borderId="3" xfId="1" applyFont="1" applyBorder="1" applyAlignment="1">
      <alignment horizontal="left" vertical="center"/>
    </xf>
    <xf numFmtId="0" fontId="14" fillId="0" borderId="3" xfId="0" applyFont="1" applyBorder="1" applyAlignment="1">
      <alignment vertical="center"/>
    </xf>
    <xf numFmtId="0" fontId="14" fillId="0" borderId="3" xfId="0" applyFont="1" applyBorder="1" applyAlignment="1">
      <alignment vertical="center" wrapText="1"/>
    </xf>
    <xf numFmtId="0" fontId="13" fillId="0" borderId="3" xfId="1" applyFont="1" applyFill="1" applyBorder="1" applyAlignment="1">
      <alignment horizontal="left" vertical="center"/>
    </xf>
    <xf numFmtId="0" fontId="14" fillId="8" borderId="3" xfId="0" applyFont="1" applyFill="1" applyBorder="1" applyAlignment="1">
      <alignment horizontal="center" vertical="center"/>
    </xf>
    <xf numFmtId="0" fontId="13" fillId="0" borderId="3" xfId="0" applyFont="1" applyBorder="1"/>
    <xf numFmtId="0" fontId="13" fillId="8" borderId="3" xfId="1" applyFont="1" applyFill="1" applyBorder="1" applyAlignment="1">
      <alignment horizontal="left" vertical="center"/>
    </xf>
    <xf numFmtId="0" fontId="14" fillId="8" borderId="3" xfId="0" applyFont="1" applyFill="1" applyBorder="1" applyAlignment="1">
      <alignment vertical="center"/>
    </xf>
    <xf numFmtId="0" fontId="14" fillId="8" borderId="3" xfId="0" applyFont="1" applyFill="1" applyBorder="1" applyAlignment="1">
      <alignment horizontal="left" vertical="center" wrapText="1"/>
    </xf>
    <xf numFmtId="0" fontId="14" fillId="8" borderId="3" xfId="0" applyFont="1" applyFill="1" applyBorder="1" applyAlignment="1">
      <alignment vertical="center" wrapText="1"/>
    </xf>
    <xf numFmtId="0" fontId="13" fillId="0" borderId="0" xfId="1" applyFont="1" applyFill="1" applyBorder="1" applyAlignment="1">
      <alignment horizontal="left" vertical="center"/>
    </xf>
    <xf numFmtId="0" fontId="14" fillId="0" borderId="0" xfId="0" applyFont="1" applyAlignment="1">
      <alignment vertical="center"/>
    </xf>
    <xf numFmtId="0" fontId="13" fillId="0" borderId="0" xfId="1" applyFont="1" applyFill="1" applyBorder="1" applyAlignment="1">
      <alignment horizontal="left" vertical="center" wrapText="1"/>
    </xf>
    <xf numFmtId="0" fontId="10" fillId="0" borderId="3" xfId="0" applyFont="1" applyFill="1" applyBorder="1" applyAlignment="1">
      <alignment vertical="center" wrapText="1"/>
    </xf>
    <xf numFmtId="0" fontId="7" fillId="7" borderId="13" xfId="0" applyFont="1" applyFill="1" applyBorder="1" applyAlignment="1">
      <alignment horizontal="right" vertical="center" wrapText="1" indent="1"/>
    </xf>
    <xf numFmtId="0" fontId="9" fillId="0" borderId="0" xfId="0" applyFont="1" applyFill="1" applyBorder="1"/>
    <xf numFmtId="0" fontId="7" fillId="0" borderId="0" xfId="0" applyFont="1" applyFill="1" applyBorder="1" applyAlignment="1">
      <alignment wrapText="1"/>
    </xf>
    <xf numFmtId="0" fontId="8" fillId="2" borderId="3" xfId="0" applyFont="1" applyFill="1" applyBorder="1" applyAlignment="1">
      <alignment vertical="center"/>
    </xf>
    <xf numFmtId="0" fontId="8" fillId="0" borderId="0" xfId="0" applyFont="1" applyFill="1" applyBorder="1" applyAlignment="1">
      <alignment vertical="center"/>
    </xf>
    <xf numFmtId="0" fontId="7" fillId="0" borderId="3" xfId="0" applyFont="1" applyFill="1" applyBorder="1" applyAlignment="1">
      <alignment horizontal="left" vertical="center"/>
    </xf>
    <xf numFmtId="0" fontId="7" fillId="0" borderId="3" xfId="0" applyFont="1" applyBorder="1" applyAlignment="1">
      <alignment vertical="center"/>
    </xf>
    <xf numFmtId="0" fontId="7" fillId="7" borderId="3" xfId="0" applyFont="1" applyFill="1" applyBorder="1" applyAlignment="1">
      <alignment horizontal="right" vertical="center" indent="1"/>
    </xf>
    <xf numFmtId="0" fontId="8" fillId="9" borderId="21" xfId="0" applyFont="1" applyFill="1" applyBorder="1" applyAlignment="1">
      <alignment vertical="center" wrapText="1"/>
    </xf>
    <xf numFmtId="0" fontId="7" fillId="7" borderId="0" xfId="0" applyFont="1" applyFill="1" applyBorder="1" applyAlignment="1">
      <alignment horizontal="center" vertical="center" wrapText="1"/>
    </xf>
    <xf numFmtId="0" fontId="7" fillId="7"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wrapText="1"/>
    </xf>
    <xf numFmtId="0" fontId="8" fillId="2" borderId="0" xfId="0" applyFont="1" applyFill="1" applyBorder="1" applyAlignment="1">
      <alignment vertical="center"/>
    </xf>
    <xf numFmtId="0" fontId="7" fillId="11" borderId="3" xfId="0" applyFont="1" applyFill="1" applyBorder="1" applyAlignment="1">
      <alignment vertical="center" wrapText="1"/>
    </xf>
    <xf numFmtId="0" fontId="7" fillId="11" borderId="3" xfId="0" applyFont="1" applyFill="1" applyBorder="1" applyAlignment="1">
      <alignment horizontal="center" vertical="center" wrapText="1"/>
    </xf>
    <xf numFmtId="0" fontId="7" fillId="11" borderId="3" xfId="0" applyFont="1" applyFill="1" applyBorder="1" applyAlignment="1">
      <alignment horizontal="center" vertical="center"/>
    </xf>
    <xf numFmtId="9" fontId="7" fillId="11" borderId="3" xfId="0" applyNumberFormat="1" applyFont="1" applyFill="1" applyBorder="1" applyAlignment="1">
      <alignment horizontal="center" vertical="center" wrapText="1"/>
    </xf>
    <xf numFmtId="0" fontId="0" fillId="11" borderId="0" xfId="0" applyFill="1"/>
    <xf numFmtId="0" fontId="0" fillId="11" borderId="0" xfId="0" applyFill="1" applyAlignment="1">
      <alignment vertical="center"/>
    </xf>
    <xf numFmtId="0" fontId="7" fillId="11" borderId="0" xfId="0" applyFont="1" applyFill="1" applyBorder="1"/>
    <xf numFmtId="0" fontId="6" fillId="11" borderId="0" xfId="0" applyFont="1" applyFill="1" applyBorder="1"/>
    <xf numFmtId="0" fontId="7" fillId="11" borderId="0" xfId="0" applyFont="1" applyFill="1" applyAlignment="1"/>
    <xf numFmtId="0" fontId="7" fillId="11" borderId="0" xfId="0" applyFont="1" applyFill="1" applyAlignment="1">
      <alignment vertical="center"/>
    </xf>
    <xf numFmtId="0" fontId="10" fillId="11" borderId="3" xfId="0" applyFont="1" applyFill="1" applyBorder="1" applyAlignment="1">
      <alignment vertical="center" wrapText="1"/>
    </xf>
    <xf numFmtId="0" fontId="7" fillId="0" borderId="5" xfId="0" applyFont="1" applyFill="1" applyBorder="1" applyAlignment="1">
      <alignment vertical="center" wrapText="1"/>
    </xf>
    <xf numFmtId="0" fontId="7" fillId="7" borderId="5" xfId="0" applyFont="1" applyFill="1" applyBorder="1" applyAlignment="1">
      <alignment horizontal="right" vertical="center" indent="1"/>
    </xf>
    <xf numFmtId="0" fontId="0" fillId="0" borderId="3" xfId="0" applyBorder="1"/>
    <xf numFmtId="0" fontId="8" fillId="9" borderId="3" xfId="0" applyFont="1" applyFill="1" applyBorder="1" applyAlignment="1">
      <alignment vertical="center" wrapText="1"/>
    </xf>
    <xf numFmtId="0" fontId="8" fillId="2" borderId="3" xfId="0" applyFont="1" applyFill="1" applyBorder="1" applyAlignment="1">
      <alignment horizontal="center" vertical="center"/>
    </xf>
    <xf numFmtId="0" fontId="0" fillId="0" borderId="3"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8" fillId="9" borderId="3" xfId="0" applyFont="1" applyFill="1" applyBorder="1" applyAlignment="1">
      <alignment horizontal="center" vertical="center" wrapText="1"/>
    </xf>
    <xf numFmtId="0" fontId="7" fillId="7" borderId="8" xfId="0" applyFont="1" applyFill="1" applyBorder="1" applyAlignment="1">
      <alignment horizontal="right" vertical="center" wrapText="1" indent="1"/>
    </xf>
    <xf numFmtId="0" fontId="8" fillId="2" borderId="8" xfId="0" applyFont="1" applyFill="1" applyBorder="1" applyAlignment="1">
      <alignment vertical="center"/>
    </xf>
    <xf numFmtId="0" fontId="8" fillId="2" borderId="8" xfId="0" applyFont="1" applyFill="1" applyBorder="1" applyAlignment="1">
      <alignment horizontal="center" vertical="center"/>
    </xf>
    <xf numFmtId="0" fontId="7" fillId="7" borderId="8" xfId="0" applyFont="1" applyFill="1" applyBorder="1" applyAlignment="1">
      <alignment horizontal="center" vertical="center"/>
    </xf>
    <xf numFmtId="0" fontId="7" fillId="12" borderId="3" xfId="0" applyFont="1" applyFill="1" applyBorder="1" applyAlignment="1">
      <alignment vertical="center" wrapText="1"/>
    </xf>
    <xf numFmtId="0" fontId="7" fillId="13" borderId="3" xfId="0" applyFont="1" applyFill="1" applyBorder="1" applyAlignment="1">
      <alignment vertical="center" wrapText="1"/>
    </xf>
    <xf numFmtId="0" fontId="8" fillId="0" borderId="3" xfId="0" applyFont="1" applyFill="1" applyBorder="1" applyAlignment="1">
      <alignment vertic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6" fontId="7" fillId="11" borderId="3"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left" vertical="center"/>
    </xf>
    <xf numFmtId="0" fontId="7" fillId="0" borderId="3" xfId="0" applyFont="1" applyFill="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left" vertical="center"/>
    </xf>
    <xf numFmtId="9" fontId="7" fillId="0" borderId="0" xfId="0" applyNumberFormat="1" applyFont="1" applyAlignment="1">
      <alignment horizontal="center" vertical="center" wrapText="1"/>
    </xf>
    <xf numFmtId="3" fontId="7" fillId="0" borderId="0" xfId="0" applyNumberFormat="1" applyFont="1" applyAlignment="1">
      <alignment horizontal="center" vertical="center"/>
    </xf>
    <xf numFmtId="3" fontId="7" fillId="0" borderId="0" xfId="0" applyNumberFormat="1" applyFont="1" applyAlignment="1">
      <alignment horizontal="center" vertical="center" wrapText="1"/>
    </xf>
    <xf numFmtId="0" fontId="1" fillId="0" borderId="0" xfId="0" applyFont="1" applyFill="1" applyBorder="1"/>
    <xf numFmtId="0" fontId="7" fillId="13" borderId="3" xfId="0" quotePrefix="1" applyFont="1" applyFill="1" applyBorder="1" applyAlignment="1">
      <alignment vertical="center" wrapText="1"/>
    </xf>
    <xf numFmtId="0" fontId="5" fillId="0" borderId="0" xfId="0" applyFont="1" applyFill="1" applyBorder="1"/>
    <xf numFmtId="0" fontId="7" fillId="8" borderId="3" xfId="0" applyFont="1" applyFill="1" applyBorder="1" applyAlignment="1">
      <alignment vertical="center" wrapText="1"/>
    </xf>
    <xf numFmtId="0" fontId="7" fillId="0" borderId="15" xfId="0" applyFont="1" applyFill="1" applyBorder="1"/>
    <xf numFmtId="0" fontId="7" fillId="0" borderId="15" xfId="0" applyFont="1" applyFill="1" applyBorder="1" applyAlignment="1">
      <alignment vertical="center" wrapText="1"/>
    </xf>
    <xf numFmtId="0" fontId="7" fillId="0" borderId="15" xfId="0" applyFont="1" applyBorder="1"/>
    <xf numFmtId="0" fontId="7" fillId="7" borderId="5" xfId="0" applyFont="1" applyFill="1" applyBorder="1" applyAlignment="1">
      <alignment horizontal="right" vertical="center" wrapText="1" indent="1"/>
    </xf>
    <xf numFmtId="0" fontId="7" fillId="11" borderId="5" xfId="0" applyFont="1" applyFill="1" applyBorder="1" applyAlignment="1">
      <alignment vertical="center" wrapText="1"/>
    </xf>
    <xf numFmtId="0" fontId="0" fillId="11" borderId="3" xfId="0" applyFill="1" applyBorder="1"/>
    <xf numFmtId="0" fontId="7" fillId="12" borderId="3" xfId="0" applyFont="1" applyFill="1" applyBorder="1" applyAlignment="1">
      <alignment vertical="center"/>
    </xf>
    <xf numFmtId="0" fontId="7" fillId="7" borderId="3" xfId="0" applyFont="1" applyFill="1" applyBorder="1" applyAlignment="1">
      <alignment horizontal="right" vertical="center"/>
    </xf>
    <xf numFmtId="0" fontId="7" fillId="7" borderId="3" xfId="0" applyFont="1" applyFill="1" applyBorder="1" applyAlignment="1">
      <alignment horizontal="right" vertical="center" wrapText="1"/>
    </xf>
    <xf numFmtId="0" fontId="0" fillId="0" borderId="0" xfId="0" applyBorder="1" applyAlignment="1">
      <alignment vertical="center"/>
    </xf>
    <xf numFmtId="0" fontId="7" fillId="0" borderId="0" xfId="0" applyFont="1" applyFill="1" applyBorder="1" applyAlignment="1">
      <alignment horizontal="right" vertical="center" wrapText="1"/>
    </xf>
    <xf numFmtId="0" fontId="7" fillId="12" borderId="0" xfId="0" applyFont="1" applyFill="1" applyAlignment="1">
      <alignment vertical="center" wrapText="1"/>
    </xf>
    <xf numFmtId="0" fontId="0" fillId="0" borderId="3" xfId="0" applyBorder="1" applyAlignment="1">
      <alignment vertical="center"/>
    </xf>
    <xf numFmtId="0" fontId="7" fillId="0" borderId="3" xfId="0" applyFont="1" applyFill="1" applyBorder="1" applyAlignment="1">
      <alignment horizontal="right" vertical="center" wrapText="1" indent="1"/>
    </xf>
    <xf numFmtId="0" fontId="18" fillId="15" borderId="3" xfId="3" applyFont="1" applyBorder="1" applyAlignment="1">
      <alignment horizontal="center" vertical="center" wrapText="1"/>
    </xf>
    <xf numFmtId="0" fontId="6" fillId="0" borderId="0" xfId="0" applyFont="1" applyAlignment="1">
      <alignment horizontal="left" vertical="center" wrapText="1"/>
    </xf>
    <xf numFmtId="0" fontId="0" fillId="0" borderId="0" xfId="0" applyBorder="1" applyAlignment="1">
      <alignment horizontal="center"/>
    </xf>
    <xf numFmtId="6" fontId="7" fillId="0" borderId="0" xfId="0" applyNumberFormat="1" applyFont="1" applyAlignment="1">
      <alignment horizontal="center" vertical="center" wrapText="1"/>
    </xf>
    <xf numFmtId="0" fontId="0" fillId="0" borderId="0" xfId="0" applyBorder="1" applyAlignment="1"/>
    <xf numFmtId="0" fontId="7" fillId="7" borderId="5" xfId="0" applyFont="1" applyFill="1" applyBorder="1" applyAlignment="1">
      <alignment horizontal="center" vertical="center"/>
    </xf>
    <xf numFmtId="0" fontId="11" fillId="11" borderId="3" xfId="0" applyFont="1" applyFill="1" applyBorder="1" applyAlignment="1">
      <alignment vertical="center" wrapText="1"/>
    </xf>
    <xf numFmtId="0" fontId="0" fillId="0" borderId="3" xfId="0" applyFill="1" applyBorder="1" applyAlignment="1">
      <alignment vertical="center"/>
    </xf>
    <xf numFmtId="0" fontId="0" fillId="0" borderId="7" xfId="0" applyBorder="1"/>
    <xf numFmtId="0" fontId="0" fillId="11" borderId="7" xfId="0" applyFill="1" applyBorder="1"/>
    <xf numFmtId="0" fontId="7" fillId="0" borderId="7" xfId="0" applyFont="1" applyFill="1" applyBorder="1" applyAlignment="1">
      <alignment horizontal="center" vertical="center" wrapText="1"/>
    </xf>
    <xf numFmtId="0" fontId="7" fillId="7" borderId="7" xfId="0" applyFont="1" applyFill="1" applyBorder="1" applyAlignment="1">
      <alignment horizontal="center" vertical="center"/>
    </xf>
    <xf numFmtId="9" fontId="7" fillId="0" borderId="0" xfId="0" applyNumberFormat="1" applyFont="1" applyAlignment="1">
      <alignment horizontal="center" vertical="center"/>
    </xf>
    <xf numFmtId="6" fontId="7" fillId="0" borderId="0" xfId="0" applyNumberFormat="1" applyFont="1" applyAlignment="1">
      <alignment horizontal="center" vertical="center"/>
    </xf>
    <xf numFmtId="0" fontId="0" fillId="0" borderId="13" xfId="0" applyBorder="1" applyAlignment="1">
      <alignment horizontal="center"/>
    </xf>
    <xf numFmtId="0" fontId="8" fillId="2" borderId="3" xfId="0" quotePrefix="1" applyFont="1" applyFill="1" applyBorder="1" applyAlignment="1">
      <alignment vertical="center"/>
    </xf>
    <xf numFmtId="0" fontId="8" fillId="2" borderId="11" xfId="0" applyFont="1" applyFill="1" applyBorder="1" applyAlignment="1">
      <alignment horizontal="center" vertical="center"/>
    </xf>
    <xf numFmtId="0" fontId="8" fillId="2" borderId="3" xfId="0" quotePrefix="1" applyFont="1" applyFill="1" applyBorder="1" applyAlignment="1">
      <alignment vertical="center" wrapText="1"/>
    </xf>
    <xf numFmtId="0" fontId="8" fillId="2" borderId="3" xfId="0" applyFont="1" applyFill="1" applyBorder="1" applyAlignment="1">
      <alignment vertical="center" wrapText="1"/>
    </xf>
    <xf numFmtId="0" fontId="7" fillId="16" borderId="3" xfId="0" applyFont="1" applyFill="1" applyBorder="1" applyAlignment="1">
      <alignment vertical="center" wrapText="1"/>
    </xf>
    <xf numFmtId="0" fontId="7" fillId="0" borderId="0" xfId="0" quotePrefix="1" applyFont="1" applyAlignment="1">
      <alignment horizontal="center" vertical="center" wrapText="1"/>
    </xf>
    <xf numFmtId="0" fontId="16" fillId="0" borderId="3" xfId="2" applyFill="1" applyBorder="1" applyAlignment="1">
      <alignment horizontal="center" vertical="center" wrapText="1"/>
    </xf>
    <xf numFmtId="6" fontId="7" fillId="0" borderId="3" xfId="0" applyNumberFormat="1" applyFont="1" applyBorder="1" applyAlignment="1">
      <alignment horizontal="center" vertical="center" wrapText="1"/>
    </xf>
    <xf numFmtId="6" fontId="7" fillId="0" borderId="3" xfId="0" applyNumberFormat="1" applyFont="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Alignment="1">
      <alignment vertical="center" wrapText="1"/>
    </xf>
    <xf numFmtId="0" fontId="20" fillId="17" borderId="8" xfId="0" applyFont="1" applyFill="1" applyBorder="1" applyAlignment="1">
      <alignment horizontal="left" vertical="center" wrapText="1" indent="1"/>
    </xf>
    <xf numFmtId="0" fontId="7" fillId="0" borderId="0" xfId="0" applyFont="1" applyFill="1" applyBorder="1" applyAlignment="1" applyProtection="1">
      <alignment horizontal="center" vertical="center" wrapText="1"/>
    </xf>
    <xf numFmtId="0" fontId="7" fillId="0" borderId="0" xfId="0" quotePrefix="1"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xf>
    <xf numFmtId="9" fontId="7" fillId="0" borderId="0" xfId="0" applyNumberFormat="1" applyFont="1" applyFill="1" applyBorder="1" applyAlignment="1" applyProtection="1">
      <alignment horizontal="center" vertical="center" wrapText="1"/>
    </xf>
    <xf numFmtId="0" fontId="8" fillId="4" borderId="3" xfId="0" applyNumberFormat="1" applyFont="1" applyFill="1" applyBorder="1" applyAlignment="1" applyProtection="1">
      <alignment horizontal="center" vertical="center" wrapText="1"/>
    </xf>
    <xf numFmtId="0" fontId="8" fillId="4" borderId="3" xfId="0" applyNumberFormat="1" applyFont="1" applyFill="1" applyBorder="1" applyAlignment="1">
      <alignment horizontal="center" vertical="center" wrapText="1"/>
    </xf>
    <xf numFmtId="0" fontId="7" fillId="0" borderId="3" xfId="0" applyFont="1" applyFill="1" applyBorder="1" applyAlignment="1">
      <alignment horizontal="righ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xf>
    <xf numFmtId="0" fontId="7" fillId="0" borderId="0" xfId="0" applyFont="1" applyBorder="1" applyAlignment="1">
      <alignment horizontal="left" vertical="center"/>
    </xf>
    <xf numFmtId="0" fontId="7" fillId="0" borderId="0" xfId="0" applyFont="1" applyFill="1" applyAlignment="1">
      <alignment horizontal="left" vertical="center"/>
    </xf>
    <xf numFmtId="0" fontId="9" fillId="0" borderId="0" xfId="0" applyFont="1" applyBorder="1" applyAlignment="1">
      <alignment horizontal="center"/>
    </xf>
    <xf numFmtId="0" fontId="7" fillId="18" borderId="3" xfId="0" applyFont="1" applyFill="1" applyBorder="1" applyAlignment="1">
      <alignment horizontal="center" vertical="center" wrapText="1"/>
    </xf>
    <xf numFmtId="0" fontId="7" fillId="7" borderId="13"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xf>
    <xf numFmtId="0" fontId="7" fillId="0" borderId="5"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13" fillId="0" borderId="13" xfId="1" applyFont="1" applyBorder="1" applyAlignment="1">
      <alignment horizontal="left" vertical="center"/>
    </xf>
    <xf numFmtId="0" fontId="13" fillId="0" borderId="8" xfId="1" applyFont="1" applyBorder="1" applyAlignment="1">
      <alignment horizontal="left" vertical="center"/>
    </xf>
    <xf numFmtId="0" fontId="13" fillId="0" borderId="13" xfId="1" applyFont="1" applyFill="1" applyBorder="1" applyAlignment="1">
      <alignment horizontal="left" vertical="center"/>
    </xf>
    <xf numFmtId="0" fontId="13" fillId="0" borderId="8" xfId="1" applyFont="1" applyFill="1" applyBorder="1" applyAlignment="1">
      <alignment horizontal="left" vertical="center"/>
    </xf>
    <xf numFmtId="0" fontId="13" fillId="0" borderId="13" xfId="1" applyFont="1" applyFill="1" applyBorder="1" applyAlignment="1">
      <alignment horizontal="left" vertical="center" wrapText="1"/>
    </xf>
    <xf numFmtId="0" fontId="13" fillId="0" borderId="8" xfId="1" applyFont="1" applyFill="1" applyBorder="1" applyAlignment="1">
      <alignment horizontal="left" vertical="center" wrapText="1"/>
    </xf>
    <xf numFmtId="0" fontId="13" fillId="0" borderId="3" xfId="1" applyFont="1" applyFill="1" applyBorder="1" applyAlignment="1">
      <alignment horizontal="left" vertical="center" wrapText="1"/>
    </xf>
  </cellXfs>
  <cellStyles count="4">
    <cellStyle name="Neutral" xfId="2" builtinId="28"/>
    <cellStyle name="Schlecht" xfId="3" builtinId="27"/>
    <cellStyle name="Standard" xfId="0" builtinId="0"/>
    <cellStyle name="Standard 2" xfId="1"/>
  </cellStyles>
  <dxfs count="650">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
      <fill>
        <patternFill>
          <bgColor theme="0" tint="-0.24994659260841701"/>
        </patternFill>
      </fill>
    </dxf>
    <dxf>
      <fill>
        <patternFill>
          <bgColor theme="0" tint="-0.24994659260841701"/>
        </patternFill>
      </fill>
    </dxf>
    <dxf>
      <fill>
        <patternFill>
          <bgColor indexed="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6D6D6"/>
      <rgbColor rgb="00777777"/>
      <rgbColor rgb="001D2D4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D2D4B"/>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Lines="20" dropStyle="combo" dx="16" fmlaLink="'UV-Daten'!$AA$2" fmlaRange="'UV-Daten'!$Y$2:$Y$21" sel="1" val="0"/>
</file>

<file path=xl/ctrlProps/ctrlProp2.xml><?xml version="1.0" encoding="utf-8"?>
<formControlPr xmlns="http://schemas.microsoft.com/office/spreadsheetml/2009/9/main" objectType="Drop" dropLines="20" dropStyle="combo" dx="16" fmlaLink="'UV-Daten'!$AB$2" fmlaRange="'UV-Daten'!$Y$2:$Y$21" sel="1" val="0"/>
</file>

<file path=xl/ctrlProps/ctrlProp3.xml><?xml version="1.0" encoding="utf-8"?>
<formControlPr xmlns="http://schemas.microsoft.com/office/spreadsheetml/2009/9/main" objectType="Drop" dropLines="20" dropStyle="combo" dx="16" fmlaLink="'UV-Daten'!$AC$2" fmlaRange="'UV-Daten'!$Y$2:$Y$21" sel="1" val="0"/>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28575</xdr:rowOff>
        </xdr:from>
        <xdr:to>
          <xdr:col>1</xdr:col>
          <xdr:colOff>1428750</xdr:colOff>
          <xdr:row>2</xdr:row>
          <xdr:rowOff>257175</xdr:rowOff>
        </xdr:to>
        <xdr:sp macro="" textlink="">
          <xdr:nvSpPr>
            <xdr:cNvPr id="5121" name="Drop Down 1" hidden="1">
              <a:extLst>
                <a:ext uri="{63B3BB69-23CF-44E3-9099-C40C66FF867C}">
                  <a14:compatExt spid="_x0000_s5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28575</xdr:rowOff>
        </xdr:from>
        <xdr:to>
          <xdr:col>2</xdr:col>
          <xdr:colOff>1428750</xdr:colOff>
          <xdr:row>2</xdr:row>
          <xdr:rowOff>257175</xdr:rowOff>
        </xdr:to>
        <xdr:sp macro="" textlink="">
          <xdr:nvSpPr>
            <xdr:cNvPr id="5122" name="Drop Down 2" hidden="1">
              <a:extLst>
                <a:ext uri="{63B3BB69-23CF-44E3-9099-C40C66FF867C}">
                  <a14:compatExt spid="_x0000_s5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xdr:row>
          <xdr:rowOff>28575</xdr:rowOff>
        </xdr:from>
        <xdr:to>
          <xdr:col>3</xdr:col>
          <xdr:colOff>1428750</xdr:colOff>
          <xdr:row>2</xdr:row>
          <xdr:rowOff>257175</xdr:rowOff>
        </xdr:to>
        <xdr:sp macro="" textlink="">
          <xdr:nvSpPr>
            <xdr:cNvPr id="5123" name="Drop Down 3" hidden="1">
              <a:extLst>
                <a:ext uri="{63B3BB69-23CF-44E3-9099-C40C66FF867C}">
                  <a14:compatExt spid="_x0000_s5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11"/>
  <sheetViews>
    <sheetView showGridLines="0" tabSelected="1" zoomScaleNormal="100" zoomScaleSheetLayoutView="100" workbookViewId="0">
      <selection activeCell="E8" sqref="E8"/>
    </sheetView>
  </sheetViews>
  <sheetFormatPr baseColWidth="10" defaultRowHeight="12.75"/>
  <cols>
    <col min="1" max="1" width="39.7109375" customWidth="1"/>
    <col min="2" max="5" width="24.28515625" customWidth="1"/>
  </cols>
  <sheetData>
    <row r="1" spans="1:7" s="11" customFormat="1" ht="12" customHeight="1">
      <c r="A1" s="24"/>
      <c r="B1" s="24"/>
      <c r="C1" s="24"/>
      <c r="D1" s="24"/>
      <c r="E1" s="24"/>
      <c r="F1" s="24"/>
      <c r="G1" s="24"/>
    </row>
    <row r="2" spans="1:7" s="30" customFormat="1" ht="20.100000000000001" customHeight="1">
      <c r="A2" s="27" t="s">
        <v>147</v>
      </c>
      <c r="B2" s="289"/>
      <c r="C2" s="290"/>
      <c r="D2" s="28" t="s">
        <v>148</v>
      </c>
      <c r="E2" s="29"/>
    </row>
    <row r="3" spans="1:7" s="11" customFormat="1" ht="22.5" customHeight="1">
      <c r="A3" s="12"/>
      <c r="B3" s="13"/>
      <c r="C3" s="13"/>
      <c r="D3" s="13"/>
      <c r="E3"/>
    </row>
    <row r="4" spans="1:7" s="35" customFormat="1" ht="20.100000000000001" customHeight="1">
      <c r="A4" s="31"/>
      <c r="B4" s="32" t="str">
        <f>Auswahl1</f>
        <v>Keine</v>
      </c>
      <c r="C4" s="33" t="str">
        <f>Auswahl2</f>
        <v>Keine</v>
      </c>
      <c r="D4" s="33" t="str">
        <f>Auswahl3</f>
        <v>Keine</v>
      </c>
      <c r="E4" s="34" t="s">
        <v>1004</v>
      </c>
    </row>
    <row r="5" spans="1:7" s="35" customFormat="1" ht="20.100000000000001" customHeight="1">
      <c r="A5" s="104"/>
      <c r="B5" s="36"/>
      <c r="C5" s="105"/>
      <c r="D5" s="36"/>
      <c r="E5" s="36"/>
    </row>
    <row r="6" spans="1:7" s="35" customFormat="1" ht="12" customHeight="1">
      <c r="A6" s="46"/>
      <c r="B6" s="47"/>
      <c r="C6" s="47"/>
      <c r="D6" s="47"/>
      <c r="E6" s="40"/>
    </row>
    <row r="7" spans="1:7" s="35" customFormat="1" ht="20.100000000000001" customHeight="1">
      <c r="A7" s="176" t="s">
        <v>4819</v>
      </c>
      <c r="B7" s="275" t="str">
        <f>B4</f>
        <v>Keine</v>
      </c>
      <c r="C7" s="275" t="str">
        <f t="shared" ref="C7:E7" si="0">C4</f>
        <v>Keine</v>
      </c>
      <c r="D7" s="275" t="str">
        <f t="shared" si="0"/>
        <v>Keine</v>
      </c>
      <c r="E7" s="275" t="str">
        <f t="shared" si="0"/>
        <v>Individuell</v>
      </c>
    </row>
    <row r="8" spans="1:7" s="35" customFormat="1" ht="39.950000000000003" customHeight="1">
      <c r="A8" s="53" t="s">
        <v>4818</v>
      </c>
      <c r="B8" s="37" t="str">
        <f>HLOOKUP(Auswahl1,VergleichMatrix,2)</f>
        <v>-</v>
      </c>
      <c r="C8" s="37" t="str">
        <f>HLOOKUP(Auswahl2,VergleichMatrix,2)</f>
        <v>-</v>
      </c>
      <c r="D8" s="37" t="str">
        <f>HLOOKUP(Auswahl3,VergleichMatrix,2)</f>
        <v>-</v>
      </c>
      <c r="E8" s="107"/>
    </row>
    <row r="9" spans="1:7" s="35" customFormat="1" ht="30" customHeight="1">
      <c r="A9" s="53" t="s">
        <v>4817</v>
      </c>
      <c r="B9" s="37" t="str">
        <f>HLOOKUP(Auswahl1,VergleichMatrix,4)</f>
        <v>-</v>
      </c>
      <c r="C9" s="37" t="str">
        <f>HLOOKUP(Auswahl2,VergleichMatrix,4)</f>
        <v>-</v>
      </c>
      <c r="D9" s="37" t="str">
        <f>HLOOKUP(Auswahl3,VergleichMatrix,4)</f>
        <v>-</v>
      </c>
      <c r="E9" s="107"/>
    </row>
    <row r="10" spans="1:7" s="35" customFormat="1" ht="30" customHeight="1">
      <c r="A10" s="53" t="s">
        <v>4816</v>
      </c>
      <c r="B10" s="71" t="str">
        <f>HLOOKUP(Auswahl1,VergleichMatrix,6)</f>
        <v>-</v>
      </c>
      <c r="C10" s="71" t="str">
        <f>HLOOKUP(Auswahl2,VergleichMatrix,6)</f>
        <v>-</v>
      </c>
      <c r="D10" s="71" t="str">
        <f>HLOOKUP(Auswahl3,VergleichMatrix,6)</f>
        <v>-</v>
      </c>
      <c r="E10" s="107"/>
    </row>
    <row r="11" spans="1:7" s="35" customFormat="1" ht="30" customHeight="1">
      <c r="A11" s="53" t="s">
        <v>4793</v>
      </c>
      <c r="B11" s="37" t="str">
        <f>HLOOKUP(Auswahl1,VergleichMatrix,8)</f>
        <v>-</v>
      </c>
      <c r="C11" s="37" t="str">
        <f>HLOOKUP(Auswahl2,VergleichMatrix,8)</f>
        <v>-</v>
      </c>
      <c r="D11" s="37" t="str">
        <f>HLOOKUP(Auswahl3,VergleichMatrix,8)</f>
        <v>-</v>
      </c>
      <c r="E11" s="107"/>
    </row>
    <row r="12" spans="1:7" s="35" customFormat="1" ht="9" customHeight="1">
      <c r="A12" s="59"/>
      <c r="B12" s="273"/>
      <c r="C12" s="273"/>
      <c r="D12" s="273"/>
      <c r="E12" s="272"/>
    </row>
    <row r="13" spans="1:7" s="35" customFormat="1" ht="20.100000000000001" customHeight="1">
      <c r="A13" s="176" t="s">
        <v>68</v>
      </c>
      <c r="B13" s="275" t="str">
        <f>B4</f>
        <v>Keine</v>
      </c>
      <c r="C13" s="275" t="str">
        <f t="shared" ref="C13:E13" si="1">C4</f>
        <v>Keine</v>
      </c>
      <c r="D13" s="275" t="str">
        <f t="shared" si="1"/>
        <v>Keine</v>
      </c>
      <c r="E13" s="275" t="str">
        <f t="shared" si="1"/>
        <v>Individuell</v>
      </c>
    </row>
    <row r="14" spans="1:7" s="35" customFormat="1" ht="39.950000000000003" customHeight="1">
      <c r="A14" s="53" t="s">
        <v>6035</v>
      </c>
      <c r="B14" s="37" t="str">
        <f>HLOOKUP(Auswahl1,VergleichMatrix,12)</f>
        <v>-</v>
      </c>
      <c r="C14" s="37" t="str">
        <f>HLOOKUP(Auswahl2,VergleichMatrix,12)</f>
        <v>-</v>
      </c>
      <c r="D14" s="37" t="str">
        <f>HLOOKUP(Auswahl3,VergleichMatrix,12)</f>
        <v>-</v>
      </c>
      <c r="E14" s="107"/>
    </row>
    <row r="15" spans="1:7" s="35" customFormat="1" ht="39.950000000000003" customHeight="1">
      <c r="A15" s="53" t="s">
        <v>6036</v>
      </c>
      <c r="B15" s="37" t="str">
        <f>HLOOKUP(Auswahl1,VergleichMatrix,14)</f>
        <v>-</v>
      </c>
      <c r="C15" s="37" t="str">
        <f>HLOOKUP(Auswahl2,VergleichMatrix,14)</f>
        <v>-</v>
      </c>
      <c r="D15" s="37" t="str">
        <f>HLOOKUP(Auswahl3,VergleichMatrix,14)</f>
        <v>-</v>
      </c>
      <c r="E15" s="107"/>
    </row>
    <row r="16" spans="1:7" s="35" customFormat="1" ht="30" customHeight="1">
      <c r="A16" s="53" t="s">
        <v>5182</v>
      </c>
      <c r="B16" s="37" t="str">
        <f>HLOOKUP(Auswahl1,VergleichMatrix,16)</f>
        <v>-</v>
      </c>
      <c r="C16" s="37" t="str">
        <f>HLOOKUP(Auswahl2,VergleichMatrix,16)</f>
        <v>-</v>
      </c>
      <c r="D16" s="37" t="str">
        <f>HLOOKUP(Auswahl3,VergleichMatrix,16)</f>
        <v>-</v>
      </c>
      <c r="E16" s="107"/>
    </row>
    <row r="17" spans="1:5" s="35" customFormat="1" ht="30" customHeight="1">
      <c r="A17" s="53" t="s">
        <v>4941</v>
      </c>
      <c r="B17" s="37" t="str">
        <f>HLOOKUP(Auswahl1,VergleichMatrix,18)</f>
        <v>-</v>
      </c>
      <c r="C17" s="37" t="str">
        <f>HLOOKUP(Auswahl2,VergleichMatrix,18)</f>
        <v>-</v>
      </c>
      <c r="D17" s="37" t="str">
        <f>HLOOKUP(Auswahl3,VergleichMatrix,18)</f>
        <v>-</v>
      </c>
      <c r="E17" s="107"/>
    </row>
    <row r="18" spans="1:5" s="38" customFormat="1" ht="30" customHeight="1">
      <c r="A18" s="53" t="s">
        <v>5442</v>
      </c>
      <c r="B18" s="37" t="str">
        <f>HLOOKUP(Auswahl1,VergleichMatrix,20)</f>
        <v>-</v>
      </c>
      <c r="C18" s="37" t="str">
        <f>HLOOKUP(Auswahl2,VergleichMatrix,20)</f>
        <v>-</v>
      </c>
      <c r="D18" s="37" t="str">
        <f>HLOOKUP(Auswahl3,VergleichMatrix,20)</f>
        <v>-</v>
      </c>
      <c r="E18" s="107"/>
    </row>
    <row r="19" spans="1:5" s="38" customFormat="1" ht="30" customHeight="1">
      <c r="A19" s="53" t="s">
        <v>6094</v>
      </c>
      <c r="B19" s="37" t="str">
        <f>HLOOKUP(Auswahl1,VergleichMatrix,22)</f>
        <v>-</v>
      </c>
      <c r="C19" s="37" t="str">
        <f>HLOOKUP(Auswahl2,VergleichMatrix,22)</f>
        <v>-</v>
      </c>
      <c r="D19" s="37" t="str">
        <f>HLOOKUP(Auswahl3,VergleichMatrix,22)</f>
        <v>-</v>
      </c>
      <c r="E19" s="107"/>
    </row>
    <row r="20" spans="1:5" s="38" customFormat="1" ht="5.0999999999999996" customHeight="1">
      <c r="A20" s="59"/>
      <c r="B20" s="273"/>
      <c r="C20" s="273"/>
      <c r="D20" s="273"/>
      <c r="E20" s="272"/>
    </row>
    <row r="21" spans="1:5" s="38" customFormat="1" ht="20.100000000000001" customHeight="1">
      <c r="A21" s="176" t="s">
        <v>6114</v>
      </c>
      <c r="B21" s="275" t="str">
        <f>B4</f>
        <v>Keine</v>
      </c>
      <c r="C21" s="275" t="str">
        <f t="shared" ref="C21:E21" si="2">C4</f>
        <v>Keine</v>
      </c>
      <c r="D21" s="275" t="str">
        <f t="shared" si="2"/>
        <v>Keine</v>
      </c>
      <c r="E21" s="275" t="str">
        <f t="shared" si="2"/>
        <v>Individuell</v>
      </c>
    </row>
    <row r="22" spans="1:5" s="38" customFormat="1" ht="30" customHeight="1">
      <c r="A22" s="53" t="s">
        <v>5671</v>
      </c>
      <c r="B22" s="37" t="str">
        <f>HLOOKUP(Auswahl1,VergleichMatrix,24)</f>
        <v>-</v>
      </c>
      <c r="C22" s="37" t="str">
        <f>HLOOKUP(Auswahl2,VergleichMatrix,24)</f>
        <v>-</v>
      </c>
      <c r="D22" s="37" t="str">
        <f>HLOOKUP(Auswahl3,VergleichMatrix,24)</f>
        <v>-</v>
      </c>
      <c r="E22" s="107"/>
    </row>
    <row r="23" spans="1:5" s="38" customFormat="1" ht="30" customHeight="1">
      <c r="A23" s="53" t="s">
        <v>6095</v>
      </c>
      <c r="B23" s="71" t="str">
        <f>HLOOKUP(Auswahl1,VergleichMatrix,26)</f>
        <v>-</v>
      </c>
      <c r="C23" s="71" t="str">
        <f>HLOOKUP(Auswahl2,VergleichMatrix,26)</f>
        <v>-</v>
      </c>
      <c r="D23" s="71" t="str">
        <f>HLOOKUP(Auswahl3,VergleichMatrix,26)</f>
        <v>-</v>
      </c>
      <c r="E23" s="107"/>
    </row>
    <row r="24" spans="1:5" s="38" customFormat="1" ht="30" customHeight="1">
      <c r="A24" s="53" t="s">
        <v>5672</v>
      </c>
      <c r="B24" s="37" t="str">
        <f>HLOOKUP(Auswahl1,VergleichMatrix,28)</f>
        <v>-</v>
      </c>
      <c r="C24" s="37" t="str">
        <f>HLOOKUP(Auswahl2,VergleichMatrix,28)</f>
        <v>-</v>
      </c>
      <c r="D24" s="37" t="str">
        <f>HLOOKUP(Auswahl3,VergleichMatrix,28)</f>
        <v>-</v>
      </c>
      <c r="E24" s="107"/>
    </row>
    <row r="25" spans="1:5" s="38" customFormat="1" ht="30" customHeight="1">
      <c r="A25" s="53" t="s">
        <v>1</v>
      </c>
      <c r="B25" s="37" t="str">
        <f>HLOOKUP(Auswahl1,VergleichMatrix,30)</f>
        <v>-</v>
      </c>
      <c r="C25" s="37" t="str">
        <f>HLOOKUP(Auswahl2,VergleichMatrix,30)</f>
        <v>-</v>
      </c>
      <c r="D25" s="37" t="str">
        <f>HLOOKUP(Auswahl3,VergleichMatrix,30)</f>
        <v>-</v>
      </c>
      <c r="E25" s="107"/>
    </row>
    <row r="26" spans="1:5" s="38" customFormat="1" ht="30" customHeight="1">
      <c r="A26" s="53" t="s">
        <v>5195</v>
      </c>
      <c r="B26" s="71" t="str">
        <f>HLOOKUP(Auswahl1,VergleichMatrix,32)</f>
        <v>-</v>
      </c>
      <c r="C26" s="71" t="str">
        <f>HLOOKUP(Auswahl2,VergleichMatrix,32)</f>
        <v>-</v>
      </c>
      <c r="D26" s="71" t="str">
        <f>HLOOKUP(Auswahl3,VergleichMatrix,32)</f>
        <v>-</v>
      </c>
      <c r="E26" s="107"/>
    </row>
    <row r="27" spans="1:5" s="35" customFormat="1" ht="30" customHeight="1">
      <c r="A27" s="53" t="s">
        <v>5196</v>
      </c>
      <c r="B27" s="37" t="str">
        <f>HLOOKUP(Auswahl1,VergleichMatrix,34)</f>
        <v>-</v>
      </c>
      <c r="C27" s="37" t="str">
        <f>HLOOKUP(Auswahl2,VergleichMatrix,34)</f>
        <v>-</v>
      </c>
      <c r="D27" s="37" t="str">
        <f>HLOOKUP(Auswahl3,VergleichMatrix,34)</f>
        <v>-</v>
      </c>
      <c r="E27" s="107"/>
    </row>
    <row r="28" spans="1:5" s="35" customFormat="1" ht="30" customHeight="1">
      <c r="A28" s="53" t="s">
        <v>5436</v>
      </c>
      <c r="B28" s="37" t="str">
        <f>HLOOKUP(Auswahl1,VergleichMatrix,36)</f>
        <v>-</v>
      </c>
      <c r="C28" s="37" t="str">
        <f>HLOOKUP(Auswahl2,VergleichMatrix,36)</f>
        <v>-</v>
      </c>
      <c r="D28" s="37" t="str">
        <f>HLOOKUP(Auswahl3,VergleichMatrix,36)</f>
        <v>-</v>
      </c>
      <c r="E28" s="107"/>
    </row>
    <row r="29" spans="1:5" s="38" customFormat="1" ht="30" customHeight="1">
      <c r="A29" s="53" t="s">
        <v>5184</v>
      </c>
      <c r="B29" s="37" t="str">
        <f>HLOOKUP(Auswahl1,VergleichMatrix,38)</f>
        <v>-</v>
      </c>
      <c r="C29" s="37" t="str">
        <f>HLOOKUP(Auswahl2,VergleichMatrix,38)</f>
        <v>-</v>
      </c>
      <c r="D29" s="37" t="str">
        <f>HLOOKUP(Auswahl3,VergleichMatrix,38)</f>
        <v>-</v>
      </c>
      <c r="E29" s="107"/>
    </row>
    <row r="30" spans="1:5" s="38" customFormat="1" ht="30" customHeight="1">
      <c r="A30" s="53" t="s">
        <v>6096</v>
      </c>
      <c r="B30" s="37" t="str">
        <f>HLOOKUP(Auswahl1,VergleichMatrix,40)</f>
        <v>-</v>
      </c>
      <c r="C30" s="37" t="str">
        <f>HLOOKUP(Auswahl2,VergleichMatrix,40)</f>
        <v>-</v>
      </c>
      <c r="D30" s="37" t="str">
        <f>HLOOKUP(Auswahl3,VergleichMatrix,40)</f>
        <v>-</v>
      </c>
      <c r="E30" s="107"/>
    </row>
    <row r="31" spans="1:5" s="38" customFormat="1" ht="30" customHeight="1">
      <c r="A31" s="53" t="s">
        <v>146</v>
      </c>
      <c r="B31" s="125" t="str">
        <f>HLOOKUP(Auswahl1,VergleichMatrix,42)</f>
        <v>-</v>
      </c>
      <c r="C31" s="125" t="str">
        <f>HLOOKUP(Auswahl2,VergleichMatrix,42)</f>
        <v>-</v>
      </c>
      <c r="D31" s="125" t="str">
        <f>HLOOKUP(Auswahl3,VergleichMatrix,42)</f>
        <v>-</v>
      </c>
      <c r="E31" s="107"/>
    </row>
    <row r="32" spans="1:5" s="38" customFormat="1" ht="30" customHeight="1">
      <c r="A32" s="53" t="s">
        <v>6097</v>
      </c>
      <c r="B32" s="71" t="str">
        <f>HLOOKUP(Auswahl1,VergleichMatrix,44)</f>
        <v>-</v>
      </c>
      <c r="C32" s="71" t="str">
        <f>HLOOKUP(Auswahl2,VergleichMatrix,44)</f>
        <v>-</v>
      </c>
      <c r="D32" s="71" t="str">
        <f>HLOOKUP(Auswahl3,VergleichMatrix,44)</f>
        <v>-</v>
      </c>
      <c r="E32" s="107"/>
    </row>
    <row r="33" spans="1:5" s="38" customFormat="1" ht="30" customHeight="1">
      <c r="A33" s="53" t="s">
        <v>5432</v>
      </c>
      <c r="B33" s="71" t="str">
        <f>HLOOKUP(Auswahl1,VergleichMatrix,46)</f>
        <v>-</v>
      </c>
      <c r="C33" s="71" t="str">
        <f>HLOOKUP(Auswahl2,VergleichMatrix,46)</f>
        <v>-</v>
      </c>
      <c r="D33" s="71" t="str">
        <f>HLOOKUP(Auswahl3,VergleichMatrix,46)</f>
        <v>-</v>
      </c>
      <c r="E33" s="107"/>
    </row>
    <row r="34" spans="1:5" s="38" customFormat="1" ht="30" customHeight="1">
      <c r="A34" s="53" t="s">
        <v>5202</v>
      </c>
      <c r="B34" s="71" t="str">
        <f>HLOOKUP(Auswahl1,VergleichMatrix,48)</f>
        <v>-</v>
      </c>
      <c r="C34" s="71" t="str">
        <f>HLOOKUP(Auswahl2,VergleichMatrix,48)</f>
        <v>-</v>
      </c>
      <c r="D34" s="71" t="str">
        <f>HLOOKUP(Auswahl3,VergleichMatrix,48)</f>
        <v>-</v>
      </c>
      <c r="E34" s="107"/>
    </row>
    <row r="35" spans="1:5" s="38" customFormat="1" ht="30" customHeight="1">
      <c r="A35" s="59"/>
      <c r="B35" s="271"/>
      <c r="C35" s="271"/>
      <c r="D35" s="271"/>
      <c r="E35" s="272"/>
    </row>
    <row r="36" spans="1:5" s="38" customFormat="1" ht="5.0999999999999996" customHeight="1">
      <c r="A36" s="41"/>
      <c r="B36" s="41"/>
      <c r="C36" s="41"/>
      <c r="D36" s="41"/>
      <c r="E36" s="35"/>
    </row>
    <row r="37" spans="1:5" s="35" customFormat="1" ht="39.950000000000003" customHeight="1">
      <c r="A37" s="261" t="s">
        <v>5805</v>
      </c>
      <c r="B37" s="275" t="str">
        <f>B4</f>
        <v>Keine</v>
      </c>
      <c r="C37" s="275" t="str">
        <f t="shared" ref="C37:E37" si="3">C4</f>
        <v>Keine</v>
      </c>
      <c r="D37" s="275" t="str">
        <f t="shared" si="3"/>
        <v>Keine</v>
      </c>
      <c r="E37" s="275" t="str">
        <f t="shared" si="3"/>
        <v>Individuell</v>
      </c>
    </row>
    <row r="38" spans="1:5" s="35" customFormat="1" ht="249.95" customHeight="1">
      <c r="A38" s="53" t="s">
        <v>5827</v>
      </c>
      <c r="B38" s="37" t="str">
        <f>HLOOKUP(Auswahl1,VergleichMatrix,52)</f>
        <v>-</v>
      </c>
      <c r="C38" s="37" t="str">
        <f>HLOOKUP(Auswahl2,VergleichMatrix,52)</f>
        <v>-</v>
      </c>
      <c r="D38" s="37" t="str">
        <f>HLOOKUP(Auswahl3,VergleichMatrix,52)</f>
        <v>-</v>
      </c>
      <c r="E38" s="107"/>
    </row>
    <row r="39" spans="1:5" s="35" customFormat="1" ht="39.950000000000003" customHeight="1">
      <c r="A39" s="53" t="s">
        <v>5260</v>
      </c>
      <c r="B39" s="37" t="str">
        <f>HLOOKUP(Auswahl1,VergleichMatrix,54)</f>
        <v>-</v>
      </c>
      <c r="C39" s="37" t="str">
        <f>HLOOKUP(Auswahl2,VergleichMatrix,54)</f>
        <v>-</v>
      </c>
      <c r="D39" s="37" t="str">
        <f>HLOOKUP(Auswahl3,VergleichMatrix,54)</f>
        <v>-</v>
      </c>
      <c r="E39" s="107"/>
    </row>
    <row r="40" spans="1:5" s="35" customFormat="1" ht="30" customHeight="1">
      <c r="A40" s="53" t="s">
        <v>5193</v>
      </c>
      <c r="B40" s="71" t="str">
        <f>HLOOKUP(Auswahl1,VergleichMatrix,56)</f>
        <v>-</v>
      </c>
      <c r="C40" s="71" t="str">
        <f>HLOOKUP(Auswahl2,VergleichMatrix,56)</f>
        <v>-</v>
      </c>
      <c r="D40" s="71" t="str">
        <f>HLOOKUP(Auswahl3,VergleichMatrix,56)</f>
        <v>-</v>
      </c>
      <c r="E40" s="107"/>
    </row>
    <row r="41" spans="1:5" s="38" customFormat="1" ht="30" customHeight="1">
      <c r="A41" s="53" t="s">
        <v>31</v>
      </c>
      <c r="B41" s="71" t="str">
        <f>HLOOKUP(Auswahl1,VergleichMatrix,58)</f>
        <v>-</v>
      </c>
      <c r="C41" s="71" t="str">
        <f>HLOOKUP(Auswahl2,VergleichMatrix,58)</f>
        <v>-</v>
      </c>
      <c r="D41" s="71" t="str">
        <f>HLOOKUP(Auswahl3,VergleichMatrix,58)</f>
        <v>-</v>
      </c>
      <c r="E41" s="126"/>
    </row>
    <row r="42" spans="1:5" s="38" customFormat="1" ht="30" customHeight="1">
      <c r="A42" s="53" t="s">
        <v>5809</v>
      </c>
      <c r="B42" s="71" t="str">
        <f>HLOOKUP(Auswahl1,VergleichMatrix,60)</f>
        <v>-</v>
      </c>
      <c r="C42" s="71" t="str">
        <f>HLOOKUP(Auswahl2,VergleichMatrix,60)</f>
        <v>-</v>
      </c>
      <c r="D42" s="71" t="str">
        <f>HLOOKUP(Auswahl3,VergleichMatrix,60)</f>
        <v>-</v>
      </c>
      <c r="E42" s="107"/>
    </row>
    <row r="43" spans="1:5" s="38" customFormat="1" ht="30" customHeight="1">
      <c r="A43" s="53" t="s">
        <v>5257</v>
      </c>
      <c r="B43" s="37" t="str">
        <f>HLOOKUP(Auswahl1,VergleichMatrix,62)</f>
        <v>-</v>
      </c>
      <c r="C43" s="37" t="str">
        <f>HLOOKUP(Auswahl2,VergleichMatrix,62)</f>
        <v>-</v>
      </c>
      <c r="D43" s="37" t="str">
        <f>HLOOKUP(Auswahl3,VergleichMatrix,62)</f>
        <v>-</v>
      </c>
      <c r="E43" s="107"/>
    </row>
    <row r="44" spans="1:5" s="38" customFormat="1" ht="5.0999999999999996" customHeight="1">
      <c r="A44" s="59"/>
      <c r="B44" s="273"/>
      <c r="C44" s="273"/>
      <c r="D44" s="273"/>
      <c r="E44" s="272"/>
    </row>
    <row r="45" spans="1:5" s="38" customFormat="1" ht="20.100000000000001" customHeight="1">
      <c r="A45" s="261" t="s">
        <v>6113</v>
      </c>
      <c r="B45" s="275" t="str">
        <f>B4</f>
        <v>Keine</v>
      </c>
      <c r="C45" s="275" t="str">
        <f t="shared" ref="C45:E45" si="4">C4</f>
        <v>Keine</v>
      </c>
      <c r="D45" s="275" t="str">
        <f t="shared" si="4"/>
        <v>Keine</v>
      </c>
      <c r="E45" s="275" t="str">
        <f t="shared" si="4"/>
        <v>Individuell</v>
      </c>
    </row>
    <row r="46" spans="1:5" s="38" customFormat="1" ht="50.1" customHeight="1">
      <c r="A46" s="53" t="s">
        <v>5812</v>
      </c>
      <c r="B46" s="63" t="str">
        <f>HLOOKUP(Auswahl1,VergleichMatrix,64)</f>
        <v>-</v>
      </c>
      <c r="C46" s="63" t="str">
        <f>HLOOKUP(Auswahl2,VergleichMatrix,64)</f>
        <v>-</v>
      </c>
      <c r="D46" s="63" t="str">
        <f>HLOOKUP(Auswahl3,VergleichMatrix,64)</f>
        <v>-</v>
      </c>
      <c r="E46" s="107"/>
    </row>
    <row r="47" spans="1:5" s="38" customFormat="1" ht="30" customHeight="1">
      <c r="A47" s="53" t="s">
        <v>5811</v>
      </c>
      <c r="B47" s="63" t="str">
        <f>HLOOKUP(Auswahl1,VergleichMatrix,66)</f>
        <v>-</v>
      </c>
      <c r="C47" s="63" t="str">
        <f>HLOOKUP(Auswahl2,VergleichMatrix,66)</f>
        <v>-</v>
      </c>
      <c r="D47" s="63" t="str">
        <f>HLOOKUP(Auswahl3,VergleichMatrix,66)</f>
        <v>-</v>
      </c>
      <c r="E47" s="107"/>
    </row>
    <row r="48" spans="1:5" s="38" customFormat="1" ht="9" customHeight="1">
      <c r="A48" s="39"/>
      <c r="B48" s="271"/>
      <c r="C48" s="271"/>
      <c r="D48" s="271"/>
      <c r="E48" s="272"/>
    </row>
    <row r="49" spans="1:5" s="38" customFormat="1" ht="20.100000000000001" customHeight="1">
      <c r="A49" s="176" t="s">
        <v>4684</v>
      </c>
      <c r="B49" s="276" t="str">
        <f>B4</f>
        <v>Keine</v>
      </c>
      <c r="C49" s="276" t="str">
        <f t="shared" ref="C49:E49" si="5">C4</f>
        <v>Keine</v>
      </c>
      <c r="D49" s="276" t="str">
        <f t="shared" si="5"/>
        <v>Keine</v>
      </c>
      <c r="E49" s="276" t="str">
        <f t="shared" si="5"/>
        <v>Individuell</v>
      </c>
    </row>
    <row r="50" spans="1:5" s="38" customFormat="1" ht="30" customHeight="1">
      <c r="A50" s="53" t="s">
        <v>4833</v>
      </c>
      <c r="B50" s="71" t="str">
        <f>HLOOKUP(Auswahl1,VergleichMatrix,70)</f>
        <v>-</v>
      </c>
      <c r="C50" s="71" t="str">
        <f>HLOOKUP(Auswahl2,VergleichMatrix,70)</f>
        <v>-</v>
      </c>
      <c r="D50" s="71" t="str">
        <f>HLOOKUP(Auswahl3,VergleichMatrix,70)</f>
        <v>-</v>
      </c>
      <c r="E50" s="107"/>
    </row>
    <row r="51" spans="1:5" s="38" customFormat="1" ht="30" customHeight="1">
      <c r="A51" s="53" t="s">
        <v>4834</v>
      </c>
      <c r="B51" s="71" t="str">
        <f>HLOOKUP(Auswahl1,VergleichMatrix,72)</f>
        <v>-</v>
      </c>
      <c r="C51" s="71" t="str">
        <f>HLOOKUP(Auswahl2,VergleichMatrix,72)</f>
        <v>-</v>
      </c>
      <c r="D51" s="71" t="str">
        <f>HLOOKUP(Auswahl3,VergleichMatrix,72)</f>
        <v>-</v>
      </c>
      <c r="E51" s="107"/>
    </row>
    <row r="52" spans="1:5" s="38" customFormat="1" ht="30" customHeight="1">
      <c r="A52" s="53" t="s">
        <v>6093</v>
      </c>
      <c r="B52" s="71" t="str">
        <f>HLOOKUP(Auswahl1,VergleichMatrix,74)</f>
        <v>-</v>
      </c>
      <c r="C52" s="71" t="str">
        <f>HLOOKUP(Auswahl2,VergleichMatrix,74)</f>
        <v>-</v>
      </c>
      <c r="D52" s="71" t="str">
        <f>HLOOKUP(Auswahl3,VergleichMatrix,74)</f>
        <v>-</v>
      </c>
      <c r="E52" s="107"/>
    </row>
    <row r="53" spans="1:5" s="38" customFormat="1" ht="30" customHeight="1">
      <c r="A53" s="53" t="s">
        <v>4688</v>
      </c>
      <c r="B53" s="37" t="str">
        <f>HLOOKUP(Auswahl1,VergleichMatrix,76)</f>
        <v>-</v>
      </c>
      <c r="C53" s="37" t="str">
        <f>HLOOKUP(Auswahl2,VergleichMatrix,76)</f>
        <v>-</v>
      </c>
      <c r="D53" s="37" t="str">
        <f>HLOOKUP(Auswahl3,VergleichMatrix,76)</f>
        <v>-</v>
      </c>
      <c r="E53" s="107"/>
    </row>
    <row r="54" spans="1:5" s="38" customFormat="1" ht="30" customHeight="1">
      <c r="A54" s="53" t="s">
        <v>5188</v>
      </c>
      <c r="B54" s="42" t="str">
        <f>HLOOKUP(Auswahl1,VergleichMatrix,78)</f>
        <v>-</v>
      </c>
      <c r="C54" s="42" t="str">
        <f>HLOOKUP(Auswahl2,VergleichMatrix,78)</f>
        <v>-</v>
      </c>
      <c r="D54" s="42" t="str">
        <f>HLOOKUP(Auswahl3,VergleichMatrix,78)</f>
        <v>-</v>
      </c>
      <c r="E54" s="107"/>
    </row>
    <row r="55" spans="1:5" s="38" customFormat="1" ht="30" customHeight="1">
      <c r="A55" s="53" t="s">
        <v>5189</v>
      </c>
      <c r="B55" s="42" t="str">
        <f>HLOOKUP(Auswahl1,VergleichMatrix,80)</f>
        <v>-</v>
      </c>
      <c r="C55" s="42" t="str">
        <f>HLOOKUP(Auswahl2,VergleichMatrix,80)</f>
        <v>-</v>
      </c>
      <c r="D55" s="42" t="str">
        <f>HLOOKUP(Auswahl3,VergleichMatrix,80)</f>
        <v>-</v>
      </c>
      <c r="E55" s="107"/>
    </row>
    <row r="56" spans="1:5" s="35" customFormat="1" ht="39.950000000000003" customHeight="1">
      <c r="A56" s="53" t="s">
        <v>5212</v>
      </c>
      <c r="B56" s="42" t="str">
        <f>HLOOKUP(Auswahl1,VergleichMatrix,82)</f>
        <v>-</v>
      </c>
      <c r="C56" s="42" t="str">
        <f>HLOOKUP(Auswahl2,VergleichMatrix,82)</f>
        <v>-</v>
      </c>
      <c r="D56" s="42" t="str">
        <f>HLOOKUP(Auswahl3,VergleichMatrix,82)</f>
        <v>-</v>
      </c>
      <c r="E56" s="107"/>
    </row>
    <row r="57" spans="1:5" s="38" customFormat="1" ht="39.950000000000003" customHeight="1">
      <c r="A57" s="53" t="s">
        <v>5790</v>
      </c>
      <c r="B57" s="42" t="str">
        <f>HLOOKUP(Auswahl1,VergleichMatrix,84)</f>
        <v>-</v>
      </c>
      <c r="C57" s="42" t="str">
        <f>HLOOKUP(Auswahl2,VergleichMatrix,84)</f>
        <v>-</v>
      </c>
      <c r="D57" s="42" t="str">
        <f>HLOOKUP(Auswahl3,VergleichMatrix,84)</f>
        <v>-</v>
      </c>
      <c r="E57" s="107"/>
    </row>
    <row r="58" spans="1:5" s="38" customFormat="1" ht="30" customHeight="1">
      <c r="A58" s="53" t="s">
        <v>5454</v>
      </c>
      <c r="B58" s="37" t="str">
        <f>HLOOKUP(Auswahl1,VergleichMatrix,86)</f>
        <v>-</v>
      </c>
      <c r="C58" s="37" t="str">
        <f>HLOOKUP(Auswahl2,VergleichMatrix,86)</f>
        <v>-</v>
      </c>
      <c r="D58" s="37" t="str">
        <f>HLOOKUP(Auswahl3,VergleichMatrix,86)</f>
        <v>-</v>
      </c>
      <c r="E58" s="107"/>
    </row>
    <row r="59" spans="1:5" s="38" customFormat="1" ht="30" customHeight="1">
      <c r="A59" s="53" t="s">
        <v>5210</v>
      </c>
      <c r="B59" s="37" t="str">
        <f>HLOOKUP(Auswahl1,VergleichMatrix,88)</f>
        <v>-</v>
      </c>
      <c r="C59" s="37" t="str">
        <f>HLOOKUP(Auswahl2,VergleichMatrix,88)</f>
        <v>-</v>
      </c>
      <c r="D59" s="37" t="str">
        <f>HLOOKUP(Auswahl3,VergleichMatrix,88)</f>
        <v>-</v>
      </c>
      <c r="E59" s="107"/>
    </row>
    <row r="60" spans="1:5" s="38" customFormat="1" ht="30" customHeight="1">
      <c r="A60" s="59"/>
      <c r="B60" s="273"/>
      <c r="C60" s="273"/>
      <c r="D60" s="273"/>
      <c r="E60" s="272"/>
    </row>
    <row r="61" spans="1:5" s="35" customFormat="1" ht="5.0999999999999996" customHeight="1">
      <c r="A61" s="39"/>
      <c r="B61" s="271"/>
      <c r="C61" s="271"/>
      <c r="D61" s="271"/>
      <c r="E61" s="272"/>
    </row>
    <row r="62" spans="1:5" s="35" customFormat="1" ht="20.100000000000001" customHeight="1">
      <c r="A62" s="176" t="s">
        <v>4993</v>
      </c>
      <c r="B62" s="276" t="str">
        <f>B4</f>
        <v>Keine</v>
      </c>
      <c r="C62" s="276" t="str">
        <f t="shared" ref="C62:E62" si="6">C4</f>
        <v>Keine</v>
      </c>
      <c r="D62" s="276" t="str">
        <f t="shared" si="6"/>
        <v>Keine</v>
      </c>
      <c r="E62" s="276" t="str">
        <f t="shared" si="6"/>
        <v>Individuell</v>
      </c>
    </row>
    <row r="63" spans="1:5" s="35" customFormat="1" ht="39.950000000000003" customHeight="1">
      <c r="A63" s="53" t="s">
        <v>4995</v>
      </c>
      <c r="B63" s="37" t="str">
        <f>HLOOKUP(Auswahl1,VergleichMatrix,92)</f>
        <v>-</v>
      </c>
      <c r="C63" s="37" t="str">
        <f>HLOOKUP(Auswahl2,VergleichMatrix,92)</f>
        <v>-</v>
      </c>
      <c r="D63" s="37" t="str">
        <f>HLOOKUP(Auswahl3,VergleichMatrix,92)</f>
        <v>-</v>
      </c>
      <c r="E63" s="107"/>
    </row>
    <row r="64" spans="1:5" s="35" customFormat="1" ht="30" customHeight="1">
      <c r="A64" s="53" t="s">
        <v>6058</v>
      </c>
      <c r="B64" s="37" t="str">
        <f>HLOOKUP(Auswahl1,VergleichMatrix,94)</f>
        <v>-</v>
      </c>
      <c r="C64" s="37" t="str">
        <f>HLOOKUP(Auswahl2,VergleichMatrix,94)</f>
        <v>-</v>
      </c>
      <c r="D64" s="37" t="str">
        <f>HLOOKUP(Auswahl3,VergleichMatrix,94)</f>
        <v>-</v>
      </c>
      <c r="E64" s="107"/>
    </row>
    <row r="65" spans="1:5" s="38" customFormat="1" ht="30" customHeight="1">
      <c r="A65" s="53" t="s">
        <v>74</v>
      </c>
      <c r="B65" s="37" t="str">
        <f>HLOOKUP(Auswahl1,VergleichMatrix,96)</f>
        <v>-</v>
      </c>
      <c r="C65" s="37" t="str">
        <f>HLOOKUP(Auswahl2,VergleichMatrix,96)</f>
        <v>-</v>
      </c>
      <c r="D65" s="37" t="str">
        <f>HLOOKUP(Auswahl3,VergleichMatrix,96)</f>
        <v>-</v>
      </c>
      <c r="E65" s="107"/>
    </row>
    <row r="66" spans="1:5" s="35" customFormat="1" ht="30" customHeight="1">
      <c r="A66" s="53" t="s">
        <v>66</v>
      </c>
      <c r="B66" s="37" t="str">
        <f>HLOOKUP(Auswahl1,VergleichMatrix,98)</f>
        <v>-</v>
      </c>
      <c r="C66" s="37" t="str">
        <f>HLOOKUP(Auswahl2,VergleichMatrix,98)</f>
        <v>-</v>
      </c>
      <c r="D66" s="37" t="str">
        <f>HLOOKUP(Auswahl3,VergleichMatrix,98)</f>
        <v>-</v>
      </c>
      <c r="E66" s="107"/>
    </row>
    <row r="67" spans="1:5" s="35" customFormat="1" ht="50.1" customHeight="1">
      <c r="A67" s="53" t="s">
        <v>5899</v>
      </c>
      <c r="B67" s="37" t="str">
        <f>HLOOKUP(Auswahl1,VergleichMatrix,100)</f>
        <v>-</v>
      </c>
      <c r="C67" s="37" t="str">
        <f>HLOOKUP(Auswahl2,VergleichMatrix,100)</f>
        <v>-</v>
      </c>
      <c r="D67" s="37" t="str">
        <f>HLOOKUP(Auswahl3,VergleichMatrix,100)</f>
        <v>-</v>
      </c>
      <c r="E67" s="107"/>
    </row>
    <row r="68" spans="1:5" s="35" customFormat="1" ht="30" customHeight="1">
      <c r="A68" s="53" t="s">
        <v>178</v>
      </c>
      <c r="B68" s="37" t="str">
        <f>HLOOKUP(Auswahl1,VergleichMatrix,102)</f>
        <v>-</v>
      </c>
      <c r="C68" s="37" t="str">
        <f>HLOOKUP(Auswahl2,VergleichMatrix,102)</f>
        <v>-</v>
      </c>
      <c r="D68" s="37" t="str">
        <f>HLOOKUP(Auswahl3,VergleichMatrix,102)</f>
        <v>-</v>
      </c>
      <c r="E68" s="107"/>
    </row>
    <row r="69" spans="1:5" s="38" customFormat="1" ht="30" customHeight="1">
      <c r="A69" s="53" t="s">
        <v>4997</v>
      </c>
      <c r="B69" s="37" t="str">
        <f>HLOOKUP(Auswahl1,VergleichMatrix,104)</f>
        <v>-</v>
      </c>
      <c r="C69" s="37" t="str">
        <f>HLOOKUP(Auswahl2,VergleichMatrix,104)</f>
        <v>-</v>
      </c>
      <c r="D69" s="37" t="str">
        <f>HLOOKUP(Auswahl3,VergleichMatrix,104)</f>
        <v>-</v>
      </c>
      <c r="E69" s="107"/>
    </row>
    <row r="70" spans="1:5" s="38" customFormat="1" ht="30" customHeight="1">
      <c r="A70" s="53" t="s">
        <v>6059</v>
      </c>
      <c r="B70" s="37" t="str">
        <f>HLOOKUP(Auswahl1,VergleichMatrix,106)</f>
        <v>-</v>
      </c>
      <c r="C70" s="37" t="str">
        <f>HLOOKUP(Auswahl2,VergleichMatrix,106)</f>
        <v>-</v>
      </c>
      <c r="D70" s="37" t="str">
        <f>HLOOKUP(Auswahl3,VergleichMatrix,106)</f>
        <v>-</v>
      </c>
      <c r="E70" s="107"/>
    </row>
    <row r="71" spans="1:5" s="38" customFormat="1" ht="30" customHeight="1">
      <c r="A71" s="53" t="s">
        <v>124</v>
      </c>
      <c r="B71" s="37" t="str">
        <f>HLOOKUP(Auswahl1,VergleichMatrix,108)</f>
        <v>-</v>
      </c>
      <c r="C71" s="37" t="str">
        <f>HLOOKUP(Auswahl2,VergleichMatrix,108)</f>
        <v>-</v>
      </c>
      <c r="D71" s="37" t="str">
        <f>HLOOKUP(Auswahl3,VergleichMatrix,108)</f>
        <v>-</v>
      </c>
      <c r="E71" s="107"/>
    </row>
    <row r="72" spans="1:5" s="38" customFormat="1" ht="48" customHeight="1">
      <c r="A72" s="53" t="s">
        <v>2663</v>
      </c>
      <c r="B72" s="37" t="str">
        <f>HLOOKUP(Auswahl1,VergleichMatrix,110)</f>
        <v>-</v>
      </c>
      <c r="C72" s="37" t="str">
        <f>HLOOKUP(Auswahl2,VergleichMatrix,110)</f>
        <v>-</v>
      </c>
      <c r="D72" s="37" t="str">
        <f>HLOOKUP(Auswahl3,VergleichMatrix,110)</f>
        <v>-</v>
      </c>
      <c r="E72" s="107"/>
    </row>
    <row r="73" spans="1:5" s="38" customFormat="1" ht="30" customHeight="1">
      <c r="A73" s="53" t="s">
        <v>6092</v>
      </c>
      <c r="B73" s="37" t="str">
        <f>HLOOKUP(Auswahl1,VergleichMatrix,112)</f>
        <v>-</v>
      </c>
      <c r="C73" s="37" t="str">
        <f>HLOOKUP(Auswahl2,VergleichMatrix,112)</f>
        <v>-</v>
      </c>
      <c r="D73" s="37" t="str">
        <f>HLOOKUP(Auswahl3,VergleichMatrix,112)</f>
        <v>-</v>
      </c>
      <c r="E73" s="107"/>
    </row>
    <row r="74" spans="1:5" s="38" customFormat="1" ht="30" customHeight="1">
      <c r="A74" s="59"/>
      <c r="B74" s="273"/>
      <c r="C74" s="273"/>
      <c r="D74" s="273"/>
      <c r="E74" s="272"/>
    </row>
    <row r="75" spans="1:5" s="38" customFormat="1" ht="5.0999999999999996" customHeight="1">
      <c r="A75" s="41"/>
      <c r="B75" s="41"/>
      <c r="C75" s="41"/>
      <c r="D75" s="41"/>
      <c r="E75" s="35"/>
    </row>
    <row r="76" spans="1:5" s="38" customFormat="1" ht="20.100000000000001" customHeight="1">
      <c r="A76" s="176" t="s">
        <v>4992</v>
      </c>
      <c r="B76" s="275" t="str">
        <f>B4</f>
        <v>Keine</v>
      </c>
      <c r="C76" s="275" t="str">
        <f t="shared" ref="C76:E76" si="7">C4</f>
        <v>Keine</v>
      </c>
      <c r="D76" s="275" t="str">
        <f t="shared" si="7"/>
        <v>Keine</v>
      </c>
      <c r="E76" s="275" t="str">
        <f t="shared" si="7"/>
        <v>Individuell</v>
      </c>
    </row>
    <row r="77" spans="1:5" s="38" customFormat="1" ht="30" customHeight="1">
      <c r="A77" s="53" t="s">
        <v>5761</v>
      </c>
      <c r="B77" s="37" t="str">
        <f>HLOOKUP(Auswahl1,VergleichMatrix,116)</f>
        <v>-</v>
      </c>
      <c r="C77" s="37" t="str">
        <f>HLOOKUP(Auswahl2,VergleichMatrix,116)</f>
        <v>-</v>
      </c>
      <c r="D77" s="37" t="str">
        <f>HLOOKUP(Auswahl3,VergleichMatrix,116)</f>
        <v>-</v>
      </c>
      <c r="E77" s="107"/>
    </row>
    <row r="78" spans="1:5" s="38" customFormat="1" ht="219.95" customHeight="1">
      <c r="A78" s="53" t="s">
        <v>177</v>
      </c>
      <c r="B78" s="37" t="str">
        <f>HLOOKUP(Auswahl1,VergleichMatrix,118)</f>
        <v>-</v>
      </c>
      <c r="C78" s="37" t="str">
        <f>HLOOKUP(Auswahl2,VergleichMatrix,118)</f>
        <v>-</v>
      </c>
      <c r="D78" s="37" t="str">
        <f>HLOOKUP(Auswahl3,VergleichMatrix,118)</f>
        <v>-</v>
      </c>
      <c r="E78" s="107"/>
    </row>
    <row r="79" spans="1:5" s="38" customFormat="1" ht="69.95" customHeight="1">
      <c r="A79" s="53" t="s">
        <v>139</v>
      </c>
      <c r="B79" s="37" t="str">
        <f>HLOOKUP(Auswahl1,VergleichMatrix,120)</f>
        <v>-</v>
      </c>
      <c r="C79" s="37" t="str">
        <f>HLOOKUP(Auswahl2,VergleichMatrix,120)</f>
        <v>-</v>
      </c>
      <c r="D79" s="37" t="str">
        <f>HLOOKUP(Auswahl3,VergleichMatrix,120)</f>
        <v>-</v>
      </c>
      <c r="E79" s="107"/>
    </row>
    <row r="80" spans="1:5" s="35" customFormat="1" ht="30" customHeight="1">
      <c r="A80" s="53" t="s">
        <v>4994</v>
      </c>
      <c r="B80" s="37" t="str">
        <f>HLOOKUP(Auswahl1,VergleichMatrix,122)</f>
        <v>-</v>
      </c>
      <c r="C80" s="37" t="str">
        <f>HLOOKUP(Auswahl2,VergleichMatrix,122)</f>
        <v>-</v>
      </c>
      <c r="D80" s="37" t="str">
        <f>HLOOKUP(Auswahl3,VergleichMatrix,122)</f>
        <v>-</v>
      </c>
      <c r="E80" s="107"/>
    </row>
    <row r="81" spans="1:5" s="35" customFormat="1" ht="30" customHeight="1">
      <c r="A81" s="59"/>
      <c r="B81" s="273"/>
      <c r="C81" s="273"/>
      <c r="D81" s="273"/>
      <c r="E81" s="272"/>
    </row>
    <row r="82" spans="1:5" s="38" customFormat="1" ht="5.0999999999999996" customHeight="1">
      <c r="A82" s="41"/>
      <c r="B82" s="41"/>
      <c r="C82" s="41"/>
      <c r="D82" s="41"/>
      <c r="E82" s="35"/>
    </row>
    <row r="83" spans="1:5" s="38" customFormat="1" ht="20.100000000000001" customHeight="1">
      <c r="A83" s="176" t="s">
        <v>70</v>
      </c>
      <c r="B83" s="275" t="str">
        <f>Auswahl1</f>
        <v>Keine</v>
      </c>
      <c r="C83" s="275" t="str">
        <f>Auswahl2</f>
        <v>Keine</v>
      </c>
      <c r="D83" s="275" t="str">
        <f>Auswahl3</f>
        <v>Keine</v>
      </c>
      <c r="E83" s="276" t="str">
        <f>E4</f>
        <v>Individuell</v>
      </c>
    </row>
    <row r="84" spans="1:5" s="35" customFormat="1" ht="60" customHeight="1">
      <c r="A84" s="53" t="s">
        <v>4864</v>
      </c>
      <c r="B84" s="37" t="str">
        <f>HLOOKUP(Auswahl1,VergleichMatrix,126)</f>
        <v>-</v>
      </c>
      <c r="C84" s="37" t="str">
        <f>HLOOKUP(Auswahl2,VergleichMatrix,126)</f>
        <v>-</v>
      </c>
      <c r="D84" s="37" t="str">
        <f>HLOOKUP(Auswahl3,VergleichMatrix,126)</f>
        <v>-</v>
      </c>
      <c r="E84" s="107"/>
    </row>
    <row r="85" spans="1:5" s="35" customFormat="1" ht="99.95" customHeight="1">
      <c r="A85" s="53" t="s">
        <v>6045</v>
      </c>
      <c r="B85" s="37" t="str">
        <f>HLOOKUP(Auswahl1,VergleichMatrix,128)</f>
        <v>-</v>
      </c>
      <c r="C85" s="37" t="str">
        <f>HLOOKUP(Auswahl2,VergleichMatrix,128)</f>
        <v>-</v>
      </c>
      <c r="D85" s="37" t="str">
        <f>HLOOKUP(Auswahl3,VergleichMatrix,128)</f>
        <v>-</v>
      </c>
      <c r="E85" s="107"/>
    </row>
    <row r="86" spans="1:5" s="35" customFormat="1" ht="30" customHeight="1">
      <c r="A86" s="53" t="s">
        <v>59</v>
      </c>
      <c r="B86" s="37" t="str">
        <f>HLOOKUP(Auswahl1,VergleichMatrix,130)</f>
        <v>-</v>
      </c>
      <c r="C86" s="37" t="str">
        <f>HLOOKUP(Auswahl2,VergleichMatrix,130)</f>
        <v>-</v>
      </c>
      <c r="D86" s="37" t="str">
        <f>HLOOKUP(Auswahl3,VergleichMatrix,130)</f>
        <v>-</v>
      </c>
      <c r="E86" s="107"/>
    </row>
    <row r="87" spans="1:5" s="35" customFormat="1" ht="30" customHeight="1">
      <c r="A87" s="53" t="s">
        <v>4820</v>
      </c>
      <c r="B87" s="37" t="str">
        <f>HLOOKUP(Auswahl1,VergleichMatrix,132)</f>
        <v>-</v>
      </c>
      <c r="C87" s="37" t="str">
        <f>HLOOKUP(Auswahl2,VergleichMatrix,132)</f>
        <v>-</v>
      </c>
      <c r="D87" s="37" t="str">
        <f>HLOOKUP(Auswahl3,VergleichMatrix,132)</f>
        <v>-</v>
      </c>
      <c r="E87" s="107"/>
    </row>
    <row r="88" spans="1:5" s="38" customFormat="1" ht="30" customHeight="1">
      <c r="A88" s="53" t="s">
        <v>5216</v>
      </c>
      <c r="B88" s="37" t="str">
        <f>HLOOKUP(Auswahl1,VergleichMatrix,134)</f>
        <v>-</v>
      </c>
      <c r="C88" s="37" t="str">
        <f>HLOOKUP(Auswahl2,VergleichMatrix,134)</f>
        <v>-</v>
      </c>
      <c r="D88" s="37" t="str">
        <f>HLOOKUP(Auswahl3,VergleichMatrix,134)</f>
        <v>-</v>
      </c>
      <c r="E88" s="107"/>
    </row>
    <row r="89" spans="1:5" s="38" customFormat="1" ht="50.1" customHeight="1">
      <c r="A89" s="53" t="s">
        <v>6098</v>
      </c>
      <c r="B89" s="37" t="str">
        <f>HLOOKUP(Auswahl1,VergleichMatrix,136)</f>
        <v>-</v>
      </c>
      <c r="C89" s="37" t="str">
        <f>HLOOKUP(Auswahl2,VergleichMatrix,136)</f>
        <v>-</v>
      </c>
      <c r="D89" s="37" t="str">
        <f>HLOOKUP(Auswahl3,VergleichMatrix,136)</f>
        <v>-</v>
      </c>
      <c r="E89" s="107"/>
    </row>
    <row r="90" spans="1:5" s="38" customFormat="1" ht="60" customHeight="1">
      <c r="A90" s="53" t="s">
        <v>6099</v>
      </c>
      <c r="B90" s="37" t="str">
        <f>HLOOKUP(Auswahl1,VergleichMatrix,138)</f>
        <v>-</v>
      </c>
      <c r="C90" s="37" t="str">
        <f>HLOOKUP(Auswahl2,VergleichMatrix,138)</f>
        <v>-</v>
      </c>
      <c r="D90" s="37" t="str">
        <f>HLOOKUP(Auswahl3,VergleichMatrix,138)</f>
        <v>-</v>
      </c>
      <c r="E90" s="107"/>
    </row>
    <row r="91" spans="1:5" s="35" customFormat="1" ht="50.1" customHeight="1">
      <c r="A91" s="53" t="s">
        <v>4321</v>
      </c>
      <c r="B91" s="37" t="str">
        <f>HLOOKUP(Auswahl1,VergleichMatrix,140)</f>
        <v>-</v>
      </c>
      <c r="C91" s="37" t="str">
        <f>HLOOKUP(Auswahl2,VergleichMatrix,140)</f>
        <v>-</v>
      </c>
      <c r="D91" s="37" t="str">
        <f>HLOOKUP(Auswahl3,VergleichMatrix,140)</f>
        <v>-</v>
      </c>
      <c r="E91" s="107"/>
    </row>
    <row r="92" spans="1:5" s="35" customFormat="1" ht="9" customHeight="1">
      <c r="A92" s="59"/>
      <c r="B92" s="273"/>
      <c r="C92" s="273"/>
      <c r="D92" s="273"/>
      <c r="E92" s="272"/>
    </row>
    <row r="93" spans="1:5" s="35" customFormat="1" ht="5.0999999999999996" customHeight="1">
      <c r="A93" s="59"/>
      <c r="B93" s="273"/>
      <c r="C93" s="273"/>
      <c r="D93" s="273"/>
      <c r="E93" s="272"/>
    </row>
    <row r="94" spans="1:5" s="35" customFormat="1" ht="20.100000000000001" customHeight="1">
      <c r="A94" s="176" t="s">
        <v>6112</v>
      </c>
      <c r="B94" s="275" t="str">
        <f>Auswahl1</f>
        <v>Keine</v>
      </c>
      <c r="C94" s="275" t="str">
        <f>Auswahl2</f>
        <v>Keine</v>
      </c>
      <c r="D94" s="275" t="str">
        <f>Auswahl3</f>
        <v>Keine</v>
      </c>
      <c r="E94" s="276" t="str">
        <f>E4</f>
        <v>Individuell</v>
      </c>
    </row>
    <row r="95" spans="1:5" s="38" customFormat="1" ht="39.950000000000003" customHeight="1">
      <c r="A95" s="53" t="s">
        <v>96</v>
      </c>
      <c r="B95" s="37" t="str">
        <f>HLOOKUP(Auswahl1,VergleichMatrix,142)</f>
        <v>-</v>
      </c>
      <c r="C95" s="37" t="str">
        <f>HLOOKUP(Auswahl2,VergleichMatrix,142)</f>
        <v>-</v>
      </c>
      <c r="D95" s="37" t="str">
        <f>HLOOKUP(Auswahl3,VergleichMatrix,142)</f>
        <v>-</v>
      </c>
      <c r="E95" s="107"/>
    </row>
    <row r="96" spans="1:5" s="38" customFormat="1" ht="50.1" customHeight="1">
      <c r="A96" s="53" t="s">
        <v>144</v>
      </c>
      <c r="B96" s="37" t="str">
        <f>HLOOKUP(Auswahl1,VergleichMatrix,144)</f>
        <v>-</v>
      </c>
      <c r="C96" s="37" t="str">
        <f>HLOOKUP(Auswahl2,VergleichMatrix,144)</f>
        <v>-</v>
      </c>
      <c r="D96" s="37" t="str">
        <f>HLOOKUP(Auswahl3,VergleichMatrix,144)</f>
        <v>-</v>
      </c>
      <c r="E96" s="107"/>
    </row>
    <row r="97" spans="1:5" s="38" customFormat="1" ht="39.950000000000003" customHeight="1">
      <c r="A97" s="53" t="s">
        <v>143</v>
      </c>
      <c r="B97" s="37" t="str">
        <f>HLOOKUP(Auswahl1,VergleichMatrix,146)</f>
        <v>-</v>
      </c>
      <c r="C97" s="37" t="str">
        <f>HLOOKUP(Auswahl2,VergleichMatrix,146)</f>
        <v>-</v>
      </c>
      <c r="D97" s="37" t="str">
        <f>HLOOKUP(Auswahl3,VergleichMatrix,146)</f>
        <v>-</v>
      </c>
      <c r="E97" s="107"/>
    </row>
    <row r="98" spans="1:5" s="38" customFormat="1" ht="30" customHeight="1">
      <c r="A98" s="53" t="s">
        <v>182</v>
      </c>
      <c r="B98" s="37" t="str">
        <f>HLOOKUP(Auswahl1,VergleichMatrix,148)</f>
        <v>-</v>
      </c>
      <c r="C98" s="37" t="str">
        <f>HLOOKUP(Auswahl2,VergleichMatrix,148)</f>
        <v>-</v>
      </c>
      <c r="D98" s="37" t="str">
        <f>HLOOKUP(Auswahl3,VergleichMatrix,148)</f>
        <v>-</v>
      </c>
      <c r="E98" s="107"/>
    </row>
    <row r="99" spans="1:5" s="38" customFormat="1" ht="12" customHeight="1">
      <c r="A99" s="39"/>
      <c r="B99" s="41"/>
      <c r="C99" s="41"/>
      <c r="D99" s="41"/>
      <c r="E99" s="35"/>
    </row>
    <row r="100" spans="1:5" s="35" customFormat="1" ht="20.100000000000001" customHeight="1">
      <c r="A100" s="176" t="s">
        <v>4795</v>
      </c>
      <c r="B100" s="275" t="str">
        <f>Auswahl1</f>
        <v>Keine</v>
      </c>
      <c r="C100" s="275" t="str">
        <f>Auswahl2</f>
        <v>Keine</v>
      </c>
      <c r="D100" s="275" t="str">
        <f>Auswahl3</f>
        <v>Keine</v>
      </c>
      <c r="E100" s="276" t="str">
        <f>E4</f>
        <v>Individuell</v>
      </c>
    </row>
    <row r="101" spans="1:5" s="38" customFormat="1" ht="60" customHeight="1">
      <c r="A101" s="53" t="s">
        <v>6075</v>
      </c>
      <c r="B101" s="37" t="str">
        <f>HLOOKUP(Auswahl1,VergleichMatrix,152)</f>
        <v>-</v>
      </c>
      <c r="C101" s="37" t="str">
        <f>HLOOKUP(Auswahl2,VergleichMatrix,152)</f>
        <v>-</v>
      </c>
      <c r="D101" s="37" t="str">
        <f>HLOOKUP(Auswahl3,VergleichMatrix,154)</f>
        <v>-</v>
      </c>
      <c r="E101" s="107"/>
    </row>
    <row r="102" spans="1:5" s="38" customFormat="1" ht="30" customHeight="1">
      <c r="A102" s="178" t="s">
        <v>6077</v>
      </c>
      <c r="B102" s="37" t="str">
        <f>HLOOKUP(Auswahl1,VergleichMatrix,154)</f>
        <v>-</v>
      </c>
      <c r="C102" s="37" t="str">
        <f>HLOOKUP(Auswahl2,VergleichMatrix,154)</f>
        <v>-</v>
      </c>
      <c r="D102" s="37" t="str">
        <f>HLOOKUP(Auswahl3,VergleichMatrix,154)</f>
        <v>-</v>
      </c>
      <c r="E102" s="107"/>
    </row>
    <row r="103" spans="1:5" s="38" customFormat="1" ht="39.950000000000003" customHeight="1">
      <c r="A103" s="53" t="s">
        <v>5297</v>
      </c>
      <c r="B103" s="37" t="str">
        <f>HLOOKUP(Auswahl1,VergleichMatrix,156)</f>
        <v>-</v>
      </c>
      <c r="C103" s="37" t="str">
        <f>HLOOKUP(Auswahl2,VergleichMatrix,156)</f>
        <v>-</v>
      </c>
      <c r="D103" s="37" t="str">
        <f>HLOOKUP(Auswahl3,VergleichMatrix,156)</f>
        <v>-</v>
      </c>
      <c r="E103" s="107"/>
    </row>
    <row r="104" spans="1:5" s="38" customFormat="1" ht="30" customHeight="1">
      <c r="A104" s="53" t="s">
        <v>5301</v>
      </c>
      <c r="B104" s="37" t="str">
        <f>HLOOKUP(Auswahl1,VergleichMatrix,158)</f>
        <v>-</v>
      </c>
      <c r="C104" s="37" t="str">
        <f>HLOOKUP(Auswahl2,VergleichMatrix,158)</f>
        <v>-</v>
      </c>
      <c r="D104" s="37" t="str">
        <f>HLOOKUP(Auswahl3,VergleichMatrix,158)</f>
        <v>-</v>
      </c>
      <c r="E104" s="107"/>
    </row>
    <row r="105" spans="1:5" s="38" customFormat="1" ht="9" customHeight="1">
      <c r="A105" s="59"/>
      <c r="B105" s="273"/>
      <c r="C105" s="273"/>
      <c r="D105" s="273"/>
      <c r="E105" s="272"/>
    </row>
    <row r="106" spans="1:5" s="38" customFormat="1" ht="5.0999999999999996" customHeight="1">
      <c r="A106" s="41"/>
      <c r="B106" s="41"/>
      <c r="C106" s="41"/>
      <c r="D106" s="41"/>
      <c r="E106" s="35"/>
    </row>
    <row r="107" spans="1:5" s="38" customFormat="1" ht="20.100000000000001" customHeight="1">
      <c r="A107" s="176" t="s">
        <v>4882</v>
      </c>
      <c r="B107" s="275" t="str">
        <f>Auswahl1</f>
        <v>Keine</v>
      </c>
      <c r="C107" s="275" t="str">
        <f>Auswahl2</f>
        <v>Keine</v>
      </c>
      <c r="D107" s="275" t="str">
        <f>Auswahl3</f>
        <v>Keine</v>
      </c>
      <c r="E107" s="276" t="str">
        <f>E4</f>
        <v>Individuell</v>
      </c>
    </row>
    <row r="108" spans="1:5" s="38" customFormat="1" ht="30" customHeight="1">
      <c r="A108" s="53" t="s">
        <v>6080</v>
      </c>
      <c r="B108" s="72" t="str">
        <f>HLOOKUP(Auswahl1,VergleichMatrix,162)</f>
        <v>-</v>
      </c>
      <c r="C108" s="72" t="str">
        <f>HLOOKUP(Auswahl2,VergleichMatrix,162)</f>
        <v>-</v>
      </c>
      <c r="D108" s="72" t="str">
        <f>HLOOKUP(Auswahl3,VergleichMatrix,162)</f>
        <v>-</v>
      </c>
      <c r="E108" s="107"/>
    </row>
    <row r="109" spans="1:5" s="38" customFormat="1" ht="30" customHeight="1">
      <c r="A109" s="53" t="s">
        <v>6084</v>
      </c>
      <c r="B109" s="72" t="str">
        <f>HLOOKUP(Auswahl1,VergleichMatrix,164)</f>
        <v>-</v>
      </c>
      <c r="C109" s="72" t="str">
        <f>HLOOKUP(Auswahl2,VergleichMatrix,164)</f>
        <v>-</v>
      </c>
      <c r="D109" s="72" t="str">
        <f>HLOOKUP(Auswahl3,VergleichMatrix,164)</f>
        <v>-</v>
      </c>
      <c r="E109" s="107"/>
    </row>
    <row r="110" spans="1:5" s="38" customFormat="1" ht="30" customHeight="1">
      <c r="A110" s="53" t="s">
        <v>6085</v>
      </c>
      <c r="B110" s="72" t="str">
        <f>HLOOKUP(Auswahl1,VergleichMatrix,166)</f>
        <v>-</v>
      </c>
      <c r="C110" s="72" t="str">
        <f>HLOOKUP(Auswahl2,VergleichMatrix,166)</f>
        <v>-</v>
      </c>
      <c r="D110" s="72" t="str">
        <f>HLOOKUP(Auswahl3,VergleichMatrix,166)</f>
        <v>-</v>
      </c>
      <c r="E110" s="107"/>
    </row>
    <row r="111" spans="1:5" s="35" customFormat="1" ht="30" customHeight="1">
      <c r="A111" s="53" t="s">
        <v>5322</v>
      </c>
      <c r="B111" s="72" t="str">
        <f>HLOOKUP(Auswahl1,VergleichMatrix,168)</f>
        <v>-</v>
      </c>
      <c r="C111" s="72" t="str">
        <f>HLOOKUP(Auswahl2,VergleichMatrix,168)</f>
        <v>-</v>
      </c>
      <c r="D111" s="72" t="str">
        <f>HLOOKUP(Auswahl3,VergleichMatrix,168)</f>
        <v>-</v>
      </c>
      <c r="E111" s="107"/>
    </row>
    <row r="112" spans="1:5" s="38" customFormat="1" ht="30" customHeight="1">
      <c r="A112" s="53" t="s">
        <v>135</v>
      </c>
      <c r="B112" s="72" t="str">
        <f>HLOOKUP(Auswahl1,VergleichMatrix,170)</f>
        <v>-</v>
      </c>
      <c r="C112" s="72" t="str">
        <f>HLOOKUP(Auswahl2,VergleichMatrix,170)</f>
        <v>-</v>
      </c>
      <c r="D112" s="72" t="str">
        <f>HLOOKUP(Auswahl3,VergleichMatrix,170)</f>
        <v>-</v>
      </c>
      <c r="E112" s="107"/>
    </row>
    <row r="113" spans="1:5" s="38" customFormat="1" ht="9" customHeight="1">
      <c r="A113" s="39"/>
      <c r="B113" s="273"/>
      <c r="C113" s="273"/>
      <c r="D113" s="273"/>
      <c r="E113" s="272"/>
    </row>
    <row r="114" spans="1:5" s="38" customFormat="1" ht="20.100000000000001" customHeight="1">
      <c r="A114" s="176" t="s">
        <v>72</v>
      </c>
      <c r="B114" s="275" t="str">
        <f>Auswahl1</f>
        <v>Keine</v>
      </c>
      <c r="C114" s="275" t="str">
        <f>Auswahl2</f>
        <v>Keine</v>
      </c>
      <c r="D114" s="275" t="str">
        <f>Auswahl3</f>
        <v>Keine</v>
      </c>
      <c r="E114" s="276" t="str">
        <f>E4</f>
        <v>Individuell</v>
      </c>
    </row>
    <row r="115" spans="1:5" s="38" customFormat="1" ht="30" customHeight="1">
      <c r="A115" s="53" t="s">
        <v>4869</v>
      </c>
      <c r="B115" s="72" t="str">
        <f>HLOOKUP(Auswahl1,VergleichMatrix,174)</f>
        <v>-</v>
      </c>
      <c r="C115" s="72" t="str">
        <f>HLOOKUP(Auswahl2,VergleichMatrix,174)</f>
        <v>-</v>
      </c>
      <c r="D115" s="72" t="str">
        <f>HLOOKUP(Auswahl3,VergleichMatrix,174)</f>
        <v>-</v>
      </c>
      <c r="E115" s="107"/>
    </row>
    <row r="116" spans="1:5" s="38" customFormat="1" ht="30" customHeight="1">
      <c r="A116" s="53" t="s">
        <v>4782</v>
      </c>
      <c r="B116" s="72" t="str">
        <f>HLOOKUP(Auswahl1,VergleichMatrix,176)</f>
        <v>-</v>
      </c>
      <c r="C116" s="72" t="str">
        <f>HLOOKUP(Auswahl2,VergleichMatrix,176)</f>
        <v>-</v>
      </c>
      <c r="D116" s="72" t="str">
        <f>HLOOKUP(Auswahl3,VergleichMatrix,176)</f>
        <v>-</v>
      </c>
      <c r="E116" s="107"/>
    </row>
    <row r="117" spans="1:5" s="38" customFormat="1" ht="30" customHeight="1">
      <c r="A117" s="53" t="s">
        <v>5482</v>
      </c>
      <c r="B117" s="72" t="str">
        <f>HLOOKUP(Auswahl1,VergleichMatrix,178)</f>
        <v>-</v>
      </c>
      <c r="C117" s="72" t="str">
        <f>HLOOKUP(Auswahl2,VergleichMatrix,178)</f>
        <v>-</v>
      </c>
      <c r="D117" s="72" t="str">
        <f>HLOOKUP(Auswahl3,VergleichMatrix,178)</f>
        <v>-</v>
      </c>
      <c r="E117" s="107"/>
    </row>
    <row r="118" spans="1:5" s="35" customFormat="1" ht="30" customHeight="1">
      <c r="A118" s="58" t="s">
        <v>2836</v>
      </c>
      <c r="B118" s="72" t="str">
        <f>HLOOKUP(Auswahl1,VergleichMatrix,180)</f>
        <v>-</v>
      </c>
      <c r="C118" s="72" t="str">
        <f>HLOOKUP(Auswahl2,VergleichMatrix,180)</f>
        <v>-</v>
      </c>
      <c r="D118" s="72" t="str">
        <f>HLOOKUP(Auswahl3,VergleichMatrix,180)</f>
        <v>-</v>
      </c>
      <c r="E118" s="107"/>
    </row>
    <row r="119" spans="1:5" s="38" customFormat="1" ht="30" customHeight="1">
      <c r="A119" s="53" t="s">
        <v>63</v>
      </c>
      <c r="B119" s="72" t="str">
        <f>HLOOKUP(Auswahl1,VergleichMatrix,182)</f>
        <v>-</v>
      </c>
      <c r="C119" s="72" t="str">
        <f>HLOOKUP(Auswahl2,VergleichMatrix,182)</f>
        <v>-</v>
      </c>
      <c r="D119" s="72" t="str">
        <f>HLOOKUP(Auswahl3,VergleichMatrix,182)</f>
        <v>-</v>
      </c>
      <c r="E119" s="107"/>
    </row>
    <row r="120" spans="1:5" s="38" customFormat="1" ht="30" customHeight="1">
      <c r="A120" s="53" t="s">
        <v>4828</v>
      </c>
      <c r="B120" s="72" t="str">
        <f>HLOOKUP(Auswahl1,VergleichMatrix,184)</f>
        <v>-</v>
      </c>
      <c r="C120" s="72" t="str">
        <f>HLOOKUP(Auswahl2,VergleichMatrix,184)</f>
        <v>-</v>
      </c>
      <c r="D120" s="72" t="str">
        <f>HLOOKUP(Auswahl3,VergleichMatrix,184)</f>
        <v>-</v>
      </c>
      <c r="E120" s="107"/>
    </row>
    <row r="121" spans="1:5" s="38" customFormat="1" ht="30" customHeight="1">
      <c r="A121" s="53" t="s">
        <v>131</v>
      </c>
      <c r="B121" s="72" t="str">
        <f>HLOOKUP(Auswahl1,VergleichMatrix,186)</f>
        <v>-</v>
      </c>
      <c r="C121" s="72" t="str">
        <f>HLOOKUP(Auswahl2,VergleichMatrix,186)</f>
        <v>-</v>
      </c>
      <c r="D121" s="72" t="str">
        <f>HLOOKUP(Auswahl3,VergleichMatrix,186)</f>
        <v>-</v>
      </c>
      <c r="E121" s="107"/>
    </row>
    <row r="122" spans="1:5" s="38" customFormat="1" ht="30" customHeight="1">
      <c r="A122" s="53" t="s">
        <v>132</v>
      </c>
      <c r="B122" s="72" t="str">
        <f>HLOOKUP(Auswahl1,VergleichMatrix,188)</f>
        <v>-</v>
      </c>
      <c r="C122" s="72" t="str">
        <f>HLOOKUP(Auswahl2,VergleichMatrix,188)</f>
        <v>-</v>
      </c>
      <c r="D122" s="72" t="str">
        <f>HLOOKUP(Auswahl3,VergleichMatrix,188)</f>
        <v>-</v>
      </c>
      <c r="E122" s="107"/>
    </row>
    <row r="123" spans="1:5" s="38" customFormat="1" ht="9" customHeight="1">
      <c r="A123" s="59"/>
      <c r="B123" s="274"/>
      <c r="C123" s="274"/>
      <c r="D123" s="274"/>
      <c r="E123" s="272"/>
    </row>
    <row r="124" spans="1:5" s="38" customFormat="1" ht="5.0999999999999996" customHeight="1">
      <c r="A124" s="43"/>
      <c r="B124" s="274"/>
      <c r="C124" s="274"/>
      <c r="D124" s="274"/>
      <c r="E124" s="272"/>
    </row>
    <row r="125" spans="1:5" s="38" customFormat="1" ht="20.100000000000001" customHeight="1">
      <c r="A125" s="176" t="s">
        <v>4830</v>
      </c>
      <c r="B125" s="275" t="str">
        <f>Auswahl1</f>
        <v>Keine</v>
      </c>
      <c r="C125" s="275" t="str">
        <f>Auswahl2</f>
        <v>Keine</v>
      </c>
      <c r="D125" s="275" t="str">
        <f>Auswahl3</f>
        <v>Keine</v>
      </c>
      <c r="E125" s="276" t="str">
        <f>E4</f>
        <v>Individuell</v>
      </c>
    </row>
    <row r="126" spans="1:5" s="38" customFormat="1" ht="30" customHeight="1">
      <c r="A126" s="53" t="s">
        <v>5473</v>
      </c>
      <c r="B126" s="72" t="str">
        <f>HLOOKUP(Auswahl1,VergleichMatrix,192)</f>
        <v>-</v>
      </c>
      <c r="C126" s="72" t="str">
        <f>HLOOKUP(Auswahl2,VergleichMatrix,192)</f>
        <v>-</v>
      </c>
      <c r="D126" s="72" t="str">
        <f>HLOOKUP(Auswahl3,VergleichMatrix,192)</f>
        <v>-</v>
      </c>
      <c r="E126" s="107"/>
    </row>
    <row r="127" spans="1:5" s="38" customFormat="1" ht="30" customHeight="1">
      <c r="A127" s="53" t="s">
        <v>4832</v>
      </c>
      <c r="B127" s="72" t="str">
        <f>HLOOKUP(Auswahl1,VergleichMatrix,194)</f>
        <v>-</v>
      </c>
      <c r="C127" s="72" t="str">
        <f>HLOOKUP(Auswahl2,VergleichMatrix,194)</f>
        <v>-</v>
      </c>
      <c r="D127" s="72" t="str">
        <f>HLOOKUP(Auswahl3,VergleichMatrix,194)</f>
        <v>-</v>
      </c>
      <c r="E127" s="107"/>
    </row>
    <row r="128" spans="1:5" s="38" customFormat="1" ht="9" customHeight="1">
      <c r="A128" s="43"/>
      <c r="B128" s="274"/>
      <c r="C128" s="274"/>
      <c r="D128" s="274"/>
      <c r="E128" s="272"/>
    </row>
    <row r="129" spans="1:5" s="38" customFormat="1" ht="20.100000000000001" customHeight="1">
      <c r="A129" s="176" t="s">
        <v>4821</v>
      </c>
      <c r="B129" s="275" t="str">
        <f>Auswahl1</f>
        <v>Keine</v>
      </c>
      <c r="C129" s="275" t="str">
        <f>Auswahl2</f>
        <v>Keine</v>
      </c>
      <c r="D129" s="275" t="str">
        <f>Auswahl3</f>
        <v>Keine</v>
      </c>
      <c r="E129" s="276" t="str">
        <f>E4</f>
        <v>Individuell</v>
      </c>
    </row>
    <row r="130" spans="1:5" s="38" customFormat="1" ht="50.1" customHeight="1">
      <c r="A130" s="53" t="s">
        <v>5013</v>
      </c>
      <c r="B130" s="72" t="str">
        <f>HLOOKUP(Auswahl1,VergleichMatrix,198)</f>
        <v>-</v>
      </c>
      <c r="C130" s="72" t="str">
        <f>HLOOKUP(Auswahl2,VergleichMatrix,198)</f>
        <v>-</v>
      </c>
      <c r="D130" s="72" t="str">
        <f>HLOOKUP(Auswahl3,VergleichMatrix,198)</f>
        <v>-</v>
      </c>
      <c r="E130" s="107"/>
    </row>
    <row r="131" spans="1:5" s="38" customFormat="1" ht="50.1" customHeight="1">
      <c r="A131" s="53" t="s">
        <v>5097</v>
      </c>
      <c r="B131" s="72" t="str">
        <f>HLOOKUP(Auswahl1,VergleichMatrix,200)</f>
        <v>-</v>
      </c>
      <c r="C131" s="72" t="str">
        <f>HLOOKUP(Auswahl2,VergleichMatrix,200)</f>
        <v>-</v>
      </c>
      <c r="D131" s="72" t="str">
        <f>HLOOKUP(Auswahl3,VergleichMatrix,200)</f>
        <v>-</v>
      </c>
      <c r="E131" s="107"/>
    </row>
    <row r="132" spans="1:5" s="38" customFormat="1" ht="9" customHeight="1">
      <c r="A132" s="43"/>
      <c r="B132" s="274"/>
      <c r="C132" s="274"/>
      <c r="D132" s="274"/>
      <c r="E132" s="272"/>
    </row>
    <row r="133" spans="1:5" s="38" customFormat="1" ht="20.100000000000001" customHeight="1">
      <c r="A133" s="176" t="s">
        <v>4829</v>
      </c>
      <c r="B133" s="275" t="str">
        <f>Auswahl1</f>
        <v>Keine</v>
      </c>
      <c r="C133" s="275" t="str">
        <f>Auswahl2</f>
        <v>Keine</v>
      </c>
      <c r="D133" s="275" t="str">
        <f>Auswahl3</f>
        <v>Keine</v>
      </c>
      <c r="E133" s="276" t="str">
        <f>E4</f>
        <v>Individuell</v>
      </c>
    </row>
    <row r="134" spans="1:5" s="38" customFormat="1" ht="30" customHeight="1">
      <c r="A134" s="53" t="s">
        <v>180</v>
      </c>
      <c r="B134" s="72" t="str">
        <f>HLOOKUP(Auswahl1,VergleichMatrix,204)</f>
        <v>-</v>
      </c>
      <c r="C134" s="72" t="str">
        <f>HLOOKUP(Auswahl2,VergleichMatrix,204)</f>
        <v>-</v>
      </c>
      <c r="D134" s="72" t="str">
        <f>HLOOKUP(Auswahl3,VergleichMatrix,204)</f>
        <v>-</v>
      </c>
      <c r="E134" s="107"/>
    </row>
    <row r="135" spans="1:5" s="38" customFormat="1" ht="50.1" customHeight="1">
      <c r="A135" s="53" t="s">
        <v>6063</v>
      </c>
      <c r="B135" s="72" t="str">
        <f>HLOOKUP(Auswahl1,VergleichMatrix,206)</f>
        <v>-</v>
      </c>
      <c r="C135" s="72" t="str">
        <f>HLOOKUP(Auswahl2,VergleichMatrix,206)</f>
        <v>-</v>
      </c>
      <c r="D135" s="72" t="str">
        <f>HLOOKUP(Auswahl3,VergleichMatrix,206)</f>
        <v>-</v>
      </c>
      <c r="E135" s="107"/>
    </row>
    <row r="136" spans="1:5" s="38" customFormat="1" ht="30" customHeight="1">
      <c r="A136" s="53" t="s">
        <v>142</v>
      </c>
      <c r="B136" s="72" t="str">
        <f>HLOOKUP(Auswahl1,VergleichMatrix,208)</f>
        <v>-</v>
      </c>
      <c r="C136" s="72" t="str">
        <f>HLOOKUP(Auswahl2,VergleichMatrix,208)</f>
        <v>-</v>
      </c>
      <c r="D136" s="72" t="str">
        <f>HLOOKUP(Auswahl3,VergleichMatrix,208)</f>
        <v>-</v>
      </c>
      <c r="E136" s="107"/>
    </row>
    <row r="137" spans="1:5" s="38" customFormat="1" ht="54.95" customHeight="1">
      <c r="A137" s="53" t="s">
        <v>5504</v>
      </c>
      <c r="B137" s="72" t="str">
        <f>HLOOKUP(Auswahl1,VergleichMatrix,210)</f>
        <v>-</v>
      </c>
      <c r="C137" s="72" t="str">
        <f>HLOOKUP(Auswahl2,VergleichMatrix,210)</f>
        <v>-</v>
      </c>
      <c r="D137" s="72" t="str">
        <f>HLOOKUP(Auswahl3,VergleichMatrix,210)</f>
        <v>-</v>
      </c>
      <c r="E137" s="107"/>
    </row>
    <row r="138" spans="1:5" s="38" customFormat="1" ht="30" customHeight="1">
      <c r="A138" s="53" t="s">
        <v>6100</v>
      </c>
      <c r="B138" s="72" t="str">
        <f>HLOOKUP(Auswahl1,VergleichMatrix,212)</f>
        <v>-</v>
      </c>
      <c r="C138" s="72" t="str">
        <f>HLOOKUP(Auswahl2,VergleichMatrix,212)</f>
        <v>-</v>
      </c>
      <c r="D138" s="72" t="str">
        <f>HLOOKUP(Auswahl3,VergleichMatrix,212)</f>
        <v>-</v>
      </c>
      <c r="E138" s="107"/>
    </row>
    <row r="139" spans="1:5" s="38" customFormat="1" ht="30" customHeight="1">
      <c r="A139" s="53" t="s">
        <v>5328</v>
      </c>
      <c r="B139" s="72" t="str">
        <f>HLOOKUP(Auswahl1,VergleichMatrix,214)</f>
        <v>-</v>
      </c>
      <c r="C139" s="72" t="str">
        <f>HLOOKUP(Auswahl2,VergleichMatrix,214)</f>
        <v>-</v>
      </c>
      <c r="D139" s="72" t="str">
        <f>HLOOKUP(Auswahl3,VergleichMatrix,214)</f>
        <v>-</v>
      </c>
      <c r="E139" s="107"/>
    </row>
    <row r="140" spans="1:5" s="38" customFormat="1" ht="30" customHeight="1">
      <c r="A140" s="53" t="s">
        <v>5333</v>
      </c>
      <c r="B140" s="72" t="str">
        <f>HLOOKUP(Auswahl1,VergleichMatrix,216)</f>
        <v>-</v>
      </c>
      <c r="C140" s="72" t="str">
        <f>HLOOKUP(Auswahl2,VergleichMatrix,216)</f>
        <v>-</v>
      </c>
      <c r="D140" s="72" t="str">
        <f>HLOOKUP(Auswahl3,VergleichMatrix,216)</f>
        <v>-</v>
      </c>
      <c r="E140" s="107"/>
    </row>
    <row r="141" spans="1:5" s="38" customFormat="1" ht="9" customHeight="1">
      <c r="A141" s="59"/>
      <c r="B141" s="274"/>
      <c r="C141" s="274"/>
      <c r="D141" s="274"/>
      <c r="E141" s="272"/>
    </row>
    <row r="142" spans="1:5" s="38" customFormat="1" ht="5.0999999999999996" customHeight="1">
      <c r="A142" s="43"/>
      <c r="B142" s="45"/>
      <c r="C142" s="45"/>
      <c r="D142" s="45"/>
      <c r="E142" s="45"/>
    </row>
    <row r="143" spans="1:5" s="38" customFormat="1" ht="20.100000000000001" customHeight="1">
      <c r="A143" s="208" t="s">
        <v>4784</v>
      </c>
      <c r="B143" s="275" t="str">
        <f>Auswahl1</f>
        <v>Keine</v>
      </c>
      <c r="C143" s="275" t="str">
        <f>Auswahl2</f>
        <v>Keine</v>
      </c>
      <c r="D143" s="275" t="str">
        <f>Auswahl3</f>
        <v>Keine</v>
      </c>
      <c r="E143" s="276" t="str">
        <f>E4</f>
        <v>Individuell</v>
      </c>
    </row>
    <row r="144" spans="1:5" s="38" customFormat="1" ht="39.950000000000003" customHeight="1">
      <c r="A144" s="53" t="s">
        <v>5237</v>
      </c>
      <c r="B144" s="72" t="str">
        <f>HLOOKUP(Auswahl1,VergleichMatrix,220)</f>
        <v>-</v>
      </c>
      <c r="C144" s="72" t="str">
        <f>HLOOKUP(Auswahl2,VergleichMatrix,220)</f>
        <v>-</v>
      </c>
      <c r="D144" s="72" t="str">
        <f>HLOOKUP(Auswahl3,VergleichMatrix,220)</f>
        <v>-</v>
      </c>
      <c r="E144" s="107"/>
    </row>
    <row r="145" spans="1:5" s="38" customFormat="1" ht="30" customHeight="1">
      <c r="A145" s="53" t="s">
        <v>4791</v>
      </c>
      <c r="B145" s="72" t="str">
        <f>HLOOKUP(Auswahl1,VergleichMatrix,222)</f>
        <v>-</v>
      </c>
      <c r="C145" s="72" t="str">
        <f>HLOOKUP(Auswahl2,VergleichMatrix,222)</f>
        <v>-</v>
      </c>
      <c r="D145" s="72" t="str">
        <f>HLOOKUP(Auswahl3,VergleichMatrix,222)</f>
        <v>-</v>
      </c>
      <c r="E145" s="107"/>
    </row>
    <row r="146" spans="1:5" s="38" customFormat="1" ht="30" customHeight="1">
      <c r="A146" s="53" t="s">
        <v>4690</v>
      </c>
      <c r="B146" s="72" t="str">
        <f>HLOOKUP(Auswahl1,VergleichMatrix,224)</f>
        <v>-</v>
      </c>
      <c r="C146" s="72" t="str">
        <f>HLOOKUP(Auswahl2,VergleichMatrix,224)</f>
        <v>-</v>
      </c>
      <c r="D146" s="72" t="str">
        <f>HLOOKUP(Auswahl3,VergleichMatrix,224)</f>
        <v>-</v>
      </c>
      <c r="E146" s="107"/>
    </row>
    <row r="147" spans="1:5" s="38" customFormat="1" ht="30" customHeight="1">
      <c r="A147" s="53" t="s">
        <v>4858</v>
      </c>
      <c r="B147" s="72" t="str">
        <f>HLOOKUP(Auswahl1,VergleichMatrix,226)</f>
        <v>-</v>
      </c>
      <c r="C147" s="72" t="str">
        <f>HLOOKUP(Auswahl2,VergleichMatrix,226)</f>
        <v>-</v>
      </c>
      <c r="D147" s="72" t="str">
        <f>HLOOKUP(Auswahl3,VergleichMatrix,226)</f>
        <v>-</v>
      </c>
      <c r="E147" s="107"/>
    </row>
    <row r="148" spans="1:5" s="38" customFormat="1" ht="30" customHeight="1">
      <c r="A148" s="53" t="s">
        <v>5727</v>
      </c>
      <c r="B148" s="72" t="str">
        <f>HLOOKUP(Auswahl1,VergleichMatrix,228)</f>
        <v>-</v>
      </c>
      <c r="C148" s="72" t="str">
        <f>HLOOKUP(Auswahl2,VergleichMatrix,228)</f>
        <v>-</v>
      </c>
      <c r="D148" s="72" t="str">
        <f>HLOOKUP(Auswahl3,VergleichMatrix,228)</f>
        <v>-</v>
      </c>
      <c r="E148" s="107"/>
    </row>
    <row r="149" spans="1:5" s="38" customFormat="1" ht="30" customHeight="1">
      <c r="A149" s="53" t="s">
        <v>5239</v>
      </c>
      <c r="B149" s="72" t="str">
        <f>HLOOKUP(Auswahl1,VergleichMatrix,230)</f>
        <v>-</v>
      </c>
      <c r="C149" s="72" t="str">
        <f>HLOOKUP(Auswahl2,VergleichMatrix,230)</f>
        <v>-</v>
      </c>
      <c r="D149" s="72" t="str">
        <f>HLOOKUP(Auswahl3,VergleichMatrix,230)</f>
        <v>-</v>
      </c>
      <c r="E149" s="107"/>
    </row>
    <row r="150" spans="1:5" s="38" customFormat="1" ht="9" customHeight="1">
      <c r="A150" s="59"/>
      <c r="B150" s="274"/>
      <c r="C150" s="274"/>
      <c r="D150" s="274"/>
      <c r="E150" s="272"/>
    </row>
    <row r="151" spans="1:5" s="38" customFormat="1" ht="5.0999999999999996" customHeight="1">
      <c r="A151" s="43"/>
      <c r="B151" s="44"/>
      <c r="C151" s="44"/>
      <c r="D151" s="44"/>
      <c r="E151" s="44"/>
    </row>
    <row r="152" spans="1:5" s="38" customFormat="1" ht="20.100000000000001" customHeight="1">
      <c r="A152" s="176" t="s">
        <v>4814</v>
      </c>
      <c r="B152" s="275" t="str">
        <f>Auswahl1</f>
        <v>Keine</v>
      </c>
      <c r="C152" s="275" t="str">
        <f>Auswahl2</f>
        <v>Keine</v>
      </c>
      <c r="D152" s="275" t="str">
        <f>Auswahl3</f>
        <v>Keine</v>
      </c>
      <c r="E152" s="275" t="str">
        <f>E4</f>
        <v>Individuell</v>
      </c>
    </row>
    <row r="153" spans="1:5" s="38" customFormat="1" ht="30" customHeight="1">
      <c r="A153" s="53" t="s">
        <v>105</v>
      </c>
      <c r="B153" s="72" t="str">
        <f>HLOOKUP(Auswahl1,VergleichMatrix,234)</f>
        <v>-</v>
      </c>
      <c r="C153" s="72" t="str">
        <f>HLOOKUP(Auswahl2,VergleichMatrix,234)</f>
        <v>-</v>
      </c>
      <c r="D153" s="72" t="str">
        <f>HLOOKUP(Auswahl3,VergleichMatrix,234)</f>
        <v>-</v>
      </c>
      <c r="E153" s="107"/>
    </row>
    <row r="154" spans="1:5" s="38" customFormat="1" ht="30" customHeight="1">
      <c r="A154" s="53" t="s">
        <v>6101</v>
      </c>
      <c r="B154" s="72" t="str">
        <f>HLOOKUP(Auswahl1,VergleichMatrix,236)</f>
        <v>-</v>
      </c>
      <c r="C154" s="72" t="str">
        <f>HLOOKUP(Auswahl2,VergleichMatrix,236)</f>
        <v>-</v>
      </c>
      <c r="D154" s="72" t="str">
        <f>HLOOKUP(Auswahl3,VergleichMatrix,236)</f>
        <v>-</v>
      </c>
      <c r="E154" s="107"/>
    </row>
    <row r="155" spans="1:5" s="35" customFormat="1" ht="30" customHeight="1">
      <c r="A155" s="53" t="s">
        <v>4802</v>
      </c>
      <c r="B155" s="72" t="str">
        <f>HLOOKUP(Auswahl1,VergleichMatrix,238)</f>
        <v>-</v>
      </c>
      <c r="C155" s="72" t="str">
        <f>HLOOKUP(Auswahl2,VergleichMatrix,238)</f>
        <v>-</v>
      </c>
      <c r="D155" s="72" t="str">
        <f>HLOOKUP(Auswahl3,VergleichMatrix,238)</f>
        <v>-</v>
      </c>
      <c r="E155" s="107"/>
    </row>
    <row r="156" spans="1:5" s="38" customFormat="1" ht="30" customHeight="1">
      <c r="A156" s="53" t="s">
        <v>8</v>
      </c>
      <c r="B156" s="72" t="str">
        <f>HLOOKUP(Auswahl1,VergleichMatrix,240)</f>
        <v>-</v>
      </c>
      <c r="C156" s="72" t="str">
        <f>HLOOKUP(Auswahl2,VergleichMatrix,240)</f>
        <v>-</v>
      </c>
      <c r="D156" s="72" t="str">
        <f>HLOOKUP(Auswahl3,VergleichMatrix,240)</f>
        <v>-</v>
      </c>
      <c r="E156" s="107"/>
    </row>
    <row r="157" spans="1:5" s="38" customFormat="1" ht="30" customHeight="1">
      <c r="A157" s="53" t="s">
        <v>9</v>
      </c>
      <c r="B157" s="72" t="str">
        <f>HLOOKUP(Auswahl1,VergleichMatrix,242)</f>
        <v>-</v>
      </c>
      <c r="C157" s="72" t="str">
        <f>HLOOKUP(Auswahl2,VergleichMatrix,242)</f>
        <v>-</v>
      </c>
      <c r="D157" s="72" t="str">
        <f>HLOOKUP(Auswahl3,VergleichMatrix,242)</f>
        <v>-</v>
      </c>
      <c r="E157" s="107"/>
    </row>
    <row r="158" spans="1:5" s="35" customFormat="1" ht="30" customHeight="1">
      <c r="A158" s="53" t="s">
        <v>10</v>
      </c>
      <c r="B158" s="72" t="str">
        <f>HLOOKUP(Auswahl1,VergleichMatrix,244)</f>
        <v>-</v>
      </c>
      <c r="C158" s="72" t="str">
        <f>HLOOKUP(Auswahl2,VergleichMatrix,244)</f>
        <v>-</v>
      </c>
      <c r="D158" s="72" t="str">
        <f>HLOOKUP(Auswahl3,VergleichMatrix,244)</f>
        <v>-</v>
      </c>
      <c r="E158" s="107"/>
    </row>
    <row r="159" spans="1:5" s="38" customFormat="1" ht="30" customHeight="1">
      <c r="A159" s="53" t="s">
        <v>5403</v>
      </c>
      <c r="B159" s="72" t="str">
        <f>HLOOKUP(Auswahl1,VergleichMatrix,246)</f>
        <v>-</v>
      </c>
      <c r="C159" s="72" t="str">
        <f>HLOOKUP(Auswahl2,VergleichMatrix,246)</f>
        <v>-</v>
      </c>
      <c r="D159" s="72" t="str">
        <f>HLOOKUP(Auswahl3,VergleichMatrix,246)</f>
        <v>-</v>
      </c>
      <c r="E159" s="107"/>
    </row>
    <row r="160" spans="1:5" s="38" customFormat="1" ht="30" customHeight="1">
      <c r="A160" s="53" t="s">
        <v>12</v>
      </c>
      <c r="B160" s="72" t="str">
        <f>HLOOKUP(Auswahl1,VergleichMatrix,248)</f>
        <v>-</v>
      </c>
      <c r="C160" s="72" t="str">
        <f>HLOOKUP(Auswahl2,VergleichMatrix,248)</f>
        <v>-</v>
      </c>
      <c r="D160" s="72" t="str">
        <f>HLOOKUP(Auswahl3,VergleichMatrix,248)</f>
        <v>-</v>
      </c>
      <c r="E160" s="107"/>
    </row>
    <row r="161" spans="1:5" s="35" customFormat="1" ht="30" customHeight="1">
      <c r="A161" s="53" t="s">
        <v>13</v>
      </c>
      <c r="B161" s="72" t="str">
        <f>HLOOKUP(Auswahl1,VergleichMatrix,250)</f>
        <v>-</v>
      </c>
      <c r="C161" s="72" t="str">
        <f>HLOOKUP(Auswahl2,VergleichMatrix,250)</f>
        <v>-</v>
      </c>
      <c r="D161" s="72" t="str">
        <f>HLOOKUP(Auswahl3,VergleichMatrix,250)</f>
        <v>-</v>
      </c>
      <c r="E161" s="107"/>
    </row>
    <row r="162" spans="1:5" s="38" customFormat="1" ht="30" customHeight="1">
      <c r="A162" s="53" t="s">
        <v>169</v>
      </c>
      <c r="B162" s="72" t="str">
        <f>HLOOKUP(Auswahl1,VergleichMatrix,252)</f>
        <v>-</v>
      </c>
      <c r="C162" s="72" t="str">
        <f>HLOOKUP(Auswahl2,VergleichMatrix,252)</f>
        <v>-</v>
      </c>
      <c r="D162" s="72" t="str">
        <f>HLOOKUP(Auswahl3,VergleichMatrix,252)</f>
        <v>-</v>
      </c>
      <c r="E162" s="107"/>
    </row>
    <row r="163" spans="1:5" s="38" customFormat="1" ht="30" customHeight="1">
      <c r="A163" s="53" t="s">
        <v>14</v>
      </c>
      <c r="B163" s="72" t="str">
        <f>HLOOKUP(Auswahl1,VergleichMatrix,254)</f>
        <v>-</v>
      </c>
      <c r="C163" s="72" t="str">
        <f>HLOOKUP(Auswahl2,VergleichMatrix,254)</f>
        <v>-</v>
      </c>
      <c r="D163" s="72" t="str">
        <f>HLOOKUP(Auswahl3,VergleichMatrix,254)</f>
        <v>-</v>
      </c>
      <c r="E163" s="107"/>
    </row>
    <row r="164" spans="1:5" ht="30" customHeight="1">
      <c r="A164" s="53" t="s">
        <v>15</v>
      </c>
      <c r="B164" s="72" t="str">
        <f>HLOOKUP(Auswahl1,VergleichMatrix,256)</f>
        <v>-</v>
      </c>
      <c r="C164" s="72" t="str">
        <f>HLOOKUP(Auswahl2,VergleichMatrix,256)</f>
        <v>-</v>
      </c>
      <c r="D164" s="72" t="str">
        <f>HLOOKUP(Auswahl3,VergleichMatrix,256)</f>
        <v>-</v>
      </c>
      <c r="E164" s="107"/>
    </row>
    <row r="165" spans="1:5" ht="30" customHeight="1">
      <c r="A165" s="53" t="s">
        <v>16</v>
      </c>
      <c r="B165" s="72" t="str">
        <f>HLOOKUP(Auswahl1,VergleichMatrix,258)</f>
        <v>-</v>
      </c>
      <c r="C165" s="72" t="str">
        <f>HLOOKUP(Auswahl2,VergleichMatrix,258)</f>
        <v>-</v>
      </c>
      <c r="D165" s="72" t="str">
        <f>HLOOKUP(Auswahl3,VergleichMatrix,258)</f>
        <v>-</v>
      </c>
      <c r="E165" s="107"/>
    </row>
    <row r="166" spans="1:5" ht="30" customHeight="1">
      <c r="A166" s="53" t="s">
        <v>17</v>
      </c>
      <c r="B166" s="72" t="str">
        <f>HLOOKUP(Auswahl1,VergleichMatrix,260)</f>
        <v>-</v>
      </c>
      <c r="C166" s="72" t="str">
        <f>HLOOKUP(Auswahl2,VergleichMatrix,260)</f>
        <v>-</v>
      </c>
      <c r="D166" s="72" t="str">
        <f>HLOOKUP(Auswahl3,VergleichMatrix,260)</f>
        <v>-</v>
      </c>
      <c r="E166" s="107"/>
    </row>
    <row r="167" spans="1:5" ht="9" customHeight="1">
      <c r="A167" s="59"/>
      <c r="B167" s="274"/>
      <c r="C167" s="274"/>
      <c r="D167" s="274"/>
      <c r="E167" s="272"/>
    </row>
    <row r="168" spans="1:5" ht="5.0999999999999996" customHeight="1">
      <c r="A168" s="59"/>
      <c r="B168" s="274"/>
      <c r="C168" s="274"/>
      <c r="D168" s="274"/>
      <c r="E168" s="272"/>
    </row>
    <row r="169" spans="1:5" ht="20.100000000000001" customHeight="1">
      <c r="A169" s="176" t="s">
        <v>6115</v>
      </c>
      <c r="B169" s="275" t="str">
        <f>Auswahl1</f>
        <v>Keine</v>
      </c>
      <c r="C169" s="275" t="str">
        <f>Auswahl2</f>
        <v>Keine</v>
      </c>
      <c r="D169" s="275" t="str">
        <f>Auswahl3</f>
        <v>Keine</v>
      </c>
      <c r="E169" s="275" t="str">
        <f>E4</f>
        <v>Individuell</v>
      </c>
    </row>
    <row r="170" spans="1:5" ht="30" customHeight="1">
      <c r="A170" s="53" t="s">
        <v>5130</v>
      </c>
      <c r="B170" s="72" t="str">
        <f>HLOOKUP(Auswahl1,VergleichMatrix,262)</f>
        <v>-</v>
      </c>
      <c r="C170" s="72" t="str">
        <f>HLOOKUP(Auswahl2,VergleichMatrix,262)</f>
        <v>-</v>
      </c>
      <c r="D170" s="72" t="str">
        <f>HLOOKUP(Auswahl3,VergleichMatrix,262)</f>
        <v>-</v>
      </c>
      <c r="E170" s="107"/>
    </row>
    <row r="171" spans="1:5" ht="30" customHeight="1">
      <c r="A171" s="53" t="s">
        <v>5410</v>
      </c>
      <c r="B171" s="72" t="str">
        <f>HLOOKUP(Auswahl1,VergleichMatrix,264)</f>
        <v>-</v>
      </c>
      <c r="C171" s="72" t="str">
        <f>HLOOKUP(Auswahl2,VergleichMatrix,264)</f>
        <v>-</v>
      </c>
      <c r="D171" s="72" t="str">
        <f>HLOOKUP(Auswahl3,VergleichMatrix,264)</f>
        <v>-</v>
      </c>
      <c r="E171" s="107"/>
    </row>
    <row r="172" spans="1:5" ht="30" customHeight="1">
      <c r="A172" s="53" t="s">
        <v>20</v>
      </c>
      <c r="B172" s="72" t="str">
        <f>HLOOKUP(Auswahl1,VergleichMatrix,266)</f>
        <v>-</v>
      </c>
      <c r="C172" s="72" t="str">
        <f>HLOOKUP(Auswahl2,VergleichMatrix,266)</f>
        <v>-</v>
      </c>
      <c r="D172" s="72" t="str">
        <f>HLOOKUP(Auswahl3,VergleichMatrix,266)</f>
        <v>-</v>
      </c>
      <c r="E172" s="107"/>
    </row>
    <row r="173" spans="1:5" ht="30" customHeight="1">
      <c r="A173" s="53" t="s">
        <v>21</v>
      </c>
      <c r="B173" s="72" t="str">
        <f>HLOOKUP(Auswahl1,VergleichMatrix,268)</f>
        <v>-</v>
      </c>
      <c r="C173" s="72" t="str">
        <f>HLOOKUP(Auswahl2,VergleichMatrix,268)</f>
        <v>-</v>
      </c>
      <c r="D173" s="72" t="str">
        <f>HLOOKUP(Auswahl3,VergleichMatrix,268)</f>
        <v>-</v>
      </c>
      <c r="E173" s="107"/>
    </row>
    <row r="174" spans="1:5" ht="30" customHeight="1">
      <c r="A174" s="53" t="s">
        <v>28</v>
      </c>
      <c r="B174" s="72" t="str">
        <f>HLOOKUP(Auswahl1,VergleichMatrix,270)</f>
        <v>-</v>
      </c>
      <c r="C174" s="72" t="str">
        <f>HLOOKUP(Auswahl2,VergleichMatrix,270)</f>
        <v>-</v>
      </c>
      <c r="D174" s="72" t="str">
        <f>HLOOKUP(Auswahl3,VergleichMatrix,270)</f>
        <v>-</v>
      </c>
      <c r="E174" s="107"/>
    </row>
    <row r="175" spans="1:5" ht="30" customHeight="1">
      <c r="A175" s="53" t="s">
        <v>110</v>
      </c>
      <c r="B175" s="72" t="str">
        <f>HLOOKUP(Auswahl1,VergleichMatrix,272)</f>
        <v>-</v>
      </c>
      <c r="C175" s="72" t="str">
        <f>HLOOKUP(Auswahl2,VergleichMatrix,272)</f>
        <v>-</v>
      </c>
      <c r="D175" s="72" t="str">
        <f>HLOOKUP(Auswahl3,VergleichMatrix,272)</f>
        <v>-</v>
      </c>
      <c r="E175" s="107"/>
    </row>
    <row r="176" spans="1:5" ht="30" customHeight="1">
      <c r="A176" s="53" t="s">
        <v>4946</v>
      </c>
      <c r="B176" s="72" t="str">
        <f>HLOOKUP(Auswahl1,VergleichMatrix,274)</f>
        <v>-</v>
      </c>
      <c r="C176" s="72" t="str">
        <f>HLOOKUP(Auswahl2,VergleichMatrix,274)</f>
        <v>-</v>
      </c>
      <c r="D176" s="72" t="str">
        <f>HLOOKUP(Auswahl3,VergleichMatrix,274)</f>
        <v>-</v>
      </c>
      <c r="E176" s="107"/>
    </row>
    <row r="177" spans="1:5" ht="30" customHeight="1">
      <c r="A177" s="53" t="s">
        <v>112</v>
      </c>
      <c r="B177" s="72" t="str">
        <f>HLOOKUP(Auswahl1,VergleichMatrix,276)</f>
        <v>-</v>
      </c>
      <c r="C177" s="72" t="str">
        <f>HLOOKUP(Auswahl2,VergleichMatrix,276)</f>
        <v>-</v>
      </c>
      <c r="D177" s="72" t="str">
        <f>HLOOKUP(Auswahl3,VergleichMatrix,276)</f>
        <v>-</v>
      </c>
      <c r="E177" s="107"/>
    </row>
    <row r="178" spans="1:5" ht="30" customHeight="1">
      <c r="A178" s="53" t="s">
        <v>114</v>
      </c>
      <c r="B178" s="72" t="str">
        <f>HLOOKUP(Auswahl1,VergleichMatrix,278)</f>
        <v>-</v>
      </c>
      <c r="C178" s="72" t="str">
        <f>HLOOKUP(Auswahl2,VergleichMatrix,278)</f>
        <v>-</v>
      </c>
      <c r="D178" s="72" t="str">
        <f>HLOOKUP(Auswahl3,VergleichMatrix,278)</f>
        <v>-</v>
      </c>
      <c r="E178" s="107"/>
    </row>
    <row r="179" spans="1:5" ht="30" customHeight="1">
      <c r="A179" s="198" t="s">
        <v>115</v>
      </c>
      <c r="B179" s="72" t="str">
        <f>HLOOKUP(Auswahl1,VergleichMatrix,280)</f>
        <v>-</v>
      </c>
      <c r="C179" s="72" t="str">
        <f>HLOOKUP(Auswahl2,VergleichMatrix,280)</f>
        <v>-</v>
      </c>
      <c r="D179" s="72" t="str">
        <f>HLOOKUP(Auswahl3,VergleichMatrix,280)</f>
        <v>-</v>
      </c>
      <c r="E179" s="107"/>
    </row>
    <row r="180" spans="1:5" ht="30" customHeight="1">
      <c r="A180" s="53" t="s">
        <v>116</v>
      </c>
      <c r="B180" s="72" t="str">
        <f>HLOOKUP(Auswahl1,VergleichMatrix,282)</f>
        <v>-</v>
      </c>
      <c r="C180" s="72" t="str">
        <f>HLOOKUP(Auswahl2,VergleichMatrix,282)</f>
        <v>-</v>
      </c>
      <c r="D180" s="72" t="str">
        <f>HLOOKUP(Auswahl3,VergleichMatrix,282)</f>
        <v>-</v>
      </c>
      <c r="E180" s="107"/>
    </row>
    <row r="181" spans="1:5" ht="30" customHeight="1">
      <c r="A181" s="53" t="s">
        <v>117</v>
      </c>
      <c r="B181" s="72" t="str">
        <f>HLOOKUP(Auswahl1,VergleichMatrix,284)</f>
        <v>-</v>
      </c>
      <c r="C181" s="72" t="str">
        <f>HLOOKUP(Auswahl2,VergleichMatrix,284)</f>
        <v>-</v>
      </c>
      <c r="D181" s="72" t="str">
        <f>HLOOKUP(Auswahl3,VergleichMatrix,284)</f>
        <v>-</v>
      </c>
      <c r="E181" s="107"/>
    </row>
    <row r="182" spans="1:5" ht="9" customHeight="1">
      <c r="A182" s="59"/>
      <c r="B182" s="274"/>
      <c r="C182" s="274"/>
      <c r="D182" s="274"/>
      <c r="E182" s="272"/>
    </row>
    <row r="183" spans="1:5" ht="5.0999999999999996" customHeight="1">
      <c r="A183" s="59"/>
      <c r="B183" s="274"/>
      <c r="C183" s="274"/>
      <c r="D183" s="274"/>
      <c r="E183" s="272"/>
    </row>
    <row r="184" spans="1:5" ht="20.100000000000001" customHeight="1">
      <c r="A184" s="176" t="s">
        <v>6091</v>
      </c>
      <c r="B184" s="275" t="str">
        <f>Auswahl1</f>
        <v>Keine</v>
      </c>
      <c r="C184" s="275" t="str">
        <f>Auswahl2</f>
        <v>Keine</v>
      </c>
      <c r="D184" s="275" t="str">
        <f>Auswahl3</f>
        <v>Keine</v>
      </c>
      <c r="E184" s="276" t="str">
        <f>E4</f>
        <v>Individuell</v>
      </c>
    </row>
    <row r="185" spans="1:5" ht="30" customHeight="1">
      <c r="A185" s="53" t="s">
        <v>4775</v>
      </c>
      <c r="B185" s="72" t="str">
        <f>HLOOKUP(Auswahl1,VergleichMatrix,288)</f>
        <v>-</v>
      </c>
      <c r="C185" s="72" t="str">
        <f>HLOOKUP(Auswahl2,VergleichMatrix,288)</f>
        <v>-</v>
      </c>
      <c r="D185" s="72" t="str">
        <f>HLOOKUP(Auswahl3,VergleichMatrix,288)</f>
        <v>-</v>
      </c>
      <c r="E185" s="107"/>
    </row>
    <row r="186" spans="1:5" ht="30" customHeight="1">
      <c r="A186" s="53" t="s">
        <v>5370</v>
      </c>
      <c r="B186" s="72" t="str">
        <f>HLOOKUP(Auswahl1,VergleichMatrix,290)</f>
        <v>-</v>
      </c>
      <c r="C186" s="72" t="str">
        <f>HLOOKUP(Auswahl2,VergleichMatrix,290)</f>
        <v>-</v>
      </c>
      <c r="D186" s="72" t="str">
        <f>HLOOKUP(Auswahl3,VergleichMatrix,290)</f>
        <v>-</v>
      </c>
      <c r="E186" s="107"/>
    </row>
    <row r="187" spans="1:5" ht="30" customHeight="1">
      <c r="A187" s="53" t="s">
        <v>5373</v>
      </c>
      <c r="B187" s="72" t="str">
        <f>HLOOKUP(Auswahl1,VergleichMatrix,292)</f>
        <v>-</v>
      </c>
      <c r="C187" s="72" t="str">
        <f>HLOOKUP(Auswahl2,VergleichMatrix,292)</f>
        <v>-</v>
      </c>
      <c r="D187" s="72" t="str">
        <f>HLOOKUP(Auswahl3,VergleichMatrix,292)</f>
        <v>-</v>
      </c>
      <c r="E187" s="107"/>
    </row>
    <row r="188" spans="1:5" ht="9" customHeight="1">
      <c r="A188" s="11"/>
      <c r="B188" s="11"/>
      <c r="C188" s="11"/>
      <c r="D188" s="11"/>
      <c r="E188" s="11"/>
    </row>
    <row r="189" spans="1:5" ht="20.100000000000001" customHeight="1">
      <c r="A189" s="176" t="s">
        <v>73</v>
      </c>
      <c r="B189" s="275" t="str">
        <f>Auswahl1</f>
        <v>Keine</v>
      </c>
      <c r="C189" s="275" t="str">
        <f>Auswahl2</f>
        <v>Keine</v>
      </c>
      <c r="D189" s="275" t="str">
        <f>Auswahl3</f>
        <v>Keine</v>
      </c>
      <c r="E189" s="275" t="str">
        <f>E4</f>
        <v>Individuell</v>
      </c>
    </row>
    <row r="190" spans="1:5" ht="39.950000000000003" customHeight="1">
      <c r="A190" s="53" t="s">
        <v>5343</v>
      </c>
      <c r="B190" s="72" t="str">
        <f>HLOOKUP(Auswahl1,VergleichMatrix,296)</f>
        <v>-</v>
      </c>
      <c r="C190" s="72" t="str">
        <f>HLOOKUP(Auswahl2,VergleichMatrix,296)</f>
        <v>-</v>
      </c>
      <c r="D190" s="72" t="str">
        <f>HLOOKUP(Auswahl3,VergleichMatrix,296)</f>
        <v>-</v>
      </c>
      <c r="E190" s="107"/>
    </row>
    <row r="191" spans="1:5" ht="30" customHeight="1">
      <c r="A191" s="53" t="s">
        <v>5348</v>
      </c>
      <c r="B191" s="72" t="str">
        <f>HLOOKUP(Auswahl1,VergleichMatrix,298)</f>
        <v>-</v>
      </c>
      <c r="C191" s="72" t="str">
        <f>HLOOKUP(Auswahl2,VergleichMatrix,298)</f>
        <v>-</v>
      </c>
      <c r="D191" s="72" t="str">
        <f>HLOOKUP(Auswahl3,VergleichMatrix,298)</f>
        <v>-</v>
      </c>
      <c r="E191" s="107"/>
    </row>
    <row r="192" spans="1:5" ht="30" customHeight="1">
      <c r="A192" s="58" t="s">
        <v>5135</v>
      </c>
      <c r="B192" s="72" t="str">
        <f>HLOOKUP(Auswahl1,VergleichMatrix,300)</f>
        <v>-</v>
      </c>
      <c r="C192" s="72" t="str">
        <f>HLOOKUP(Auswahl2,VergleichMatrix,300)</f>
        <v>-</v>
      </c>
      <c r="D192" s="72" t="str">
        <f>HLOOKUP(Auswahl3,VergleichMatrix,300)</f>
        <v>-</v>
      </c>
      <c r="E192" s="107"/>
    </row>
    <row r="193" spans="1:5" ht="48" customHeight="1">
      <c r="A193" s="53" t="s">
        <v>5352</v>
      </c>
      <c r="B193" s="72" t="str">
        <f>HLOOKUP(Auswahl1,VergleichMatrix,302)</f>
        <v>-</v>
      </c>
      <c r="C193" s="72" t="str">
        <f>HLOOKUP(Auswahl2,VergleichMatrix,302)</f>
        <v>-</v>
      </c>
      <c r="D193" s="72" t="str">
        <f>HLOOKUP(Auswahl3,VergleichMatrix,302)</f>
        <v>-</v>
      </c>
      <c r="E193" s="107"/>
    </row>
    <row r="194" spans="1:5" ht="39.950000000000003" customHeight="1">
      <c r="A194" s="53" t="s">
        <v>6102</v>
      </c>
      <c r="B194" s="72" t="str">
        <f>HLOOKUP(Auswahl1,VergleichMatrix,304)</f>
        <v>-</v>
      </c>
      <c r="C194" s="72" t="str">
        <f>HLOOKUP(Auswahl2,VergleichMatrix,304)</f>
        <v>-</v>
      </c>
      <c r="D194" s="72" t="str">
        <f>HLOOKUP(Auswahl3,VergleichMatrix,304)</f>
        <v>-</v>
      </c>
      <c r="E194" s="107"/>
    </row>
    <row r="195" spans="1:5" ht="39.950000000000003" customHeight="1">
      <c r="A195" s="53" t="s">
        <v>5033</v>
      </c>
      <c r="B195" s="72" t="str">
        <f>HLOOKUP(Auswahl1,VergleichMatrix,306)</f>
        <v>-</v>
      </c>
      <c r="C195" s="72" t="str">
        <f>HLOOKUP(Auswahl2,VergleichMatrix,306)</f>
        <v>-</v>
      </c>
      <c r="D195" s="72" t="str">
        <f>HLOOKUP(Auswahl3,VergleichMatrix,306)</f>
        <v>-</v>
      </c>
      <c r="E195" s="107"/>
    </row>
    <row r="196" spans="1:5" ht="9" customHeight="1">
      <c r="A196" s="11"/>
      <c r="B196" s="11"/>
      <c r="C196" s="11"/>
      <c r="D196" s="11"/>
      <c r="E196" s="11"/>
    </row>
    <row r="197" spans="1:5" ht="20.100000000000001" customHeight="1">
      <c r="A197" s="201" t="s">
        <v>5602</v>
      </c>
      <c r="B197" s="275" t="str">
        <f>Auswahl1</f>
        <v>Keine</v>
      </c>
      <c r="C197" s="275" t="str">
        <f>Auswahl2</f>
        <v>Keine</v>
      </c>
      <c r="D197" s="275" t="str">
        <f>Auswahl3</f>
        <v>Keine</v>
      </c>
      <c r="E197" s="275" t="str">
        <f>E49</f>
        <v>Individuell</v>
      </c>
    </row>
    <row r="198" spans="1:5" ht="30" customHeight="1">
      <c r="A198" s="53" t="s">
        <v>4826</v>
      </c>
      <c r="B198" s="72" t="str">
        <f>HLOOKUP(Auswahl1,VergleichMatrix,310)</f>
        <v>-</v>
      </c>
      <c r="C198" s="72" t="str">
        <f>HLOOKUP(Auswahl2,VergleichMatrix,310)</f>
        <v>-</v>
      </c>
      <c r="D198" s="72" t="str">
        <f>HLOOKUP(Auswahl3,VergleichMatrix,310)</f>
        <v>-</v>
      </c>
      <c r="E198" s="107"/>
    </row>
    <row r="199" spans="1:5" ht="9" customHeight="1">
      <c r="A199" s="59"/>
      <c r="B199" s="274"/>
      <c r="C199" s="274"/>
      <c r="D199" s="274"/>
      <c r="E199" s="272"/>
    </row>
    <row r="200" spans="1:5" ht="5.0999999999999996" customHeight="1">
      <c r="B200" s="11"/>
      <c r="C200" s="11"/>
      <c r="D200" s="11"/>
      <c r="E200" s="11"/>
    </row>
    <row r="201" spans="1:5" ht="20.100000000000001" customHeight="1">
      <c r="A201" s="262" t="s">
        <v>6116</v>
      </c>
      <c r="B201" s="275" t="str">
        <f>Auswahl1</f>
        <v>Keine</v>
      </c>
      <c r="C201" s="275" t="str">
        <f>Auswahl2</f>
        <v>Keine</v>
      </c>
      <c r="D201" s="275" t="str">
        <f>Auswahl3</f>
        <v>Keine</v>
      </c>
      <c r="E201" s="275" t="str">
        <f>E4</f>
        <v>Individuell</v>
      </c>
    </row>
    <row r="202" spans="1:5" ht="300" customHeight="1">
      <c r="A202" s="53" t="s">
        <v>5907</v>
      </c>
      <c r="B202" s="72" t="str">
        <f>HLOOKUP(Auswahl1,VergleichMatrix,314)</f>
        <v>-</v>
      </c>
      <c r="C202" s="72" t="str">
        <f>HLOOKUP(Auswahl2,VergleichMatrix,314)</f>
        <v>-</v>
      </c>
      <c r="D202" s="72" t="str">
        <f>HLOOKUP(Auswahl3,VergleichMatrix,314)</f>
        <v>-</v>
      </c>
      <c r="E202" s="107"/>
    </row>
    <row r="203" spans="1:5" ht="9" customHeight="1">
      <c r="A203" s="59"/>
      <c r="B203" s="274"/>
      <c r="C203" s="274"/>
      <c r="D203" s="274"/>
      <c r="E203" s="272"/>
    </row>
    <row r="204" spans="1:5" ht="5.0999999999999996" customHeight="1">
      <c r="A204" s="59"/>
      <c r="B204" s="274"/>
      <c r="C204" s="274"/>
      <c r="D204" s="274"/>
      <c r="E204" s="272"/>
    </row>
    <row r="205" spans="1:5" ht="20.100000000000001" customHeight="1">
      <c r="A205" s="262" t="s">
        <v>5906</v>
      </c>
      <c r="B205" s="275" t="str">
        <f>Auswahl1</f>
        <v>Keine</v>
      </c>
      <c r="C205" s="275" t="str">
        <f>Auswahl2</f>
        <v>Keine</v>
      </c>
      <c r="D205" s="275" t="str">
        <f>Auswahl3</f>
        <v>Keine</v>
      </c>
      <c r="E205" s="275" t="str">
        <f>E4</f>
        <v>Individuell</v>
      </c>
    </row>
    <row r="206" spans="1:5" ht="200.1" customHeight="1">
      <c r="A206" s="53" t="s">
        <v>5906</v>
      </c>
      <c r="B206" s="72" t="str">
        <f>HLOOKUP(Auswahl1,VergleichMatrix,316)</f>
        <v>-</v>
      </c>
      <c r="C206" s="72" t="str">
        <f>HLOOKUP(Auswahl2,VergleichMatrix,316)</f>
        <v>-</v>
      </c>
      <c r="D206" s="72" t="str">
        <f>HLOOKUP(Auswahl3,VergleichMatrix,316)</f>
        <v>-</v>
      </c>
      <c r="E206" s="107"/>
    </row>
    <row r="207" spans="1:5" ht="9" customHeight="1">
      <c r="B207" s="11"/>
      <c r="C207" s="11"/>
      <c r="D207" s="11"/>
      <c r="E207" s="11"/>
    </row>
    <row r="208" spans="1:5">
      <c r="A208" s="176" t="s">
        <v>155</v>
      </c>
      <c r="B208" s="275" t="str">
        <f>Auswahl1</f>
        <v>Keine</v>
      </c>
      <c r="C208" s="275" t="str">
        <f>Auswahl2</f>
        <v>Keine</v>
      </c>
      <c r="D208" s="275" t="str">
        <f>Auswahl3</f>
        <v>Keine</v>
      </c>
      <c r="E208" s="275" t="str">
        <f>E4</f>
        <v>Individuell</v>
      </c>
    </row>
    <row r="209" spans="1:5" ht="30" customHeight="1">
      <c r="A209" s="178" t="s">
        <v>6104</v>
      </c>
      <c r="B209" s="72" t="str">
        <f>HLOOKUP(Auswahl1,VergleichMatrix,320)</f>
        <v>-</v>
      </c>
      <c r="C209" s="72" t="str">
        <f>HLOOKUP(Auswahl2,VergleichMatrix,320)</f>
        <v>-</v>
      </c>
      <c r="D209" s="72" t="str">
        <f>HLOOKUP(Auswahl3,VergleichMatrix,320)</f>
        <v>-</v>
      </c>
      <c r="E209" s="107"/>
    </row>
    <row r="210" spans="1:5" ht="30" customHeight="1">
      <c r="A210" s="178" t="s">
        <v>4812</v>
      </c>
      <c r="B210" s="72" t="str">
        <f>HLOOKUP(Auswahl1,VergleichMatrix,321)</f>
        <v>-</v>
      </c>
      <c r="C210" s="72" t="str">
        <f>HLOOKUP(Auswahl2,VergleichMatrix,321)</f>
        <v>-</v>
      </c>
      <c r="D210" s="72" t="str">
        <f>HLOOKUP(Auswahl3,VergleichMatrix,321)</f>
        <v>-</v>
      </c>
      <c r="E210" s="107"/>
    </row>
    <row r="211" spans="1:5">
      <c r="A211" s="11"/>
      <c r="B211" s="11"/>
      <c r="C211" s="11"/>
      <c r="D211" s="11"/>
      <c r="E211" s="11"/>
    </row>
  </sheetData>
  <sheetProtection password="98DB" sheet="1" objects="1" scenarios="1" selectLockedCells="1"/>
  <mergeCells count="1">
    <mergeCell ref="B2:C2"/>
  </mergeCells>
  <conditionalFormatting sqref="E142 B151:E151 B14:D20 B38:D44 B50:D61 B63:D74 B77:D81 B84:D93 B108:D111 B126:D127 B130:D131 B134:D140 B143:D149 B153:D156 B22:D26 B46:D48 B95:D98 B115:D118">
    <cfRule type="cellIs" dxfId="649" priority="397" stopIfTrue="1" operator="equal">
      <formula>#REF!</formula>
    </cfRule>
  </conditionalFormatting>
  <conditionalFormatting sqref="B56:D57 B130:D131 B126:D127 B134:D140 B143:D144 B115:D118">
    <cfRule type="containsBlanks" dxfId="648" priority="367" stopIfTrue="1">
      <formula>LEN(TRIM(B56))=0</formula>
    </cfRule>
  </conditionalFormatting>
  <conditionalFormatting sqref="B145:D145">
    <cfRule type="containsBlanks" dxfId="647" priority="363" stopIfTrue="1">
      <formula>LEN(TRIM(B145))=0</formula>
    </cfRule>
  </conditionalFormatting>
  <conditionalFormatting sqref="B145:D145">
    <cfRule type="cellIs" dxfId="646" priority="362" stopIfTrue="1" operator="equal">
      <formula>#REF!</formula>
    </cfRule>
  </conditionalFormatting>
  <conditionalFormatting sqref="B145:D145">
    <cfRule type="containsBlanks" dxfId="645" priority="361" stopIfTrue="1">
      <formula>LEN(TRIM(B145))=0</formula>
    </cfRule>
  </conditionalFormatting>
  <conditionalFormatting sqref="B146:D146">
    <cfRule type="containsBlanks" dxfId="644" priority="360" stopIfTrue="1">
      <formula>LEN(TRIM(B146))=0</formula>
    </cfRule>
  </conditionalFormatting>
  <conditionalFormatting sqref="B146:D146">
    <cfRule type="cellIs" dxfId="643" priority="359" stopIfTrue="1" operator="equal">
      <formula>#REF!</formula>
    </cfRule>
  </conditionalFormatting>
  <conditionalFormatting sqref="B146:D146">
    <cfRule type="containsBlanks" dxfId="642" priority="358" stopIfTrue="1">
      <formula>LEN(TRIM(B146))=0</formula>
    </cfRule>
  </conditionalFormatting>
  <conditionalFormatting sqref="B147:D147">
    <cfRule type="containsBlanks" dxfId="641" priority="357" stopIfTrue="1">
      <formula>LEN(TRIM(B147))=0</formula>
    </cfRule>
  </conditionalFormatting>
  <conditionalFormatting sqref="B147:D147">
    <cfRule type="cellIs" dxfId="640" priority="356" stopIfTrue="1" operator="equal">
      <formula>#REF!</formula>
    </cfRule>
  </conditionalFormatting>
  <conditionalFormatting sqref="B147:D147">
    <cfRule type="containsBlanks" dxfId="639" priority="355" stopIfTrue="1">
      <formula>LEN(TRIM(B147))=0</formula>
    </cfRule>
  </conditionalFormatting>
  <conditionalFormatting sqref="B148:D148">
    <cfRule type="containsBlanks" dxfId="638" priority="354" stopIfTrue="1">
      <formula>LEN(TRIM(B148))=0</formula>
    </cfRule>
  </conditionalFormatting>
  <conditionalFormatting sqref="B148:D148">
    <cfRule type="cellIs" dxfId="637" priority="353" stopIfTrue="1" operator="equal">
      <formula>#REF!</formula>
    </cfRule>
  </conditionalFormatting>
  <conditionalFormatting sqref="B148:D148">
    <cfRule type="containsBlanks" dxfId="636" priority="352" stopIfTrue="1">
      <formula>LEN(TRIM(B148))=0</formula>
    </cfRule>
  </conditionalFormatting>
  <conditionalFormatting sqref="B149:D149">
    <cfRule type="containsBlanks" dxfId="635" priority="351" stopIfTrue="1">
      <formula>LEN(TRIM(B149))=0</formula>
    </cfRule>
  </conditionalFormatting>
  <conditionalFormatting sqref="B149:D149">
    <cfRule type="cellIs" dxfId="634" priority="350" stopIfTrue="1" operator="equal">
      <formula>#REF!</formula>
    </cfRule>
  </conditionalFormatting>
  <conditionalFormatting sqref="B149:D149">
    <cfRule type="containsBlanks" dxfId="633" priority="349" stopIfTrue="1">
      <formula>LEN(TRIM(B149))=0</formula>
    </cfRule>
  </conditionalFormatting>
  <conditionalFormatting sqref="B153:D153">
    <cfRule type="containsBlanks" dxfId="632" priority="348" stopIfTrue="1">
      <formula>LEN(TRIM(B153))=0</formula>
    </cfRule>
  </conditionalFormatting>
  <conditionalFormatting sqref="B153:D153">
    <cfRule type="cellIs" dxfId="631" priority="347" stopIfTrue="1" operator="equal">
      <formula>#REF!</formula>
    </cfRule>
  </conditionalFormatting>
  <conditionalFormatting sqref="B153:D153">
    <cfRule type="containsBlanks" dxfId="630" priority="346" stopIfTrue="1">
      <formula>LEN(TRIM(B153))=0</formula>
    </cfRule>
  </conditionalFormatting>
  <conditionalFormatting sqref="B154:D154">
    <cfRule type="containsBlanks" dxfId="629" priority="345" stopIfTrue="1">
      <formula>LEN(TRIM(B154))=0</formula>
    </cfRule>
  </conditionalFormatting>
  <conditionalFormatting sqref="B154:D154">
    <cfRule type="cellIs" dxfId="628" priority="344" stopIfTrue="1" operator="equal">
      <formula>#REF!</formula>
    </cfRule>
  </conditionalFormatting>
  <conditionalFormatting sqref="B154:D154">
    <cfRule type="containsBlanks" dxfId="627" priority="343" stopIfTrue="1">
      <formula>LEN(TRIM(B154))=0</formula>
    </cfRule>
  </conditionalFormatting>
  <conditionalFormatting sqref="B155:D155">
    <cfRule type="containsBlanks" dxfId="626" priority="342" stopIfTrue="1">
      <formula>LEN(TRIM(B155))=0</formula>
    </cfRule>
  </conditionalFormatting>
  <conditionalFormatting sqref="B155:D155">
    <cfRule type="cellIs" dxfId="625" priority="341" stopIfTrue="1" operator="equal">
      <formula>#REF!</formula>
    </cfRule>
  </conditionalFormatting>
  <conditionalFormatting sqref="B155:D155">
    <cfRule type="containsBlanks" dxfId="624" priority="340" stopIfTrue="1">
      <formula>LEN(TRIM(B155))=0</formula>
    </cfRule>
  </conditionalFormatting>
  <conditionalFormatting sqref="B156:D156">
    <cfRule type="containsBlanks" dxfId="623" priority="339" stopIfTrue="1">
      <formula>LEN(TRIM(B156))=0</formula>
    </cfRule>
  </conditionalFormatting>
  <conditionalFormatting sqref="B156:D156">
    <cfRule type="cellIs" dxfId="622" priority="338" stopIfTrue="1" operator="equal">
      <formula>#REF!</formula>
    </cfRule>
  </conditionalFormatting>
  <conditionalFormatting sqref="B156:D156">
    <cfRule type="containsBlanks" dxfId="621" priority="337" stopIfTrue="1">
      <formula>LEN(TRIM(B156))=0</formula>
    </cfRule>
  </conditionalFormatting>
  <conditionalFormatting sqref="B142:D142">
    <cfRule type="cellIs" dxfId="620" priority="303" stopIfTrue="1" operator="equal">
      <formula>#REF!</formula>
    </cfRule>
  </conditionalFormatting>
  <conditionalFormatting sqref="B113:D113">
    <cfRule type="cellIs" dxfId="619" priority="302" stopIfTrue="1" operator="equal">
      <formula>#REF!</formula>
    </cfRule>
  </conditionalFormatting>
  <conditionalFormatting sqref="B14:D14">
    <cfRule type="cellIs" dxfId="618" priority="301" stopIfTrue="1" operator="equal">
      <formula>#REF!</formula>
    </cfRule>
  </conditionalFormatting>
  <conditionalFormatting sqref="B8:D10">
    <cfRule type="cellIs" dxfId="617" priority="300" stopIfTrue="1" operator="equal">
      <formula>#REF!</formula>
    </cfRule>
  </conditionalFormatting>
  <conditionalFormatting sqref="B8:D8">
    <cfRule type="cellIs" dxfId="616" priority="299" stopIfTrue="1" operator="equal">
      <formula>#REF!</formula>
    </cfRule>
  </conditionalFormatting>
  <conditionalFormatting sqref="B136:D136">
    <cfRule type="containsBlanks" dxfId="615" priority="229" stopIfTrue="1">
      <formula>LEN(TRIM(B136))=0</formula>
    </cfRule>
  </conditionalFormatting>
  <conditionalFormatting sqref="B139:D139">
    <cfRule type="containsBlanks" dxfId="614" priority="225" stopIfTrue="1">
      <formula>LEN(TRIM(B139))=0</formula>
    </cfRule>
  </conditionalFormatting>
  <conditionalFormatting sqref="B139:D139">
    <cfRule type="cellIs" dxfId="613" priority="224" stopIfTrue="1" operator="equal">
      <formula>#REF!</formula>
    </cfRule>
  </conditionalFormatting>
  <conditionalFormatting sqref="B139:D139">
    <cfRule type="containsBlanks" dxfId="612" priority="223" stopIfTrue="1">
      <formula>LEN(TRIM(B139))=0</formula>
    </cfRule>
  </conditionalFormatting>
  <conditionalFormatting sqref="B140:D140">
    <cfRule type="containsBlanks" dxfId="611" priority="219" stopIfTrue="1">
      <formula>LEN(TRIM(B140))=0</formula>
    </cfRule>
  </conditionalFormatting>
  <conditionalFormatting sqref="B157:D161">
    <cfRule type="containsBlanks" dxfId="610" priority="191" stopIfTrue="1">
      <formula>LEN(TRIM(B157))=0</formula>
    </cfRule>
  </conditionalFormatting>
  <conditionalFormatting sqref="B136:D136">
    <cfRule type="containsBlanks" dxfId="609" priority="231" stopIfTrue="1">
      <formula>LEN(TRIM(B136))=0</formula>
    </cfRule>
  </conditionalFormatting>
  <conditionalFormatting sqref="B136:D136">
    <cfRule type="cellIs" dxfId="608" priority="230" stopIfTrue="1" operator="equal">
      <formula>#REF!</formula>
    </cfRule>
  </conditionalFormatting>
  <conditionalFormatting sqref="B131:D131">
    <cfRule type="containsBlanks" dxfId="607" priority="238" stopIfTrue="1">
      <formula>LEN(TRIM(B131))=0</formula>
    </cfRule>
  </conditionalFormatting>
  <conditionalFormatting sqref="B130:D130">
    <cfRule type="containsBlanks" dxfId="606" priority="243" stopIfTrue="1">
      <formula>LEN(TRIM(B130))=0</formula>
    </cfRule>
  </conditionalFormatting>
  <conditionalFormatting sqref="B46:D46">
    <cfRule type="containsBlanks" dxfId="605" priority="252" stopIfTrue="1">
      <formula>LEN(TRIM(B46))=0</formula>
    </cfRule>
  </conditionalFormatting>
  <conditionalFormatting sqref="B108:D111">
    <cfRule type="containsBlanks" dxfId="604" priority="248" stopIfTrue="1">
      <formula>LEN(TRIM(B108))=0</formula>
    </cfRule>
  </conditionalFormatting>
  <conditionalFormatting sqref="B112:D112">
    <cfRule type="containsBlanks" dxfId="603" priority="246" stopIfTrue="1">
      <formula>LEN(TRIM(B112))=0</formula>
    </cfRule>
  </conditionalFormatting>
  <conditionalFormatting sqref="B11:D12">
    <cfRule type="cellIs" dxfId="602" priority="256" stopIfTrue="1" operator="equal">
      <formula>#REF!</formula>
    </cfRule>
  </conditionalFormatting>
  <conditionalFormatting sqref="B28:D35">
    <cfRule type="cellIs" dxfId="601" priority="255" stopIfTrue="1" operator="equal">
      <formula>#REF!</formula>
    </cfRule>
  </conditionalFormatting>
  <conditionalFormatting sqref="B27:D27">
    <cfRule type="cellIs" dxfId="600" priority="254" stopIfTrue="1" operator="equal">
      <formula>#REF!</formula>
    </cfRule>
  </conditionalFormatting>
  <conditionalFormatting sqref="B47:D47">
    <cfRule type="containsBlanks" dxfId="599" priority="253" stopIfTrue="1">
      <formula>LEN(TRIM(B47))=0</formula>
    </cfRule>
  </conditionalFormatting>
  <conditionalFormatting sqref="B101:D101">
    <cfRule type="cellIs" dxfId="598" priority="251" stopIfTrue="1" operator="equal">
      <formula>#REF!</formula>
    </cfRule>
  </conditionalFormatting>
  <conditionalFormatting sqref="B103:D105 B102:C102">
    <cfRule type="cellIs" dxfId="597" priority="250" stopIfTrue="1" operator="equal">
      <formula>#REF!</formula>
    </cfRule>
  </conditionalFormatting>
  <conditionalFormatting sqref="D102">
    <cfRule type="cellIs" dxfId="596" priority="249" stopIfTrue="1" operator="equal">
      <formula>#REF!</formula>
    </cfRule>
  </conditionalFormatting>
  <conditionalFormatting sqref="B112:D112">
    <cfRule type="cellIs" dxfId="595" priority="247" stopIfTrue="1" operator="equal">
      <formula>#REF!</formula>
    </cfRule>
  </conditionalFormatting>
  <conditionalFormatting sqref="B118:D122">
    <cfRule type="cellIs" dxfId="594" priority="245" stopIfTrue="1" operator="equal">
      <formula>#REF!</formula>
    </cfRule>
  </conditionalFormatting>
  <conditionalFormatting sqref="B118:D122">
    <cfRule type="containsBlanks" dxfId="593" priority="244" stopIfTrue="1">
      <formula>LEN(TRIM(B118))=0</formula>
    </cfRule>
  </conditionalFormatting>
  <conditionalFormatting sqref="B130:D130">
    <cfRule type="cellIs" dxfId="592" priority="242" stopIfTrue="1" operator="equal">
      <formula>#REF!</formula>
    </cfRule>
  </conditionalFormatting>
  <conditionalFormatting sqref="B130:D130">
    <cfRule type="containsBlanks" dxfId="591" priority="241" stopIfTrue="1">
      <formula>LEN(TRIM(B130))=0</formula>
    </cfRule>
  </conditionalFormatting>
  <conditionalFormatting sqref="B131:D131">
    <cfRule type="containsBlanks" dxfId="590" priority="240" stopIfTrue="1">
      <formula>LEN(TRIM(B131))=0</formula>
    </cfRule>
  </conditionalFormatting>
  <conditionalFormatting sqref="B131:D131">
    <cfRule type="cellIs" dxfId="589" priority="239" stopIfTrue="1" operator="equal">
      <formula>#REF!</formula>
    </cfRule>
  </conditionalFormatting>
  <conditionalFormatting sqref="B134:D134">
    <cfRule type="containsBlanks" dxfId="588" priority="237" stopIfTrue="1">
      <formula>LEN(TRIM(B134))=0</formula>
    </cfRule>
  </conditionalFormatting>
  <conditionalFormatting sqref="B134:D134">
    <cfRule type="cellIs" dxfId="587" priority="236" stopIfTrue="1" operator="equal">
      <formula>#REF!</formula>
    </cfRule>
  </conditionalFormatting>
  <conditionalFormatting sqref="B134:D134">
    <cfRule type="containsBlanks" dxfId="586" priority="235" stopIfTrue="1">
      <formula>LEN(TRIM(B134))=0</formula>
    </cfRule>
  </conditionalFormatting>
  <conditionalFormatting sqref="B135:D135">
    <cfRule type="containsBlanks" dxfId="585" priority="234" stopIfTrue="1">
      <formula>LEN(TRIM(B135))=0</formula>
    </cfRule>
  </conditionalFormatting>
  <conditionalFormatting sqref="B135:D135">
    <cfRule type="cellIs" dxfId="584" priority="233" stopIfTrue="1" operator="equal">
      <formula>#REF!</formula>
    </cfRule>
  </conditionalFormatting>
  <conditionalFormatting sqref="B135:D135">
    <cfRule type="containsBlanks" dxfId="583" priority="232" stopIfTrue="1">
      <formula>LEN(TRIM(B135))=0</formula>
    </cfRule>
  </conditionalFormatting>
  <conditionalFormatting sqref="B137:D137">
    <cfRule type="containsBlanks" dxfId="582" priority="228" stopIfTrue="1">
      <formula>LEN(TRIM(B137))=0</formula>
    </cfRule>
  </conditionalFormatting>
  <conditionalFormatting sqref="B137:D137">
    <cfRule type="cellIs" dxfId="581" priority="227" stopIfTrue="1" operator="equal">
      <formula>#REF!</formula>
    </cfRule>
  </conditionalFormatting>
  <conditionalFormatting sqref="B137:D137">
    <cfRule type="containsBlanks" dxfId="580" priority="226" stopIfTrue="1">
      <formula>LEN(TRIM(B137))=0</formula>
    </cfRule>
  </conditionalFormatting>
  <conditionalFormatting sqref="B138:D138">
    <cfRule type="containsBlanks" dxfId="579" priority="222" stopIfTrue="1">
      <formula>LEN(TRIM(B138))=0</formula>
    </cfRule>
  </conditionalFormatting>
  <conditionalFormatting sqref="B138:D138">
    <cfRule type="cellIs" dxfId="578" priority="221" stopIfTrue="1" operator="equal">
      <formula>#REF!</formula>
    </cfRule>
  </conditionalFormatting>
  <conditionalFormatting sqref="B138:D138">
    <cfRule type="containsBlanks" dxfId="577" priority="220" stopIfTrue="1">
      <formula>LEN(TRIM(B138))=0</formula>
    </cfRule>
  </conditionalFormatting>
  <conditionalFormatting sqref="B140:D140">
    <cfRule type="cellIs" dxfId="576" priority="218" stopIfTrue="1" operator="equal">
      <formula>#REF!</formula>
    </cfRule>
  </conditionalFormatting>
  <conditionalFormatting sqref="B140:D140">
    <cfRule type="containsBlanks" dxfId="575" priority="217" stopIfTrue="1">
      <formula>LEN(TRIM(B140))=0</formula>
    </cfRule>
  </conditionalFormatting>
  <conditionalFormatting sqref="B144:D144">
    <cfRule type="containsBlanks" dxfId="574" priority="216" stopIfTrue="1">
      <formula>LEN(TRIM(B144))=0</formula>
    </cfRule>
  </conditionalFormatting>
  <conditionalFormatting sqref="B144:D144">
    <cfRule type="cellIs" dxfId="573" priority="215" stopIfTrue="1" operator="equal">
      <formula>#REF!</formula>
    </cfRule>
  </conditionalFormatting>
  <conditionalFormatting sqref="B144:D144">
    <cfRule type="containsBlanks" dxfId="572" priority="214" stopIfTrue="1">
      <formula>LEN(TRIM(B144))=0</formula>
    </cfRule>
  </conditionalFormatting>
  <conditionalFormatting sqref="B145:D148">
    <cfRule type="containsBlanks" dxfId="571" priority="213" stopIfTrue="1">
      <formula>LEN(TRIM(B145))=0</formula>
    </cfRule>
  </conditionalFormatting>
  <conditionalFormatting sqref="B145:D148">
    <cfRule type="containsBlanks" dxfId="570" priority="212" stopIfTrue="1">
      <formula>LEN(TRIM(B145))=0</formula>
    </cfRule>
  </conditionalFormatting>
  <conditionalFormatting sqref="B145:D148">
    <cfRule type="cellIs" dxfId="569" priority="211" stopIfTrue="1" operator="equal">
      <formula>#REF!</formula>
    </cfRule>
  </conditionalFormatting>
  <conditionalFormatting sqref="B145:D148">
    <cfRule type="containsBlanks" dxfId="568" priority="210" stopIfTrue="1">
      <formula>LEN(TRIM(B145))=0</formula>
    </cfRule>
  </conditionalFormatting>
  <conditionalFormatting sqref="B149:D149">
    <cfRule type="containsBlanks" dxfId="567" priority="209" stopIfTrue="1">
      <formula>LEN(TRIM(B149))=0</formula>
    </cfRule>
  </conditionalFormatting>
  <conditionalFormatting sqref="B149:D149">
    <cfRule type="containsBlanks" dxfId="566" priority="208" stopIfTrue="1">
      <formula>LEN(TRIM(B149))=0</formula>
    </cfRule>
  </conditionalFormatting>
  <conditionalFormatting sqref="B149:D149">
    <cfRule type="cellIs" dxfId="565" priority="207" stopIfTrue="1" operator="equal">
      <formula>#REF!</formula>
    </cfRule>
  </conditionalFormatting>
  <conditionalFormatting sqref="B149:D149">
    <cfRule type="containsBlanks" dxfId="564" priority="206" stopIfTrue="1">
      <formula>LEN(TRIM(B149))=0</formula>
    </cfRule>
  </conditionalFormatting>
  <conditionalFormatting sqref="B153:D156">
    <cfRule type="containsBlanks" dxfId="563" priority="205" stopIfTrue="1">
      <formula>LEN(TRIM(B153))=0</formula>
    </cfRule>
  </conditionalFormatting>
  <conditionalFormatting sqref="B153:D156">
    <cfRule type="cellIs" dxfId="562" priority="204" stopIfTrue="1" operator="equal">
      <formula>#REF!</formula>
    </cfRule>
  </conditionalFormatting>
  <conditionalFormatting sqref="B153:D156">
    <cfRule type="containsBlanks" dxfId="561" priority="203" stopIfTrue="1">
      <formula>LEN(TRIM(B153))=0</formula>
    </cfRule>
  </conditionalFormatting>
  <conditionalFormatting sqref="B153:D156">
    <cfRule type="containsBlanks" dxfId="560" priority="202" stopIfTrue="1">
      <formula>LEN(TRIM(B153))=0</formula>
    </cfRule>
  </conditionalFormatting>
  <conditionalFormatting sqref="B153:D156">
    <cfRule type="containsBlanks" dxfId="559" priority="201" stopIfTrue="1">
      <formula>LEN(TRIM(B153))=0</formula>
    </cfRule>
  </conditionalFormatting>
  <conditionalFormatting sqref="B153:D156">
    <cfRule type="cellIs" dxfId="558" priority="200" stopIfTrue="1" operator="equal">
      <formula>#REF!</formula>
    </cfRule>
  </conditionalFormatting>
  <conditionalFormatting sqref="B153:D156">
    <cfRule type="containsBlanks" dxfId="557" priority="199" stopIfTrue="1">
      <formula>LEN(TRIM(B153))=0</formula>
    </cfRule>
  </conditionalFormatting>
  <conditionalFormatting sqref="B157:D161">
    <cfRule type="cellIs" dxfId="556" priority="198" stopIfTrue="1" operator="equal">
      <formula>#REF!</formula>
    </cfRule>
  </conditionalFormatting>
  <conditionalFormatting sqref="B157:D161">
    <cfRule type="containsBlanks" dxfId="555" priority="197" stopIfTrue="1">
      <formula>LEN(TRIM(B157))=0</formula>
    </cfRule>
  </conditionalFormatting>
  <conditionalFormatting sqref="B157:D161">
    <cfRule type="cellIs" dxfId="554" priority="196" stopIfTrue="1" operator="equal">
      <formula>#REF!</formula>
    </cfRule>
  </conditionalFormatting>
  <conditionalFormatting sqref="B157:D161">
    <cfRule type="containsBlanks" dxfId="553" priority="195" stopIfTrue="1">
      <formula>LEN(TRIM(B157))=0</formula>
    </cfRule>
  </conditionalFormatting>
  <conditionalFormatting sqref="B157:D161">
    <cfRule type="containsBlanks" dxfId="552" priority="194" stopIfTrue="1">
      <formula>LEN(TRIM(B157))=0</formula>
    </cfRule>
  </conditionalFormatting>
  <conditionalFormatting sqref="B157:D161">
    <cfRule type="cellIs" dxfId="551" priority="193" stopIfTrue="1" operator="equal">
      <formula>#REF!</formula>
    </cfRule>
  </conditionalFormatting>
  <conditionalFormatting sqref="B157:D161">
    <cfRule type="containsBlanks" dxfId="550" priority="192" stopIfTrue="1">
      <formula>LEN(TRIM(B157))=0</formula>
    </cfRule>
  </conditionalFormatting>
  <conditionalFormatting sqref="B157:D161">
    <cfRule type="containsBlanks" dxfId="549" priority="190" stopIfTrue="1">
      <formula>LEN(TRIM(B157))=0</formula>
    </cfRule>
  </conditionalFormatting>
  <conditionalFormatting sqref="B157:D161">
    <cfRule type="cellIs" dxfId="548" priority="189" stopIfTrue="1" operator="equal">
      <formula>#REF!</formula>
    </cfRule>
  </conditionalFormatting>
  <conditionalFormatting sqref="B157:D161">
    <cfRule type="containsBlanks" dxfId="547" priority="188" stopIfTrue="1">
      <formula>LEN(TRIM(B157))=0</formula>
    </cfRule>
  </conditionalFormatting>
  <conditionalFormatting sqref="B162:D166">
    <cfRule type="cellIs" dxfId="546" priority="187" stopIfTrue="1" operator="equal">
      <formula>#REF!</formula>
    </cfRule>
  </conditionalFormatting>
  <conditionalFormatting sqref="B162:D166">
    <cfRule type="containsBlanks" dxfId="545" priority="186" stopIfTrue="1">
      <formula>LEN(TRIM(B162))=0</formula>
    </cfRule>
  </conditionalFormatting>
  <conditionalFormatting sqref="B162:D166">
    <cfRule type="cellIs" dxfId="544" priority="185" stopIfTrue="1" operator="equal">
      <formula>#REF!</formula>
    </cfRule>
  </conditionalFormatting>
  <conditionalFormatting sqref="B162:D166">
    <cfRule type="containsBlanks" dxfId="543" priority="184" stopIfTrue="1">
      <formula>LEN(TRIM(B162))=0</formula>
    </cfRule>
  </conditionalFormatting>
  <conditionalFormatting sqref="B162:D166">
    <cfRule type="containsBlanks" dxfId="542" priority="183" stopIfTrue="1">
      <formula>LEN(TRIM(B162))=0</formula>
    </cfRule>
  </conditionalFormatting>
  <conditionalFormatting sqref="B162:D166">
    <cfRule type="cellIs" dxfId="541" priority="182" stopIfTrue="1" operator="equal">
      <formula>#REF!</formula>
    </cfRule>
  </conditionalFormatting>
  <conditionalFormatting sqref="B162:D166">
    <cfRule type="containsBlanks" dxfId="540" priority="181" stopIfTrue="1">
      <formula>LEN(TRIM(B162))=0</formula>
    </cfRule>
  </conditionalFormatting>
  <conditionalFormatting sqref="B162:D166">
    <cfRule type="containsBlanks" dxfId="539" priority="180" stopIfTrue="1">
      <formula>LEN(TRIM(B162))=0</formula>
    </cfRule>
  </conditionalFormatting>
  <conditionalFormatting sqref="B162:D166">
    <cfRule type="containsBlanks" dxfId="538" priority="179" stopIfTrue="1">
      <formula>LEN(TRIM(B162))=0</formula>
    </cfRule>
  </conditionalFormatting>
  <conditionalFormatting sqref="B162:D166">
    <cfRule type="cellIs" dxfId="537" priority="178" stopIfTrue="1" operator="equal">
      <formula>#REF!</formula>
    </cfRule>
  </conditionalFormatting>
  <conditionalFormatting sqref="B162:D166">
    <cfRule type="containsBlanks" dxfId="536" priority="177" stopIfTrue="1">
      <formula>LEN(TRIM(B162))=0</formula>
    </cfRule>
  </conditionalFormatting>
  <conditionalFormatting sqref="B170:D173">
    <cfRule type="cellIs" dxfId="535" priority="176" stopIfTrue="1" operator="equal">
      <formula>#REF!</formula>
    </cfRule>
  </conditionalFormatting>
  <conditionalFormatting sqref="B170:D173">
    <cfRule type="containsBlanks" dxfId="534" priority="175" stopIfTrue="1">
      <formula>LEN(TRIM(B170))=0</formula>
    </cfRule>
  </conditionalFormatting>
  <conditionalFormatting sqref="B170:D173">
    <cfRule type="cellIs" dxfId="533" priority="174" stopIfTrue="1" operator="equal">
      <formula>#REF!</formula>
    </cfRule>
  </conditionalFormatting>
  <conditionalFormatting sqref="B170:D173">
    <cfRule type="containsBlanks" dxfId="532" priority="173" stopIfTrue="1">
      <formula>LEN(TRIM(B170))=0</formula>
    </cfRule>
  </conditionalFormatting>
  <conditionalFormatting sqref="B170:D173">
    <cfRule type="containsBlanks" dxfId="531" priority="172" stopIfTrue="1">
      <formula>LEN(TRIM(B170))=0</formula>
    </cfRule>
  </conditionalFormatting>
  <conditionalFormatting sqref="B170:D173">
    <cfRule type="cellIs" dxfId="530" priority="171" stopIfTrue="1" operator="equal">
      <formula>#REF!</formula>
    </cfRule>
  </conditionalFormatting>
  <conditionalFormatting sqref="B170:D173">
    <cfRule type="containsBlanks" dxfId="529" priority="170" stopIfTrue="1">
      <formula>LEN(TRIM(B170))=0</formula>
    </cfRule>
  </conditionalFormatting>
  <conditionalFormatting sqref="B170:D173">
    <cfRule type="containsBlanks" dxfId="528" priority="169" stopIfTrue="1">
      <formula>LEN(TRIM(B170))=0</formula>
    </cfRule>
  </conditionalFormatting>
  <conditionalFormatting sqref="B170:D173">
    <cfRule type="containsBlanks" dxfId="527" priority="168" stopIfTrue="1">
      <formula>LEN(TRIM(B170))=0</formula>
    </cfRule>
  </conditionalFormatting>
  <conditionalFormatting sqref="B170:D173">
    <cfRule type="cellIs" dxfId="526" priority="167" stopIfTrue="1" operator="equal">
      <formula>#REF!</formula>
    </cfRule>
  </conditionalFormatting>
  <conditionalFormatting sqref="B170:D173">
    <cfRule type="containsBlanks" dxfId="525" priority="166" stopIfTrue="1">
      <formula>LEN(TRIM(B170))=0</formula>
    </cfRule>
  </conditionalFormatting>
  <conditionalFormatting sqref="B174:D174">
    <cfRule type="cellIs" dxfId="524" priority="165" stopIfTrue="1" operator="equal">
      <formula>#REF!</formula>
    </cfRule>
  </conditionalFormatting>
  <conditionalFormatting sqref="B174:D174">
    <cfRule type="containsBlanks" dxfId="523" priority="164" stopIfTrue="1">
      <formula>LEN(TRIM(B174))=0</formula>
    </cfRule>
  </conditionalFormatting>
  <conditionalFormatting sqref="B174:D174">
    <cfRule type="cellIs" dxfId="522" priority="163" stopIfTrue="1" operator="equal">
      <formula>#REF!</formula>
    </cfRule>
  </conditionalFormatting>
  <conditionalFormatting sqref="B174:D174">
    <cfRule type="containsBlanks" dxfId="521" priority="162" stopIfTrue="1">
      <formula>LEN(TRIM(B174))=0</formula>
    </cfRule>
  </conditionalFormatting>
  <conditionalFormatting sqref="B174:D174">
    <cfRule type="containsBlanks" dxfId="520" priority="161" stopIfTrue="1">
      <formula>LEN(TRIM(B174))=0</formula>
    </cfRule>
  </conditionalFormatting>
  <conditionalFormatting sqref="B174:D174">
    <cfRule type="cellIs" dxfId="519" priority="160" stopIfTrue="1" operator="equal">
      <formula>#REF!</formula>
    </cfRule>
  </conditionalFormatting>
  <conditionalFormatting sqref="B174:D174">
    <cfRule type="containsBlanks" dxfId="518" priority="159" stopIfTrue="1">
      <formula>LEN(TRIM(B174))=0</formula>
    </cfRule>
  </conditionalFormatting>
  <conditionalFormatting sqref="B174:D174">
    <cfRule type="containsBlanks" dxfId="517" priority="158" stopIfTrue="1">
      <formula>LEN(TRIM(B174))=0</formula>
    </cfRule>
  </conditionalFormatting>
  <conditionalFormatting sqref="B174:D174">
    <cfRule type="containsBlanks" dxfId="516" priority="157" stopIfTrue="1">
      <formula>LEN(TRIM(B174))=0</formula>
    </cfRule>
  </conditionalFormatting>
  <conditionalFormatting sqref="B174:D174">
    <cfRule type="cellIs" dxfId="515" priority="156" stopIfTrue="1" operator="equal">
      <formula>#REF!</formula>
    </cfRule>
  </conditionalFormatting>
  <conditionalFormatting sqref="B174:D174">
    <cfRule type="containsBlanks" dxfId="514" priority="155" stopIfTrue="1">
      <formula>LEN(TRIM(B174))=0</formula>
    </cfRule>
  </conditionalFormatting>
  <conditionalFormatting sqref="B175:D179">
    <cfRule type="cellIs" dxfId="513" priority="154" stopIfTrue="1" operator="equal">
      <formula>#REF!</formula>
    </cfRule>
  </conditionalFormatting>
  <conditionalFormatting sqref="B175:D179">
    <cfRule type="containsBlanks" dxfId="512" priority="153" stopIfTrue="1">
      <formula>LEN(TRIM(B175))=0</formula>
    </cfRule>
  </conditionalFormatting>
  <conditionalFormatting sqref="B175:D179">
    <cfRule type="cellIs" dxfId="511" priority="152" stopIfTrue="1" operator="equal">
      <formula>#REF!</formula>
    </cfRule>
  </conditionalFormatting>
  <conditionalFormatting sqref="B175:D179">
    <cfRule type="containsBlanks" dxfId="510" priority="151" stopIfTrue="1">
      <formula>LEN(TRIM(B175))=0</formula>
    </cfRule>
  </conditionalFormatting>
  <conditionalFormatting sqref="B175:D179">
    <cfRule type="containsBlanks" dxfId="509" priority="150" stopIfTrue="1">
      <formula>LEN(TRIM(B175))=0</formula>
    </cfRule>
  </conditionalFormatting>
  <conditionalFormatting sqref="B175:D179">
    <cfRule type="cellIs" dxfId="508" priority="149" stopIfTrue="1" operator="equal">
      <formula>#REF!</formula>
    </cfRule>
  </conditionalFormatting>
  <conditionalFormatting sqref="B175:D179">
    <cfRule type="containsBlanks" dxfId="507" priority="148" stopIfTrue="1">
      <formula>LEN(TRIM(B175))=0</formula>
    </cfRule>
  </conditionalFormatting>
  <conditionalFormatting sqref="B175:D179">
    <cfRule type="containsBlanks" dxfId="506" priority="147" stopIfTrue="1">
      <formula>LEN(TRIM(B175))=0</formula>
    </cfRule>
  </conditionalFormatting>
  <conditionalFormatting sqref="B175:D179">
    <cfRule type="containsBlanks" dxfId="505" priority="146" stopIfTrue="1">
      <formula>LEN(TRIM(B175))=0</formula>
    </cfRule>
  </conditionalFormatting>
  <conditionalFormatting sqref="B175:D179">
    <cfRule type="cellIs" dxfId="504" priority="145" stopIfTrue="1" operator="equal">
      <formula>#REF!</formula>
    </cfRule>
  </conditionalFormatting>
  <conditionalFormatting sqref="B175:D179">
    <cfRule type="containsBlanks" dxfId="503" priority="144" stopIfTrue="1">
      <formula>LEN(TRIM(B175))=0</formula>
    </cfRule>
  </conditionalFormatting>
  <conditionalFormatting sqref="B180:D181">
    <cfRule type="cellIs" dxfId="502" priority="143" stopIfTrue="1" operator="equal">
      <formula>#REF!</formula>
    </cfRule>
  </conditionalFormatting>
  <conditionalFormatting sqref="B180:D181">
    <cfRule type="containsBlanks" dxfId="501" priority="142" stopIfTrue="1">
      <formula>LEN(TRIM(B180))=0</formula>
    </cfRule>
  </conditionalFormatting>
  <conditionalFormatting sqref="B180:D181">
    <cfRule type="cellIs" dxfId="500" priority="141" stopIfTrue="1" operator="equal">
      <formula>#REF!</formula>
    </cfRule>
  </conditionalFormatting>
  <conditionalFormatting sqref="B180:D181">
    <cfRule type="containsBlanks" dxfId="499" priority="140" stopIfTrue="1">
      <formula>LEN(TRIM(B180))=0</formula>
    </cfRule>
  </conditionalFormatting>
  <conditionalFormatting sqref="B180:D181">
    <cfRule type="containsBlanks" dxfId="498" priority="139" stopIfTrue="1">
      <formula>LEN(TRIM(B180))=0</formula>
    </cfRule>
  </conditionalFormatting>
  <conditionalFormatting sqref="B180:D181">
    <cfRule type="cellIs" dxfId="497" priority="138" stopIfTrue="1" operator="equal">
      <formula>#REF!</formula>
    </cfRule>
  </conditionalFormatting>
  <conditionalFormatting sqref="B180:D181">
    <cfRule type="containsBlanks" dxfId="496" priority="137" stopIfTrue="1">
      <formula>LEN(TRIM(B180))=0</formula>
    </cfRule>
  </conditionalFormatting>
  <conditionalFormatting sqref="B180:D181">
    <cfRule type="containsBlanks" dxfId="495" priority="136" stopIfTrue="1">
      <formula>LEN(TRIM(B180))=0</formula>
    </cfRule>
  </conditionalFormatting>
  <conditionalFormatting sqref="B180:D181">
    <cfRule type="containsBlanks" dxfId="494" priority="135" stopIfTrue="1">
      <formula>LEN(TRIM(B180))=0</formula>
    </cfRule>
  </conditionalFormatting>
  <conditionalFormatting sqref="B180:D181">
    <cfRule type="cellIs" dxfId="493" priority="134" stopIfTrue="1" operator="equal">
      <formula>#REF!</formula>
    </cfRule>
  </conditionalFormatting>
  <conditionalFormatting sqref="B180:D181">
    <cfRule type="containsBlanks" dxfId="492" priority="133" stopIfTrue="1">
      <formula>LEN(TRIM(B180))=0</formula>
    </cfRule>
  </conditionalFormatting>
  <conditionalFormatting sqref="B193:D195">
    <cfRule type="cellIs" dxfId="491" priority="55" stopIfTrue="1" operator="equal">
      <formula>#REF!</formula>
    </cfRule>
  </conditionalFormatting>
  <conditionalFormatting sqref="B193:D195">
    <cfRule type="containsBlanks" dxfId="490" priority="54" stopIfTrue="1">
      <formula>LEN(TRIM(B193))=0</formula>
    </cfRule>
  </conditionalFormatting>
  <conditionalFormatting sqref="B193:D195">
    <cfRule type="cellIs" dxfId="489" priority="53" stopIfTrue="1" operator="equal">
      <formula>#REF!</formula>
    </cfRule>
  </conditionalFormatting>
  <conditionalFormatting sqref="B193:D195">
    <cfRule type="containsBlanks" dxfId="488" priority="52" stopIfTrue="1">
      <formula>LEN(TRIM(B193))=0</formula>
    </cfRule>
  </conditionalFormatting>
  <conditionalFormatting sqref="B193:D195">
    <cfRule type="containsBlanks" dxfId="487" priority="51" stopIfTrue="1">
      <formula>LEN(TRIM(B193))=0</formula>
    </cfRule>
  </conditionalFormatting>
  <conditionalFormatting sqref="B193:D195">
    <cfRule type="cellIs" dxfId="486" priority="50" stopIfTrue="1" operator="equal">
      <formula>#REF!</formula>
    </cfRule>
  </conditionalFormatting>
  <conditionalFormatting sqref="B193:D195">
    <cfRule type="containsBlanks" dxfId="485" priority="49" stopIfTrue="1">
      <formula>LEN(TRIM(B193))=0</formula>
    </cfRule>
  </conditionalFormatting>
  <conditionalFormatting sqref="B193:D195">
    <cfRule type="containsBlanks" dxfId="484" priority="48" stopIfTrue="1">
      <formula>LEN(TRIM(B193))=0</formula>
    </cfRule>
  </conditionalFormatting>
  <conditionalFormatting sqref="B193:D195">
    <cfRule type="containsBlanks" dxfId="483" priority="47" stopIfTrue="1">
      <formula>LEN(TRIM(B193))=0</formula>
    </cfRule>
  </conditionalFormatting>
  <conditionalFormatting sqref="B193:D195">
    <cfRule type="cellIs" dxfId="482" priority="46" stopIfTrue="1" operator="equal">
      <formula>#REF!</formula>
    </cfRule>
  </conditionalFormatting>
  <conditionalFormatting sqref="B193:D195">
    <cfRule type="containsBlanks" dxfId="481" priority="45" stopIfTrue="1">
      <formula>LEN(TRIM(B193))=0</formula>
    </cfRule>
  </conditionalFormatting>
  <conditionalFormatting sqref="B187:D187">
    <cfRule type="cellIs" dxfId="480" priority="110" stopIfTrue="1" operator="equal">
      <formula>#REF!</formula>
    </cfRule>
  </conditionalFormatting>
  <conditionalFormatting sqref="B187:D187">
    <cfRule type="containsBlanks" dxfId="479" priority="109" stopIfTrue="1">
      <formula>LEN(TRIM(B187))=0</formula>
    </cfRule>
  </conditionalFormatting>
  <conditionalFormatting sqref="B187:D187">
    <cfRule type="cellIs" dxfId="478" priority="108" stopIfTrue="1" operator="equal">
      <formula>#REF!</formula>
    </cfRule>
  </conditionalFormatting>
  <conditionalFormatting sqref="B187:D187">
    <cfRule type="containsBlanks" dxfId="477" priority="107" stopIfTrue="1">
      <formula>LEN(TRIM(B187))=0</formula>
    </cfRule>
  </conditionalFormatting>
  <conditionalFormatting sqref="B187:D187">
    <cfRule type="containsBlanks" dxfId="476" priority="106" stopIfTrue="1">
      <formula>LEN(TRIM(B187))=0</formula>
    </cfRule>
  </conditionalFormatting>
  <conditionalFormatting sqref="B187:D187">
    <cfRule type="cellIs" dxfId="475" priority="105" stopIfTrue="1" operator="equal">
      <formula>#REF!</formula>
    </cfRule>
  </conditionalFormatting>
  <conditionalFormatting sqref="B187:D187">
    <cfRule type="containsBlanks" dxfId="474" priority="104" stopIfTrue="1">
      <formula>LEN(TRIM(B187))=0</formula>
    </cfRule>
  </conditionalFormatting>
  <conditionalFormatting sqref="B187:D187">
    <cfRule type="containsBlanks" dxfId="473" priority="103" stopIfTrue="1">
      <formula>LEN(TRIM(B187))=0</formula>
    </cfRule>
  </conditionalFormatting>
  <conditionalFormatting sqref="B187:D187">
    <cfRule type="containsBlanks" dxfId="472" priority="102" stopIfTrue="1">
      <formula>LEN(TRIM(B187))=0</formula>
    </cfRule>
  </conditionalFormatting>
  <conditionalFormatting sqref="B187:D187">
    <cfRule type="cellIs" dxfId="471" priority="101" stopIfTrue="1" operator="equal">
      <formula>#REF!</formula>
    </cfRule>
  </conditionalFormatting>
  <conditionalFormatting sqref="B187:D187">
    <cfRule type="containsBlanks" dxfId="470" priority="100" stopIfTrue="1">
      <formula>LEN(TRIM(B187))=0</formula>
    </cfRule>
  </conditionalFormatting>
  <conditionalFormatting sqref="B185:D185">
    <cfRule type="cellIs" dxfId="469" priority="99" stopIfTrue="1" operator="equal">
      <formula>#REF!</formula>
    </cfRule>
  </conditionalFormatting>
  <conditionalFormatting sqref="B185:D185">
    <cfRule type="containsBlanks" dxfId="468" priority="98" stopIfTrue="1">
      <formula>LEN(TRIM(B185))=0</formula>
    </cfRule>
  </conditionalFormatting>
  <conditionalFormatting sqref="B185:D185">
    <cfRule type="cellIs" dxfId="467" priority="97" stopIfTrue="1" operator="equal">
      <formula>#REF!</formula>
    </cfRule>
  </conditionalFormatting>
  <conditionalFormatting sqref="B185:D185">
    <cfRule type="containsBlanks" dxfId="466" priority="96" stopIfTrue="1">
      <formula>LEN(TRIM(B185))=0</formula>
    </cfRule>
  </conditionalFormatting>
  <conditionalFormatting sqref="B185:D185">
    <cfRule type="containsBlanks" dxfId="465" priority="95" stopIfTrue="1">
      <formula>LEN(TRIM(B185))=0</formula>
    </cfRule>
  </conditionalFormatting>
  <conditionalFormatting sqref="B185:D185">
    <cfRule type="cellIs" dxfId="464" priority="94" stopIfTrue="1" operator="equal">
      <formula>#REF!</formula>
    </cfRule>
  </conditionalFormatting>
  <conditionalFormatting sqref="B185:D185">
    <cfRule type="containsBlanks" dxfId="463" priority="93" stopIfTrue="1">
      <formula>LEN(TRIM(B185))=0</formula>
    </cfRule>
  </conditionalFormatting>
  <conditionalFormatting sqref="B185:D185">
    <cfRule type="containsBlanks" dxfId="462" priority="92" stopIfTrue="1">
      <formula>LEN(TRIM(B185))=0</formula>
    </cfRule>
  </conditionalFormatting>
  <conditionalFormatting sqref="B185:D185">
    <cfRule type="containsBlanks" dxfId="461" priority="91" stopIfTrue="1">
      <formula>LEN(TRIM(B185))=0</formula>
    </cfRule>
  </conditionalFormatting>
  <conditionalFormatting sqref="B185:D185">
    <cfRule type="cellIs" dxfId="460" priority="90" stopIfTrue="1" operator="equal">
      <formula>#REF!</formula>
    </cfRule>
  </conditionalFormatting>
  <conditionalFormatting sqref="B185:D185">
    <cfRule type="containsBlanks" dxfId="459" priority="89" stopIfTrue="1">
      <formula>LEN(TRIM(B185))=0</formula>
    </cfRule>
  </conditionalFormatting>
  <conditionalFormatting sqref="B186:D186">
    <cfRule type="cellIs" dxfId="458" priority="88" stopIfTrue="1" operator="equal">
      <formula>#REF!</formula>
    </cfRule>
  </conditionalFormatting>
  <conditionalFormatting sqref="B186:D186">
    <cfRule type="containsBlanks" dxfId="457" priority="87" stopIfTrue="1">
      <formula>LEN(TRIM(B186))=0</formula>
    </cfRule>
  </conditionalFormatting>
  <conditionalFormatting sqref="B186:D186">
    <cfRule type="cellIs" dxfId="456" priority="86" stopIfTrue="1" operator="equal">
      <formula>#REF!</formula>
    </cfRule>
  </conditionalFormatting>
  <conditionalFormatting sqref="B186:D186">
    <cfRule type="containsBlanks" dxfId="455" priority="85" stopIfTrue="1">
      <formula>LEN(TRIM(B186))=0</formula>
    </cfRule>
  </conditionalFormatting>
  <conditionalFormatting sqref="B186:D186">
    <cfRule type="containsBlanks" dxfId="454" priority="84" stopIfTrue="1">
      <formula>LEN(TRIM(B186))=0</formula>
    </cfRule>
  </conditionalFormatting>
  <conditionalFormatting sqref="B186:D186">
    <cfRule type="cellIs" dxfId="453" priority="83" stopIfTrue="1" operator="equal">
      <formula>#REF!</formula>
    </cfRule>
  </conditionalFormatting>
  <conditionalFormatting sqref="B186:D186">
    <cfRule type="containsBlanks" dxfId="452" priority="82" stopIfTrue="1">
      <formula>LEN(TRIM(B186))=0</formula>
    </cfRule>
  </conditionalFormatting>
  <conditionalFormatting sqref="B186:D186">
    <cfRule type="containsBlanks" dxfId="451" priority="81" stopIfTrue="1">
      <formula>LEN(TRIM(B186))=0</formula>
    </cfRule>
  </conditionalFormatting>
  <conditionalFormatting sqref="B186:D186">
    <cfRule type="containsBlanks" dxfId="450" priority="80" stopIfTrue="1">
      <formula>LEN(TRIM(B186))=0</formula>
    </cfRule>
  </conditionalFormatting>
  <conditionalFormatting sqref="B186:D186">
    <cfRule type="cellIs" dxfId="449" priority="79" stopIfTrue="1" operator="equal">
      <formula>#REF!</formula>
    </cfRule>
  </conditionalFormatting>
  <conditionalFormatting sqref="B186:D186">
    <cfRule type="containsBlanks" dxfId="448" priority="78" stopIfTrue="1">
      <formula>LEN(TRIM(B186))=0</formula>
    </cfRule>
  </conditionalFormatting>
  <conditionalFormatting sqref="B190:D191">
    <cfRule type="cellIs" dxfId="447" priority="77" stopIfTrue="1" operator="equal">
      <formula>#REF!</formula>
    </cfRule>
  </conditionalFormatting>
  <conditionalFormatting sqref="B190:D191">
    <cfRule type="containsBlanks" dxfId="446" priority="76" stopIfTrue="1">
      <formula>LEN(TRIM(B190))=0</formula>
    </cfRule>
  </conditionalFormatting>
  <conditionalFormatting sqref="B190:D191">
    <cfRule type="cellIs" dxfId="445" priority="75" stopIfTrue="1" operator="equal">
      <formula>#REF!</formula>
    </cfRule>
  </conditionalFormatting>
  <conditionalFormatting sqref="B190:D191">
    <cfRule type="containsBlanks" dxfId="444" priority="74" stopIfTrue="1">
      <formula>LEN(TRIM(B190))=0</formula>
    </cfRule>
  </conditionalFormatting>
  <conditionalFormatting sqref="B190:D191">
    <cfRule type="containsBlanks" dxfId="443" priority="73" stopIfTrue="1">
      <formula>LEN(TRIM(B190))=0</formula>
    </cfRule>
  </conditionalFormatting>
  <conditionalFormatting sqref="B190:D191">
    <cfRule type="cellIs" dxfId="442" priority="72" stopIfTrue="1" operator="equal">
      <formula>#REF!</formula>
    </cfRule>
  </conditionalFormatting>
  <conditionalFormatting sqref="B190:D191">
    <cfRule type="containsBlanks" dxfId="441" priority="71" stopIfTrue="1">
      <formula>LEN(TRIM(B190))=0</formula>
    </cfRule>
  </conditionalFormatting>
  <conditionalFormatting sqref="B190:D191">
    <cfRule type="containsBlanks" dxfId="440" priority="70" stopIfTrue="1">
      <formula>LEN(TRIM(B190))=0</formula>
    </cfRule>
  </conditionalFormatting>
  <conditionalFormatting sqref="B190:D191">
    <cfRule type="containsBlanks" dxfId="439" priority="69" stopIfTrue="1">
      <formula>LEN(TRIM(B190))=0</formula>
    </cfRule>
  </conditionalFormatting>
  <conditionalFormatting sqref="B190:D191">
    <cfRule type="cellIs" dxfId="438" priority="68" stopIfTrue="1" operator="equal">
      <formula>#REF!</formula>
    </cfRule>
  </conditionalFormatting>
  <conditionalFormatting sqref="B190:D191">
    <cfRule type="containsBlanks" dxfId="437" priority="67" stopIfTrue="1">
      <formula>LEN(TRIM(B190))=0</formula>
    </cfRule>
  </conditionalFormatting>
  <conditionalFormatting sqref="B192:D192">
    <cfRule type="cellIs" dxfId="436" priority="66" stopIfTrue="1" operator="equal">
      <formula>#REF!</formula>
    </cfRule>
  </conditionalFormatting>
  <conditionalFormatting sqref="B192:D192">
    <cfRule type="containsBlanks" dxfId="435" priority="65" stopIfTrue="1">
      <formula>LEN(TRIM(B192))=0</formula>
    </cfRule>
  </conditionalFormatting>
  <conditionalFormatting sqref="B192:D192">
    <cfRule type="cellIs" dxfId="434" priority="64" stopIfTrue="1" operator="equal">
      <formula>#REF!</formula>
    </cfRule>
  </conditionalFormatting>
  <conditionalFormatting sqref="B192:D192">
    <cfRule type="containsBlanks" dxfId="433" priority="63" stopIfTrue="1">
      <formula>LEN(TRIM(B192))=0</formula>
    </cfRule>
  </conditionalFormatting>
  <conditionalFormatting sqref="B192:D192">
    <cfRule type="containsBlanks" dxfId="432" priority="62" stopIfTrue="1">
      <formula>LEN(TRIM(B192))=0</formula>
    </cfRule>
  </conditionalFormatting>
  <conditionalFormatting sqref="B192:D192">
    <cfRule type="cellIs" dxfId="431" priority="61" stopIfTrue="1" operator="equal">
      <formula>#REF!</formula>
    </cfRule>
  </conditionalFormatting>
  <conditionalFormatting sqref="B192:D192">
    <cfRule type="containsBlanks" dxfId="430" priority="60" stopIfTrue="1">
      <formula>LEN(TRIM(B192))=0</formula>
    </cfRule>
  </conditionalFormatting>
  <conditionalFormatting sqref="B192:D192">
    <cfRule type="containsBlanks" dxfId="429" priority="59" stopIfTrue="1">
      <formula>LEN(TRIM(B192))=0</formula>
    </cfRule>
  </conditionalFormatting>
  <conditionalFormatting sqref="B192:D192">
    <cfRule type="containsBlanks" dxfId="428" priority="58" stopIfTrue="1">
      <formula>LEN(TRIM(B192))=0</formula>
    </cfRule>
  </conditionalFormatting>
  <conditionalFormatting sqref="B192:D192">
    <cfRule type="cellIs" dxfId="427" priority="57" stopIfTrue="1" operator="equal">
      <formula>#REF!</formula>
    </cfRule>
  </conditionalFormatting>
  <conditionalFormatting sqref="B192:D192">
    <cfRule type="containsBlanks" dxfId="426" priority="56" stopIfTrue="1">
      <formula>LEN(TRIM(B192))=0</formula>
    </cfRule>
  </conditionalFormatting>
  <conditionalFormatting sqref="B198:D198">
    <cfRule type="cellIs" dxfId="425" priority="44" stopIfTrue="1" operator="equal">
      <formula>#REF!</formula>
    </cfRule>
  </conditionalFormatting>
  <conditionalFormatting sqref="B198:D198">
    <cfRule type="containsBlanks" dxfId="424" priority="43" stopIfTrue="1">
      <formula>LEN(TRIM(B198))=0</formula>
    </cfRule>
  </conditionalFormatting>
  <conditionalFormatting sqref="B198:D198">
    <cfRule type="cellIs" dxfId="423" priority="42" stopIfTrue="1" operator="equal">
      <formula>#REF!</formula>
    </cfRule>
  </conditionalFormatting>
  <conditionalFormatting sqref="B198:D198">
    <cfRule type="containsBlanks" dxfId="422" priority="41" stopIfTrue="1">
      <formula>LEN(TRIM(B198))=0</formula>
    </cfRule>
  </conditionalFormatting>
  <conditionalFormatting sqref="B198:D198">
    <cfRule type="containsBlanks" dxfId="421" priority="40" stopIfTrue="1">
      <formula>LEN(TRIM(B198))=0</formula>
    </cfRule>
  </conditionalFormatting>
  <conditionalFormatting sqref="B198:D198">
    <cfRule type="cellIs" dxfId="420" priority="39" stopIfTrue="1" operator="equal">
      <formula>#REF!</formula>
    </cfRule>
  </conditionalFormatting>
  <conditionalFormatting sqref="B198:D198">
    <cfRule type="containsBlanks" dxfId="419" priority="38" stopIfTrue="1">
      <formula>LEN(TRIM(B198))=0</formula>
    </cfRule>
  </conditionalFormatting>
  <conditionalFormatting sqref="B198:D198">
    <cfRule type="containsBlanks" dxfId="418" priority="37" stopIfTrue="1">
      <formula>LEN(TRIM(B198))=0</formula>
    </cfRule>
  </conditionalFormatting>
  <conditionalFormatting sqref="B198:D198">
    <cfRule type="containsBlanks" dxfId="417" priority="36" stopIfTrue="1">
      <formula>LEN(TRIM(B198))=0</formula>
    </cfRule>
  </conditionalFormatting>
  <conditionalFormatting sqref="B198:D198">
    <cfRule type="cellIs" dxfId="416" priority="35" stopIfTrue="1" operator="equal">
      <formula>#REF!</formula>
    </cfRule>
  </conditionalFormatting>
  <conditionalFormatting sqref="B198:D198">
    <cfRule type="containsBlanks" dxfId="415" priority="34" stopIfTrue="1">
      <formula>LEN(TRIM(B198))=0</formula>
    </cfRule>
  </conditionalFormatting>
  <conditionalFormatting sqref="B202:D202 B206:D206">
    <cfRule type="cellIs" dxfId="414" priority="33" stopIfTrue="1" operator="equal">
      <formula>#REF!</formula>
    </cfRule>
  </conditionalFormatting>
  <conditionalFormatting sqref="B202:D202 B206:D206">
    <cfRule type="containsBlanks" dxfId="413" priority="32" stopIfTrue="1">
      <formula>LEN(TRIM(B202))=0</formula>
    </cfRule>
  </conditionalFormatting>
  <conditionalFormatting sqref="B202:D202 B206:D206">
    <cfRule type="cellIs" dxfId="412" priority="31" stopIfTrue="1" operator="equal">
      <formula>#REF!</formula>
    </cfRule>
  </conditionalFormatting>
  <conditionalFormatting sqref="B202:D202 B206:D206">
    <cfRule type="containsBlanks" dxfId="411" priority="30" stopIfTrue="1">
      <formula>LEN(TRIM(B202))=0</formula>
    </cfRule>
  </conditionalFormatting>
  <conditionalFormatting sqref="B202:D202 B206:D206">
    <cfRule type="containsBlanks" dxfId="410" priority="29" stopIfTrue="1">
      <formula>LEN(TRIM(B202))=0</formula>
    </cfRule>
  </conditionalFormatting>
  <conditionalFormatting sqref="B202:D202 B206:D206">
    <cfRule type="cellIs" dxfId="409" priority="28" stopIfTrue="1" operator="equal">
      <formula>#REF!</formula>
    </cfRule>
  </conditionalFormatting>
  <conditionalFormatting sqref="B202:D202 B206:D206">
    <cfRule type="containsBlanks" dxfId="408" priority="27" stopIfTrue="1">
      <formula>LEN(TRIM(B202))=0</formula>
    </cfRule>
  </conditionalFormatting>
  <conditionalFormatting sqref="B202:D202 B206:D206">
    <cfRule type="containsBlanks" dxfId="407" priority="26" stopIfTrue="1">
      <formula>LEN(TRIM(B202))=0</formula>
    </cfRule>
  </conditionalFormatting>
  <conditionalFormatting sqref="B202:D202 B206:D206">
    <cfRule type="containsBlanks" dxfId="406" priority="25" stopIfTrue="1">
      <formula>LEN(TRIM(B202))=0</formula>
    </cfRule>
  </conditionalFormatting>
  <conditionalFormatting sqref="B202:D202 B206:D206">
    <cfRule type="cellIs" dxfId="405" priority="24" stopIfTrue="1" operator="equal">
      <formula>#REF!</formula>
    </cfRule>
  </conditionalFormatting>
  <conditionalFormatting sqref="B202:D202 B206:D206">
    <cfRule type="containsBlanks" dxfId="404" priority="23" stopIfTrue="1">
      <formula>LEN(TRIM(B202))=0</formula>
    </cfRule>
  </conditionalFormatting>
  <conditionalFormatting sqref="B209:D209">
    <cfRule type="cellIs" dxfId="403" priority="22" stopIfTrue="1" operator="equal">
      <formula>#REF!</formula>
    </cfRule>
  </conditionalFormatting>
  <conditionalFormatting sqref="B209:D209">
    <cfRule type="containsBlanks" dxfId="402" priority="21" stopIfTrue="1">
      <formula>LEN(TRIM(B209))=0</formula>
    </cfRule>
  </conditionalFormatting>
  <conditionalFormatting sqref="B209:D209">
    <cfRule type="cellIs" dxfId="401" priority="20" stopIfTrue="1" operator="equal">
      <formula>#REF!</formula>
    </cfRule>
  </conditionalFormatting>
  <conditionalFormatting sqref="B209:D209">
    <cfRule type="containsBlanks" dxfId="400" priority="19" stopIfTrue="1">
      <formula>LEN(TRIM(B209))=0</formula>
    </cfRule>
  </conditionalFormatting>
  <conditionalFormatting sqref="B209:D209">
    <cfRule type="containsBlanks" dxfId="399" priority="18" stopIfTrue="1">
      <formula>LEN(TRIM(B209))=0</formula>
    </cfRule>
  </conditionalFormatting>
  <conditionalFormatting sqref="B209:D209">
    <cfRule type="cellIs" dxfId="398" priority="17" stopIfTrue="1" operator="equal">
      <formula>#REF!</formula>
    </cfRule>
  </conditionalFormatting>
  <conditionalFormatting sqref="B209:D209">
    <cfRule type="containsBlanks" dxfId="397" priority="16" stopIfTrue="1">
      <formula>LEN(TRIM(B209))=0</formula>
    </cfRule>
  </conditionalFormatting>
  <conditionalFormatting sqref="B209:D209">
    <cfRule type="containsBlanks" dxfId="396" priority="15" stopIfTrue="1">
      <formula>LEN(TRIM(B209))=0</formula>
    </cfRule>
  </conditionalFormatting>
  <conditionalFormatting sqref="B209:D209">
    <cfRule type="containsBlanks" dxfId="395" priority="14" stopIfTrue="1">
      <formula>LEN(TRIM(B209))=0</formula>
    </cfRule>
  </conditionalFormatting>
  <conditionalFormatting sqref="B209:D209">
    <cfRule type="cellIs" dxfId="394" priority="13" stopIfTrue="1" operator="equal">
      <formula>#REF!</formula>
    </cfRule>
  </conditionalFormatting>
  <conditionalFormatting sqref="B209:D209">
    <cfRule type="containsBlanks" dxfId="393" priority="12" stopIfTrue="1">
      <formula>LEN(TRIM(B209))=0</formula>
    </cfRule>
  </conditionalFormatting>
  <conditionalFormatting sqref="B210:D210">
    <cfRule type="cellIs" dxfId="392" priority="11" stopIfTrue="1" operator="equal">
      <formula>#REF!</formula>
    </cfRule>
  </conditionalFormatting>
  <conditionalFormatting sqref="B210:D210">
    <cfRule type="containsBlanks" dxfId="391" priority="10" stopIfTrue="1">
      <formula>LEN(TRIM(B210))=0</formula>
    </cfRule>
  </conditionalFormatting>
  <conditionalFormatting sqref="B210:D210">
    <cfRule type="cellIs" dxfId="390" priority="9" stopIfTrue="1" operator="equal">
      <formula>#REF!</formula>
    </cfRule>
  </conditionalFormatting>
  <conditionalFormatting sqref="B210:D210">
    <cfRule type="containsBlanks" dxfId="389" priority="8" stopIfTrue="1">
      <formula>LEN(TRIM(B210))=0</formula>
    </cfRule>
  </conditionalFormatting>
  <conditionalFormatting sqref="B210:D210">
    <cfRule type="containsBlanks" dxfId="388" priority="7" stopIfTrue="1">
      <formula>LEN(TRIM(B210))=0</formula>
    </cfRule>
  </conditionalFormatting>
  <conditionalFormatting sqref="B210:D210">
    <cfRule type="cellIs" dxfId="387" priority="6" stopIfTrue="1" operator="equal">
      <formula>#REF!</formula>
    </cfRule>
  </conditionalFormatting>
  <conditionalFormatting sqref="B210:D210">
    <cfRule type="containsBlanks" dxfId="386" priority="5" stopIfTrue="1">
      <formula>LEN(TRIM(B210))=0</formula>
    </cfRule>
  </conditionalFormatting>
  <conditionalFormatting sqref="B210:D210">
    <cfRule type="containsBlanks" dxfId="385" priority="4" stopIfTrue="1">
      <formula>LEN(TRIM(B210))=0</formula>
    </cfRule>
  </conditionalFormatting>
  <conditionalFormatting sqref="B210:D210">
    <cfRule type="containsBlanks" dxfId="384" priority="3" stopIfTrue="1">
      <formula>LEN(TRIM(B210))=0</formula>
    </cfRule>
  </conditionalFormatting>
  <conditionalFormatting sqref="B210:D210">
    <cfRule type="cellIs" dxfId="383" priority="2" stopIfTrue="1" operator="equal">
      <formula>#REF!</formula>
    </cfRule>
  </conditionalFormatting>
  <conditionalFormatting sqref="B210:D210">
    <cfRule type="containsBlanks" dxfId="382" priority="1" stopIfTrue="1">
      <formula>LEN(TRIM(B210))=0</formula>
    </cfRule>
  </conditionalFormatting>
  <printOptions horizontalCentered="1"/>
  <pageMargins left="0.39370078740157483" right="0.39370078740157483" top="0.98425196850393704" bottom="0.59055118110236227" header="0.51181102362204722" footer="0.31496062992125984"/>
  <pageSetup paperSize="9" orientation="landscape" r:id="rId1"/>
  <headerFooter>
    <oddHeader>&amp;L&amp;"Arial,Fett"&amp;16Leistungsvergleich Unfallversicherungen&amp;R&amp;G</oddHeader>
    <oddFooter>&amp;L&amp;8Seite &amp;P von &amp;N&amp;C&amp;8Bei den Deckungsinhalten handelt es sich nur um Stichworte. Die detaillierten Deckungsumfänge sind den jeweiligen Bedingungen zu entnehmen. &amp;R&amp;8Stand 2021-03-25</oddFooter>
  </headerFooter>
  <rowBreaks count="15" manualBreakCount="15">
    <brk id="19" max="16383" man="1"/>
    <brk id="35" max="16383" man="1"/>
    <brk id="43" max="16383" man="1"/>
    <brk id="60" max="16383" man="1"/>
    <brk id="74" max="16383" man="1"/>
    <brk id="81" max="16383" man="1"/>
    <brk id="92" max="16383" man="1"/>
    <brk id="105" max="16383" man="1"/>
    <brk id="123" max="16383" man="1"/>
    <brk id="141" max="16383" man="1"/>
    <brk id="150" max="16383" man="1"/>
    <brk id="167" max="16383" man="1"/>
    <brk id="182" max="16383" man="1"/>
    <brk id="199" max="16383" man="1"/>
    <brk id="203"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21" r:id="rId5" name="Drop Down 1">
              <controlPr defaultSize="0" print="0" autoLine="0" autoPict="0">
                <anchor moveWithCells="1">
                  <from>
                    <xdr:col>1</xdr:col>
                    <xdr:colOff>28575</xdr:colOff>
                    <xdr:row>2</xdr:row>
                    <xdr:rowOff>28575</xdr:rowOff>
                  </from>
                  <to>
                    <xdr:col>1</xdr:col>
                    <xdr:colOff>1428750</xdr:colOff>
                    <xdr:row>2</xdr:row>
                    <xdr:rowOff>257175</xdr:rowOff>
                  </to>
                </anchor>
              </controlPr>
            </control>
          </mc:Choice>
        </mc:AlternateContent>
        <mc:AlternateContent xmlns:mc="http://schemas.openxmlformats.org/markup-compatibility/2006">
          <mc:Choice Requires="x14">
            <control shapeId="5122" r:id="rId6" name="Drop Down 2">
              <controlPr defaultSize="0" print="0" autoLine="0" autoPict="0">
                <anchor moveWithCells="1">
                  <from>
                    <xdr:col>2</xdr:col>
                    <xdr:colOff>28575</xdr:colOff>
                    <xdr:row>2</xdr:row>
                    <xdr:rowOff>28575</xdr:rowOff>
                  </from>
                  <to>
                    <xdr:col>2</xdr:col>
                    <xdr:colOff>1428750</xdr:colOff>
                    <xdr:row>2</xdr:row>
                    <xdr:rowOff>257175</xdr:rowOff>
                  </to>
                </anchor>
              </controlPr>
            </control>
          </mc:Choice>
        </mc:AlternateContent>
        <mc:AlternateContent xmlns:mc="http://schemas.openxmlformats.org/markup-compatibility/2006">
          <mc:Choice Requires="x14">
            <control shapeId="5123" r:id="rId7" name="Drop Down 3">
              <controlPr defaultSize="0" print="0" autoLine="0" autoPict="0">
                <anchor moveWithCells="1">
                  <from>
                    <xdr:col>3</xdr:col>
                    <xdr:colOff>28575</xdr:colOff>
                    <xdr:row>2</xdr:row>
                    <xdr:rowOff>28575</xdr:rowOff>
                  </from>
                  <to>
                    <xdr:col>3</xdr:col>
                    <xdr:colOff>1428750</xdr:colOff>
                    <xdr:row>2</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69"/>
  <sheetViews>
    <sheetView zoomScale="120" zoomScaleNormal="120" zoomScaleSheetLayoutView="75" workbookViewId="0">
      <pane xSplit="1" ySplit="1" topLeftCell="I89" activePane="bottomRight" state="frozen"/>
      <selection pane="topRight" activeCell="B1" sqref="B1"/>
      <selection pane="bottomLeft" activeCell="A3" sqref="A3"/>
      <selection pane="bottomRight" activeCell="P110" sqref="P110"/>
    </sheetView>
  </sheetViews>
  <sheetFormatPr baseColWidth="10" defaultRowHeight="12.75"/>
  <cols>
    <col min="1" max="1" width="39.7109375" customWidth="1"/>
    <col min="2" max="2" width="39.7109375" style="2" customWidth="1"/>
    <col min="3" max="17" width="24.28515625" style="205" customWidth="1"/>
    <col min="18" max="19" width="24.28515625" customWidth="1"/>
    <col min="20" max="21" width="24.28515625" style="205" customWidth="1"/>
    <col min="24" max="24" width="3.28515625" customWidth="1"/>
    <col min="25" max="25" width="21.7109375" customWidth="1"/>
    <col min="26" max="26" width="3.28515625" customWidth="1"/>
    <col min="27" max="29" width="22.85546875" bestFit="1" customWidth="1"/>
    <col min="33" max="33" width="11.42578125" style="11"/>
  </cols>
  <sheetData>
    <row r="1" spans="1:33" s="38" customFormat="1" ht="20.100000000000001" customHeight="1">
      <c r="A1" s="176" t="s">
        <v>4819</v>
      </c>
      <c r="B1" s="186" t="s">
        <v>4849</v>
      </c>
      <c r="C1" s="101" t="s">
        <v>6218</v>
      </c>
      <c r="D1" s="101" t="s">
        <v>6219</v>
      </c>
      <c r="E1" s="101" t="s">
        <v>6220</v>
      </c>
      <c r="F1" s="101" t="s">
        <v>5663</v>
      </c>
      <c r="G1" s="101" t="s">
        <v>5662</v>
      </c>
      <c r="H1" s="101" t="s">
        <v>5664</v>
      </c>
      <c r="I1" s="202" t="s">
        <v>40</v>
      </c>
      <c r="J1" s="202" t="s">
        <v>5127</v>
      </c>
      <c r="K1" s="101" t="s">
        <v>6107</v>
      </c>
      <c r="L1" s="140" t="s">
        <v>6222</v>
      </c>
      <c r="M1" s="140" t="s">
        <v>6347</v>
      </c>
      <c r="N1" s="140" t="s">
        <v>6348</v>
      </c>
      <c r="O1" s="140" t="s">
        <v>6221</v>
      </c>
      <c r="P1" s="202" t="s">
        <v>6105</v>
      </c>
      <c r="Q1" s="202" t="s">
        <v>3397</v>
      </c>
      <c r="R1" s="202" t="s">
        <v>3398</v>
      </c>
      <c r="S1" s="202" t="s">
        <v>5607</v>
      </c>
      <c r="T1" s="202" t="s">
        <v>5548</v>
      </c>
      <c r="U1" s="202"/>
      <c r="X1" s="35"/>
      <c r="Y1" s="35"/>
      <c r="Z1" s="35"/>
      <c r="AA1" s="35" t="s">
        <v>149</v>
      </c>
      <c r="AB1" s="35" t="s">
        <v>150</v>
      </c>
      <c r="AC1" s="35" t="s">
        <v>151</v>
      </c>
      <c r="AG1" s="35"/>
    </row>
    <row r="2" spans="1:33" s="14" customFormat="1" ht="39.950000000000003" customHeight="1">
      <c r="A2" s="53" t="s">
        <v>4818</v>
      </c>
      <c r="B2" s="211"/>
      <c r="C2" s="54" t="s">
        <v>5415</v>
      </c>
      <c r="D2" s="54" t="s">
        <v>5414</v>
      </c>
      <c r="E2" s="54" t="s">
        <v>5415</v>
      </c>
      <c r="F2" s="54" t="s">
        <v>5973</v>
      </c>
      <c r="G2" s="54" t="s">
        <v>5973</v>
      </c>
      <c r="H2" s="54" t="s">
        <v>5973</v>
      </c>
      <c r="I2" s="54" t="s">
        <v>5153</v>
      </c>
      <c r="J2" s="54">
        <v>75</v>
      </c>
      <c r="K2" s="54" t="s">
        <v>5159</v>
      </c>
      <c r="L2" s="54" t="s">
        <v>6225</v>
      </c>
      <c r="M2" s="54" t="s">
        <v>6225</v>
      </c>
      <c r="N2" s="54" t="s">
        <v>6351</v>
      </c>
      <c r="O2" s="54" t="s">
        <v>6225</v>
      </c>
      <c r="P2" s="54" t="s">
        <v>39</v>
      </c>
      <c r="Q2" s="54" t="s">
        <v>5543</v>
      </c>
      <c r="R2" s="54" t="s">
        <v>5543</v>
      </c>
      <c r="S2" s="54" t="s">
        <v>5543</v>
      </c>
      <c r="T2" s="54" t="s">
        <v>5543</v>
      </c>
      <c r="U2" s="203"/>
      <c r="X2" s="280">
        <v>1</v>
      </c>
      <c r="Y2" s="99" t="s">
        <v>152</v>
      </c>
      <c r="Z2" s="30"/>
      <c r="AA2" s="30">
        <v>1</v>
      </c>
      <c r="AB2" s="30">
        <v>1</v>
      </c>
      <c r="AC2" s="30">
        <v>1</v>
      </c>
      <c r="AG2" s="278"/>
    </row>
    <row r="3" spans="1:33" s="2" customFormat="1" ht="9" customHeight="1">
      <c r="A3" s="180" t="s">
        <v>688</v>
      </c>
      <c r="B3" s="237"/>
      <c r="C3" s="94" t="s">
        <v>5379</v>
      </c>
      <c r="D3" s="94" t="s">
        <v>5379</v>
      </c>
      <c r="E3" s="94" t="s">
        <v>5234</v>
      </c>
      <c r="F3" s="249"/>
      <c r="G3" s="249" t="s">
        <v>5974</v>
      </c>
      <c r="H3" s="249" t="s">
        <v>5975</v>
      </c>
      <c r="I3" s="94" t="s">
        <v>6016</v>
      </c>
      <c r="J3" s="94" t="s">
        <v>6016</v>
      </c>
      <c r="K3" s="94" t="s">
        <v>5141</v>
      </c>
      <c r="L3" s="94" t="s">
        <v>6254</v>
      </c>
      <c r="M3" s="94" t="s">
        <v>6254</v>
      </c>
      <c r="N3" s="94" t="s">
        <v>6352</v>
      </c>
      <c r="O3" s="94" t="s">
        <v>6226</v>
      </c>
      <c r="P3" s="249" t="s">
        <v>39</v>
      </c>
      <c r="Q3" s="249" t="s">
        <v>5533</v>
      </c>
      <c r="R3" s="249" t="s">
        <v>5533</v>
      </c>
      <c r="S3" s="249" t="s">
        <v>5533</v>
      </c>
      <c r="T3" s="249" t="s">
        <v>5533</v>
      </c>
      <c r="U3" s="94"/>
      <c r="X3" s="281">
        <v>2</v>
      </c>
      <c r="Y3" s="279" t="s">
        <v>6220</v>
      </c>
      <c r="Z3" s="35"/>
      <c r="AA3" s="35"/>
      <c r="AB3" s="35"/>
      <c r="AC3" s="35"/>
      <c r="AG3" s="278"/>
    </row>
    <row r="4" spans="1:33" s="14" customFormat="1" ht="30" customHeight="1">
      <c r="A4" s="53" t="s">
        <v>4817</v>
      </c>
      <c r="B4" s="211"/>
      <c r="C4" s="54" t="s">
        <v>4424</v>
      </c>
      <c r="D4" s="54" t="s">
        <v>41</v>
      </c>
      <c r="E4" s="54" t="s">
        <v>4424</v>
      </c>
      <c r="F4" s="54" t="s">
        <v>6026</v>
      </c>
      <c r="G4" s="54" t="s">
        <v>6026</v>
      </c>
      <c r="H4" s="54" t="s">
        <v>41</v>
      </c>
      <c r="I4" s="54" t="s">
        <v>41</v>
      </c>
      <c r="J4" s="54" t="s">
        <v>4925</v>
      </c>
      <c r="K4" s="54" t="s">
        <v>41</v>
      </c>
      <c r="L4" s="54" t="s">
        <v>41</v>
      </c>
      <c r="M4" s="54" t="s">
        <v>41</v>
      </c>
      <c r="N4" s="54" t="s">
        <v>41</v>
      </c>
      <c r="O4" s="54" t="s">
        <v>6259</v>
      </c>
      <c r="P4" s="54" t="s">
        <v>39</v>
      </c>
      <c r="Q4" s="54" t="s">
        <v>4424</v>
      </c>
      <c r="R4" s="54" t="s">
        <v>4424</v>
      </c>
      <c r="S4" s="54" t="s">
        <v>4424</v>
      </c>
      <c r="T4" s="54" t="s">
        <v>41</v>
      </c>
      <c r="U4" s="203"/>
      <c r="X4" s="268">
        <v>3</v>
      </c>
      <c r="Y4" s="279" t="s">
        <v>6218</v>
      </c>
      <c r="Z4" s="30"/>
      <c r="AA4" s="30" t="str">
        <f>VLOOKUP(AA2,AuswMatrix,2)</f>
        <v>Keine</v>
      </c>
      <c r="AB4" s="30" t="str">
        <f>VLOOKUP(AB2,AuswMatrix,2)</f>
        <v>Keine</v>
      </c>
      <c r="AC4" s="30" t="str">
        <f>VLOOKUP(AC2,AuswMatrix,2)</f>
        <v>Keine</v>
      </c>
      <c r="AG4" s="278"/>
    </row>
    <row r="5" spans="1:33" s="2" customFormat="1" ht="9" customHeight="1">
      <c r="A5" s="180" t="s">
        <v>688</v>
      </c>
      <c r="B5" s="237"/>
      <c r="C5" s="94" t="s">
        <v>5392</v>
      </c>
      <c r="D5" s="94" t="s">
        <v>5392</v>
      </c>
      <c r="E5" s="94" t="s">
        <v>5392</v>
      </c>
      <c r="F5" s="94" t="s">
        <v>6027</v>
      </c>
      <c r="G5" s="94" t="s">
        <v>6027</v>
      </c>
      <c r="H5" s="94" t="s">
        <v>1136</v>
      </c>
      <c r="I5" s="94" t="s">
        <v>5141</v>
      </c>
      <c r="J5" s="94" t="s">
        <v>5141</v>
      </c>
      <c r="K5" s="94" t="s">
        <v>5141</v>
      </c>
      <c r="L5" s="94" t="s">
        <v>6224</v>
      </c>
      <c r="M5" s="94" t="s">
        <v>6224</v>
      </c>
      <c r="N5" s="94" t="s">
        <v>6224</v>
      </c>
      <c r="O5" s="94" t="s">
        <v>6224</v>
      </c>
      <c r="P5" s="94" t="s">
        <v>39</v>
      </c>
      <c r="Q5" s="94" t="s">
        <v>5554</v>
      </c>
      <c r="R5" s="94" t="s">
        <v>5554</v>
      </c>
      <c r="S5" s="94" t="s">
        <v>5554</v>
      </c>
      <c r="T5" s="94" t="s">
        <v>5554</v>
      </c>
      <c r="U5" s="94"/>
      <c r="X5" s="268">
        <v>4</v>
      </c>
      <c r="Y5" s="279" t="s">
        <v>6219</v>
      </c>
      <c r="Z5" s="35"/>
      <c r="AA5" s="35"/>
      <c r="AB5" s="35"/>
      <c r="AC5" s="35"/>
      <c r="AG5" s="278"/>
    </row>
    <row r="6" spans="1:33" s="14" customFormat="1" ht="30" customHeight="1">
      <c r="A6" s="53" t="s">
        <v>4816</v>
      </c>
      <c r="B6" s="211"/>
      <c r="C6" s="54" t="s">
        <v>5231</v>
      </c>
      <c r="D6" s="54" t="s">
        <v>5231</v>
      </c>
      <c r="E6" s="54" t="s">
        <v>5231</v>
      </c>
      <c r="F6" s="54" t="s">
        <v>5850</v>
      </c>
      <c r="G6" s="54" t="s">
        <v>5850</v>
      </c>
      <c r="H6" s="54" t="s">
        <v>5850</v>
      </c>
      <c r="I6" s="54" t="s">
        <v>4973</v>
      </c>
      <c r="J6" s="54" t="s">
        <v>4973</v>
      </c>
      <c r="K6" s="54" t="s">
        <v>39</v>
      </c>
      <c r="L6" s="54" t="s">
        <v>6131</v>
      </c>
      <c r="M6" s="54" t="s">
        <v>6131</v>
      </c>
      <c r="N6" s="54" t="s">
        <v>6131</v>
      </c>
      <c r="O6" s="54" t="s">
        <v>6131</v>
      </c>
      <c r="P6" s="54" t="s">
        <v>39</v>
      </c>
      <c r="Q6" s="54" t="s">
        <v>5525</v>
      </c>
      <c r="R6" s="54" t="s">
        <v>5525</v>
      </c>
      <c r="S6" s="54" t="s">
        <v>5525</v>
      </c>
      <c r="T6" s="54" t="s">
        <v>5615</v>
      </c>
      <c r="U6" s="203"/>
      <c r="X6" s="268">
        <v>5</v>
      </c>
      <c r="Y6" s="279" t="s">
        <v>5662</v>
      </c>
      <c r="Z6" s="30"/>
      <c r="AA6" s="110"/>
      <c r="AB6" s="110"/>
      <c r="AC6" s="110"/>
      <c r="AG6" s="278"/>
    </row>
    <row r="7" spans="1:33" s="2" customFormat="1" ht="9" customHeight="1">
      <c r="A7" s="180" t="s">
        <v>688</v>
      </c>
      <c r="B7" s="237"/>
      <c r="C7" s="94" t="s">
        <v>5246</v>
      </c>
      <c r="D7" s="94" t="s">
        <v>5246</v>
      </c>
      <c r="E7" s="94" t="s">
        <v>5247</v>
      </c>
      <c r="F7" s="94" t="s">
        <v>5849</v>
      </c>
      <c r="G7" s="94" t="s">
        <v>5735</v>
      </c>
      <c r="H7" s="94" t="s">
        <v>5968</v>
      </c>
      <c r="I7" s="94" t="s">
        <v>4922</v>
      </c>
      <c r="J7" s="94" t="s">
        <v>4922</v>
      </c>
      <c r="K7" s="94" t="s">
        <v>39</v>
      </c>
      <c r="L7" s="94" t="s">
        <v>6132</v>
      </c>
      <c r="M7" s="94" t="s">
        <v>6132</v>
      </c>
      <c r="N7" s="94" t="s">
        <v>6132</v>
      </c>
      <c r="O7" s="94" t="s">
        <v>6132</v>
      </c>
      <c r="P7" s="94" t="s">
        <v>39</v>
      </c>
      <c r="Q7" s="94" t="s">
        <v>5593</v>
      </c>
      <c r="R7" s="94" t="s">
        <v>5593</v>
      </c>
      <c r="S7" s="94" t="s">
        <v>5593</v>
      </c>
      <c r="T7" s="94" t="s">
        <v>5500</v>
      </c>
      <c r="U7" s="94"/>
      <c r="X7" s="268">
        <v>6</v>
      </c>
      <c r="Y7" s="279" t="s">
        <v>5663</v>
      </c>
      <c r="Z7" s="35"/>
      <c r="AA7" s="35"/>
      <c r="AB7" s="35"/>
      <c r="AC7" s="35"/>
      <c r="AG7" s="278"/>
    </row>
    <row r="8" spans="1:33" s="14" customFormat="1" ht="30" customHeight="1">
      <c r="A8" s="53" t="s">
        <v>4793</v>
      </c>
      <c r="B8" s="211"/>
      <c r="C8" s="54" t="s">
        <v>4923</v>
      </c>
      <c r="D8" s="54" t="s">
        <v>4923</v>
      </c>
      <c r="E8" s="54" t="s">
        <v>4923</v>
      </c>
      <c r="F8" s="54" t="s">
        <v>4923</v>
      </c>
      <c r="G8" s="54" t="s">
        <v>4923</v>
      </c>
      <c r="H8" s="54" t="s">
        <v>4923</v>
      </c>
      <c r="I8" s="54" t="s">
        <v>4923</v>
      </c>
      <c r="J8" s="54" t="s">
        <v>4923</v>
      </c>
      <c r="K8" s="54" t="s">
        <v>4923</v>
      </c>
      <c r="L8" s="54" t="s">
        <v>4923</v>
      </c>
      <c r="M8" s="54" t="s">
        <v>4923</v>
      </c>
      <c r="N8" s="54" t="s">
        <v>4923</v>
      </c>
      <c r="O8" s="54" t="s">
        <v>4923</v>
      </c>
      <c r="P8" s="54" t="s">
        <v>39</v>
      </c>
      <c r="Q8" s="54" t="s">
        <v>4923</v>
      </c>
      <c r="R8" s="54" t="s">
        <v>4923</v>
      </c>
      <c r="S8" s="54" t="s">
        <v>4923</v>
      </c>
      <c r="T8" s="54" t="s">
        <v>39</v>
      </c>
      <c r="U8" s="73"/>
      <c r="X8" s="268">
        <v>7</v>
      </c>
      <c r="Y8" s="279" t="s">
        <v>5664</v>
      </c>
      <c r="Z8" s="30"/>
      <c r="AA8" s="30"/>
      <c r="AB8" s="30"/>
      <c r="AC8" s="30"/>
      <c r="AG8" s="278"/>
    </row>
    <row r="9" spans="1:33" s="2" customFormat="1" ht="9" customHeight="1">
      <c r="A9" s="95" t="s">
        <v>688</v>
      </c>
      <c r="B9" s="238"/>
      <c r="C9" s="94" t="s">
        <v>5248</v>
      </c>
      <c r="D9" s="94" t="s">
        <v>5248</v>
      </c>
      <c r="E9" s="94" t="s">
        <v>5232</v>
      </c>
      <c r="F9" s="94" t="s">
        <v>5848</v>
      </c>
      <c r="G9" s="94" t="s">
        <v>5734</v>
      </c>
      <c r="H9" s="94" t="s">
        <v>5969</v>
      </c>
      <c r="I9" s="94" t="s">
        <v>4974</v>
      </c>
      <c r="J9" s="94" t="s">
        <v>4974</v>
      </c>
      <c r="K9" s="94" t="s">
        <v>4922</v>
      </c>
      <c r="L9" s="94" t="s">
        <v>6133</v>
      </c>
      <c r="M9" s="94" t="s">
        <v>6133</v>
      </c>
      <c r="N9" s="94" t="s">
        <v>6133</v>
      </c>
      <c r="O9" s="94" t="s">
        <v>6133</v>
      </c>
      <c r="P9" s="94" t="s">
        <v>39</v>
      </c>
      <c r="Q9" s="94" t="s">
        <v>5524</v>
      </c>
      <c r="R9" s="94" t="s">
        <v>5524</v>
      </c>
      <c r="S9" s="94" t="s">
        <v>5524</v>
      </c>
      <c r="T9" s="94" t="s">
        <v>39</v>
      </c>
      <c r="U9" s="94"/>
      <c r="X9" s="268">
        <v>8</v>
      </c>
      <c r="Y9" s="279" t="s">
        <v>6106</v>
      </c>
      <c r="Z9" s="35"/>
      <c r="AA9" s="35"/>
      <c r="AB9" s="35"/>
      <c r="AC9" s="35"/>
      <c r="AG9" s="278"/>
    </row>
    <row r="10" spans="1:33" s="14" customFormat="1" ht="22.5" customHeight="1">
      <c r="A10" s="11"/>
      <c r="B10" s="239"/>
      <c r="C10" s="204"/>
      <c r="D10" s="246"/>
      <c r="E10" s="204"/>
      <c r="F10" s="246"/>
      <c r="G10" s="246"/>
      <c r="H10" s="246"/>
      <c r="I10" s="204"/>
      <c r="J10" s="204"/>
      <c r="K10" s="204"/>
      <c r="L10" s="246"/>
      <c r="M10" s="246"/>
      <c r="N10" s="246"/>
      <c r="O10" s="246"/>
      <c r="P10" s="246"/>
      <c r="Q10" s="246"/>
      <c r="R10" s="11"/>
      <c r="S10" s="11"/>
      <c r="T10" s="246"/>
      <c r="U10" s="204"/>
      <c r="X10" s="268">
        <v>9</v>
      </c>
      <c r="Y10" s="279" t="s">
        <v>40</v>
      </c>
      <c r="Z10" s="30"/>
      <c r="AA10" s="30"/>
      <c r="AB10" s="30"/>
      <c r="AC10" s="30"/>
      <c r="AG10" s="278"/>
    </row>
    <row r="11" spans="1:33" s="2" customFormat="1" ht="20.100000000000001" customHeight="1">
      <c r="A11" s="176" t="s">
        <v>68</v>
      </c>
      <c r="B11" s="202" t="str">
        <f t="shared" ref="B11:T11" si="0">B1</f>
        <v>Erläuterungen</v>
      </c>
      <c r="C11" s="202" t="str">
        <f t="shared" si="0"/>
        <v>Baloise Gold</v>
      </c>
      <c r="D11" s="202" t="str">
        <f t="shared" si="0"/>
        <v>Baloise Gold 100</v>
      </c>
      <c r="E11" s="202" t="str">
        <f t="shared" si="0"/>
        <v>Baloise Silber</v>
      </c>
      <c r="F11" s="202" t="str">
        <f t="shared" si="0"/>
        <v>HK Einfach Besser</v>
      </c>
      <c r="G11" s="202" t="str">
        <f t="shared" si="0"/>
        <v>HK Einfach Gut</v>
      </c>
      <c r="H11" s="202" t="str">
        <f t="shared" si="0"/>
        <v>HK Einfach Komplett</v>
      </c>
      <c r="I11" s="202" t="str">
        <f t="shared" si="0"/>
        <v>Interlloyd Premium</v>
      </c>
      <c r="J11" s="202" t="str">
        <f t="shared" si="0"/>
        <v>Interlloyd Premium HB</v>
      </c>
      <c r="K11" s="202" t="str">
        <f t="shared" si="0"/>
        <v>Interllyod Protect UR</v>
      </c>
      <c r="L11" s="202" t="str">
        <f t="shared" si="0"/>
        <v xml:space="preserve">ITL Eurosecure Plus </v>
      </c>
      <c r="M11" s="202" t="str">
        <f t="shared" si="0"/>
        <v>ITL Infinitus</v>
      </c>
      <c r="N11" s="202" t="str">
        <f t="shared" si="0"/>
        <v>ITL Infinitus HB</v>
      </c>
      <c r="O11" s="202" t="str">
        <f t="shared" si="0"/>
        <v>ITL Protect Plus</v>
      </c>
      <c r="P11" s="202" t="str">
        <f t="shared" si="0"/>
        <v>keine</v>
      </c>
      <c r="Q11" s="202" t="str">
        <f t="shared" si="0"/>
        <v>VHV Klassik Garant</v>
      </c>
      <c r="R11" s="202" t="str">
        <f t="shared" si="0"/>
        <v>VHV Klassik Garant Exklusiv</v>
      </c>
      <c r="S11" s="202" t="str">
        <f t="shared" si="0"/>
        <v>VHV Klassik Garant Exklusiv HB</v>
      </c>
      <c r="T11" s="202" t="str">
        <f t="shared" si="0"/>
        <v>VHV Smart</v>
      </c>
      <c r="U11" s="202"/>
      <c r="X11" s="268">
        <v>10</v>
      </c>
      <c r="Y11" s="279" t="s">
        <v>5127</v>
      </c>
      <c r="Z11" s="35"/>
      <c r="AA11" s="35"/>
      <c r="AB11" s="35"/>
      <c r="AC11" s="35"/>
      <c r="AG11" s="278"/>
    </row>
    <row r="12" spans="1:33" s="14" customFormat="1" ht="39.950000000000003" customHeight="1">
      <c r="A12" s="187" t="s">
        <v>6035</v>
      </c>
      <c r="B12" s="211"/>
      <c r="C12" s="54" t="s">
        <v>5421</v>
      </c>
      <c r="D12" s="54" t="s">
        <v>5421</v>
      </c>
      <c r="E12" s="54" t="s">
        <v>5421</v>
      </c>
      <c r="F12" s="54" t="s">
        <v>39</v>
      </c>
      <c r="G12" s="54" t="s">
        <v>39</v>
      </c>
      <c r="H12" s="54" t="s">
        <v>5425</v>
      </c>
      <c r="I12" s="54" t="s">
        <v>4939</v>
      </c>
      <c r="J12" s="54" t="s">
        <v>4939</v>
      </c>
      <c r="K12" s="54" t="s">
        <v>39</v>
      </c>
      <c r="L12" s="54" t="s">
        <v>5425</v>
      </c>
      <c r="M12" s="54" t="s">
        <v>5425</v>
      </c>
      <c r="N12" s="54" t="s">
        <v>5425</v>
      </c>
      <c r="O12" s="54" t="s">
        <v>5425</v>
      </c>
      <c r="P12" s="54" t="s">
        <v>39</v>
      </c>
      <c r="Q12" s="54" t="s">
        <v>39</v>
      </c>
      <c r="R12" s="54" t="s">
        <v>5425</v>
      </c>
      <c r="S12" s="54" t="s">
        <v>5425</v>
      </c>
      <c r="T12" s="54" t="s">
        <v>39</v>
      </c>
      <c r="U12" s="54"/>
      <c r="X12" s="268">
        <v>11</v>
      </c>
      <c r="Y12" s="279" t="s">
        <v>6222</v>
      </c>
      <c r="Z12" s="30"/>
      <c r="AA12" s="30"/>
      <c r="AB12" s="30"/>
      <c r="AC12" s="30"/>
      <c r="AG12" s="278"/>
    </row>
    <row r="13" spans="1:33" s="2" customFormat="1" ht="9" customHeight="1">
      <c r="A13" s="95" t="s">
        <v>688</v>
      </c>
      <c r="B13" s="94"/>
      <c r="C13" s="94" t="s">
        <v>5167</v>
      </c>
      <c r="D13" s="94" t="s">
        <v>5167</v>
      </c>
      <c r="E13" s="94" t="s">
        <v>5167</v>
      </c>
      <c r="F13" s="94" t="s">
        <v>5666</v>
      </c>
      <c r="G13" s="94" t="s">
        <v>5666</v>
      </c>
      <c r="H13" s="94" t="s">
        <v>5863</v>
      </c>
      <c r="I13" s="94" t="s">
        <v>4938</v>
      </c>
      <c r="J13" s="94" t="s">
        <v>4938</v>
      </c>
      <c r="K13" s="94" t="s">
        <v>39</v>
      </c>
      <c r="L13" s="94" t="s">
        <v>6135</v>
      </c>
      <c r="M13" s="94" t="s">
        <v>6135</v>
      </c>
      <c r="N13" s="94" t="s">
        <v>6135</v>
      </c>
      <c r="O13" s="94" t="s">
        <v>6135</v>
      </c>
      <c r="P13" s="94" t="s">
        <v>39</v>
      </c>
      <c r="Q13" s="94" t="s">
        <v>39</v>
      </c>
      <c r="R13" s="94" t="s">
        <v>5419</v>
      </c>
      <c r="S13" s="94" t="s">
        <v>5419</v>
      </c>
      <c r="T13" s="94" t="s">
        <v>39</v>
      </c>
      <c r="U13" s="94"/>
      <c r="X13" s="220">
        <v>12</v>
      </c>
      <c r="Y13" s="279" t="s">
        <v>6347</v>
      </c>
      <c r="Z13" s="35"/>
      <c r="AA13" s="35"/>
      <c r="AB13" s="35"/>
      <c r="AC13" s="35"/>
      <c r="AG13" s="278"/>
    </row>
    <row r="14" spans="1:33" s="14" customFormat="1" ht="39.950000000000003" customHeight="1">
      <c r="A14" s="187" t="s">
        <v>6036</v>
      </c>
      <c r="B14" s="211"/>
      <c r="C14" s="54" t="s">
        <v>5425</v>
      </c>
      <c r="D14" s="54" t="s">
        <v>5425</v>
      </c>
      <c r="E14" s="54" t="s">
        <v>5425</v>
      </c>
      <c r="F14" s="54" t="s">
        <v>5425</v>
      </c>
      <c r="G14" s="54" t="s">
        <v>5668</v>
      </c>
      <c r="H14" s="54" t="s">
        <v>5425</v>
      </c>
      <c r="I14" s="54" t="s">
        <v>5427</v>
      </c>
      <c r="J14" s="54" t="s">
        <v>5426</v>
      </c>
      <c r="K14" s="54" t="s">
        <v>41</v>
      </c>
      <c r="L14" s="54" t="s">
        <v>5425</v>
      </c>
      <c r="M14" s="54" t="s">
        <v>5425</v>
      </c>
      <c r="N14" s="54" t="s">
        <v>5425</v>
      </c>
      <c r="O14" s="54" t="s">
        <v>5425</v>
      </c>
      <c r="P14" s="54" t="s">
        <v>39</v>
      </c>
      <c r="Q14" s="54" t="s">
        <v>5428</v>
      </c>
      <c r="R14" s="54" t="s">
        <v>5420</v>
      </c>
      <c r="S14" s="54" t="s">
        <v>5420</v>
      </c>
      <c r="T14" s="54" t="s">
        <v>41</v>
      </c>
      <c r="U14" s="54"/>
      <c r="X14" s="282">
        <v>13</v>
      </c>
      <c r="Y14" s="279" t="s">
        <v>6348</v>
      </c>
      <c r="Z14" s="30"/>
      <c r="AA14" s="30"/>
      <c r="AB14" s="30"/>
      <c r="AC14" s="30"/>
      <c r="AG14" s="278"/>
    </row>
    <row r="15" spans="1:33" s="2" customFormat="1" ht="9" customHeight="1">
      <c r="A15" s="95" t="s">
        <v>688</v>
      </c>
      <c r="B15" s="94"/>
      <c r="C15" s="94" t="s">
        <v>5168</v>
      </c>
      <c r="D15" s="94" t="s">
        <v>5168</v>
      </c>
      <c r="E15" s="94" t="s">
        <v>5168</v>
      </c>
      <c r="F15" s="94" t="s">
        <v>5752</v>
      </c>
      <c r="G15" s="94" t="s">
        <v>5667</v>
      </c>
      <c r="H15" s="94" t="s">
        <v>5863</v>
      </c>
      <c r="I15" s="94" t="s">
        <v>4938</v>
      </c>
      <c r="J15" s="94" t="s">
        <v>4938</v>
      </c>
      <c r="K15" s="94" t="s">
        <v>4850</v>
      </c>
      <c r="L15" s="94" t="s">
        <v>6135</v>
      </c>
      <c r="M15" s="94" t="s">
        <v>6135</v>
      </c>
      <c r="N15" s="94" t="s">
        <v>6135</v>
      </c>
      <c r="O15" s="94" t="s">
        <v>6135</v>
      </c>
      <c r="P15" s="94" t="s">
        <v>39</v>
      </c>
      <c r="Q15" s="94" t="s">
        <v>5429</v>
      </c>
      <c r="R15" s="94" t="s">
        <v>5419</v>
      </c>
      <c r="S15" s="94" t="s">
        <v>5419</v>
      </c>
      <c r="T15" s="94" t="s">
        <v>5616</v>
      </c>
      <c r="U15" s="94"/>
      <c r="X15" s="220">
        <v>14</v>
      </c>
      <c r="Y15" s="279" t="s">
        <v>6221</v>
      </c>
      <c r="Z15" s="35"/>
      <c r="AA15" s="35"/>
      <c r="AB15" s="35"/>
      <c r="AC15" s="35"/>
      <c r="AG15" s="278"/>
    </row>
    <row r="16" spans="1:33" s="2" customFormat="1" ht="30" customHeight="1">
      <c r="A16" s="187" t="s">
        <v>5182</v>
      </c>
      <c r="B16" s="211"/>
      <c r="C16" s="73" t="s">
        <v>41</v>
      </c>
      <c r="D16" s="73" t="s">
        <v>41</v>
      </c>
      <c r="E16" s="73" t="s">
        <v>39</v>
      </c>
      <c r="F16" s="73" t="s">
        <v>5737</v>
      </c>
      <c r="G16" s="73" t="s">
        <v>5737</v>
      </c>
      <c r="H16" s="73" t="s">
        <v>41</v>
      </c>
      <c r="I16" s="73" t="s">
        <v>39</v>
      </c>
      <c r="J16" s="73" t="s">
        <v>39</v>
      </c>
      <c r="K16" s="73" t="s">
        <v>39</v>
      </c>
      <c r="L16" s="54" t="s">
        <v>6260</v>
      </c>
      <c r="M16" s="54" t="s">
        <v>6260</v>
      </c>
      <c r="N16" s="54" t="s">
        <v>6260</v>
      </c>
      <c r="O16" s="54" t="s">
        <v>6260</v>
      </c>
      <c r="P16" s="73" t="s">
        <v>39</v>
      </c>
      <c r="Q16" s="73" t="s">
        <v>41</v>
      </c>
      <c r="R16" s="73" t="s">
        <v>41</v>
      </c>
      <c r="S16" s="73" t="s">
        <v>41</v>
      </c>
      <c r="T16" s="73" t="s">
        <v>39</v>
      </c>
      <c r="U16" s="73"/>
      <c r="X16" s="220">
        <v>15</v>
      </c>
      <c r="Y16" s="279" t="s">
        <v>5548</v>
      </c>
      <c r="Z16" s="35"/>
      <c r="AA16" s="35"/>
      <c r="AB16" s="35"/>
      <c r="AC16" s="35"/>
      <c r="AG16" s="278"/>
    </row>
    <row r="17" spans="1:33" s="2" customFormat="1" ht="9" customHeight="1">
      <c r="A17" s="95"/>
      <c r="B17" s="94"/>
      <c r="C17" s="94" t="s">
        <v>5211</v>
      </c>
      <c r="D17" s="94" t="s">
        <v>5211</v>
      </c>
      <c r="E17" s="94" t="s">
        <v>39</v>
      </c>
      <c r="F17" s="249" t="s">
        <v>5852</v>
      </c>
      <c r="G17" s="249" t="s">
        <v>5852</v>
      </c>
      <c r="H17" s="94" t="s">
        <v>5857</v>
      </c>
      <c r="I17" s="94" t="s">
        <v>39</v>
      </c>
      <c r="J17" s="94" t="s">
        <v>39</v>
      </c>
      <c r="K17" s="94" t="s">
        <v>39</v>
      </c>
      <c r="L17" s="94" t="s">
        <v>6136</v>
      </c>
      <c r="M17" s="94" t="s">
        <v>6136</v>
      </c>
      <c r="N17" s="94" t="s">
        <v>6136</v>
      </c>
      <c r="O17" s="94" t="s">
        <v>6136</v>
      </c>
      <c r="P17" s="94" t="s">
        <v>39</v>
      </c>
      <c r="Q17" s="94" t="s">
        <v>5418</v>
      </c>
      <c r="R17" s="94" t="s">
        <v>5418</v>
      </c>
      <c r="S17" s="94" t="s">
        <v>5418</v>
      </c>
      <c r="T17" s="94" t="s">
        <v>39</v>
      </c>
      <c r="U17" s="94"/>
      <c r="X17" s="220">
        <v>16</v>
      </c>
      <c r="Y17" s="279" t="s">
        <v>3397</v>
      </c>
      <c r="Z17" s="35"/>
      <c r="AA17" s="35"/>
      <c r="AB17" s="35"/>
      <c r="AC17" s="35"/>
      <c r="AG17" s="278"/>
    </row>
    <row r="18" spans="1:33" s="14" customFormat="1" ht="30" customHeight="1">
      <c r="A18" s="187" t="s">
        <v>4941</v>
      </c>
      <c r="B18" s="211"/>
      <c r="C18" s="54" t="s">
        <v>41</v>
      </c>
      <c r="D18" s="54" t="s">
        <v>41</v>
      </c>
      <c r="E18" s="54" t="s">
        <v>5169</v>
      </c>
      <c r="F18" s="54" t="s">
        <v>41</v>
      </c>
      <c r="G18" s="54" t="s">
        <v>41</v>
      </c>
      <c r="H18" s="54" t="s">
        <v>41</v>
      </c>
      <c r="I18" s="54" t="s">
        <v>41</v>
      </c>
      <c r="J18" s="54" t="s">
        <v>41</v>
      </c>
      <c r="K18" s="54" t="s">
        <v>39</v>
      </c>
      <c r="L18" s="54" t="s">
        <v>6266</v>
      </c>
      <c r="M18" s="54" t="s">
        <v>6266</v>
      </c>
      <c r="N18" s="54" t="s">
        <v>6266</v>
      </c>
      <c r="O18" s="284" t="s">
        <v>6267</v>
      </c>
      <c r="P18" s="54" t="s">
        <v>39</v>
      </c>
      <c r="Q18" s="54" t="s">
        <v>41</v>
      </c>
      <c r="R18" s="54" t="s">
        <v>41</v>
      </c>
      <c r="S18" s="54" t="s">
        <v>41</v>
      </c>
      <c r="T18" s="54" t="s">
        <v>39</v>
      </c>
      <c r="U18" s="73"/>
      <c r="X18" s="282">
        <v>17</v>
      </c>
      <c r="Y18" s="279" t="s">
        <v>3398</v>
      </c>
      <c r="Z18" s="30"/>
      <c r="AA18" s="110"/>
      <c r="AB18" s="30"/>
      <c r="AC18" s="30"/>
      <c r="AG18" s="278"/>
    </row>
    <row r="19" spans="1:33" s="2" customFormat="1" ht="9" customHeight="1">
      <c r="A19" s="207" t="s">
        <v>688</v>
      </c>
      <c r="B19" s="94"/>
      <c r="C19" s="94" t="s">
        <v>5170</v>
      </c>
      <c r="D19" s="94" t="s">
        <v>5170</v>
      </c>
      <c r="E19" s="94" t="s">
        <v>5172</v>
      </c>
      <c r="F19" s="94" t="s">
        <v>5747</v>
      </c>
      <c r="G19" s="94" t="s">
        <v>5669</v>
      </c>
      <c r="H19" s="94" t="s">
        <v>5864</v>
      </c>
      <c r="I19" s="210" t="s">
        <v>4940</v>
      </c>
      <c r="J19" s="210" t="s">
        <v>4940</v>
      </c>
      <c r="K19" s="94" t="s">
        <v>39</v>
      </c>
      <c r="L19" s="210" t="s">
        <v>6268</v>
      </c>
      <c r="M19" s="210" t="s">
        <v>6268</v>
      </c>
      <c r="N19" s="210" t="s">
        <v>6268</v>
      </c>
      <c r="O19" s="94" t="s">
        <v>6148</v>
      </c>
      <c r="P19" s="210" t="s">
        <v>39</v>
      </c>
      <c r="Q19" s="94" t="s">
        <v>5441</v>
      </c>
      <c r="R19" s="94" t="s">
        <v>5441</v>
      </c>
      <c r="S19" s="94" t="s">
        <v>5441</v>
      </c>
      <c r="T19" s="210" t="s">
        <v>39</v>
      </c>
      <c r="U19" s="94"/>
      <c r="X19" s="220">
        <v>18</v>
      </c>
      <c r="Y19" s="279" t="s">
        <v>5607</v>
      </c>
      <c r="Z19" s="35"/>
      <c r="AA19" s="35"/>
      <c r="AB19" s="279"/>
      <c r="AC19" s="35"/>
      <c r="AG19" s="278"/>
    </row>
    <row r="20" spans="1:33" s="14" customFormat="1" ht="30" customHeight="1">
      <c r="A20" s="187" t="s">
        <v>5442</v>
      </c>
      <c r="B20" s="211" t="s">
        <v>6269</v>
      </c>
      <c r="C20" s="54" t="s">
        <v>1292</v>
      </c>
      <c r="D20" s="54" t="s">
        <v>1292</v>
      </c>
      <c r="E20" s="54" t="s">
        <v>5443</v>
      </c>
      <c r="F20" s="54" t="s">
        <v>41</v>
      </c>
      <c r="G20" s="54" t="s">
        <v>41</v>
      </c>
      <c r="H20" s="54" t="s">
        <v>41</v>
      </c>
      <c r="I20" s="54" t="s">
        <v>41</v>
      </c>
      <c r="J20" s="54" t="s">
        <v>41</v>
      </c>
      <c r="K20" s="54" t="s">
        <v>41</v>
      </c>
      <c r="L20" s="54" t="s">
        <v>6270</v>
      </c>
      <c r="M20" s="54" t="s">
        <v>6270</v>
      </c>
      <c r="N20" s="54" t="s">
        <v>6270</v>
      </c>
      <c r="O20" s="54" t="s">
        <v>6270</v>
      </c>
      <c r="P20" s="54" t="s">
        <v>39</v>
      </c>
      <c r="Q20" s="54" t="s">
        <v>5444</v>
      </c>
      <c r="R20" s="54" t="s">
        <v>5444</v>
      </c>
      <c r="S20" s="54" t="s">
        <v>5444</v>
      </c>
      <c r="T20" s="54" t="s">
        <v>39</v>
      </c>
      <c r="U20" s="54"/>
      <c r="X20" s="282"/>
      <c r="Y20" s="279"/>
      <c r="AB20" s="279"/>
      <c r="AG20" s="286"/>
    </row>
    <row r="21" spans="1:33" s="2" customFormat="1" ht="9" customHeight="1">
      <c r="A21" s="95" t="s">
        <v>688</v>
      </c>
      <c r="B21" s="94"/>
      <c r="C21" s="94" t="s">
        <v>5172</v>
      </c>
      <c r="D21" s="94" t="s">
        <v>5172</v>
      </c>
      <c r="E21" s="94" t="s">
        <v>5172</v>
      </c>
      <c r="F21" s="94" t="s">
        <v>5792</v>
      </c>
      <c r="G21" s="94" t="s">
        <v>5714</v>
      </c>
      <c r="H21" s="94" t="s">
        <v>5963</v>
      </c>
      <c r="I21" s="94" t="s">
        <v>4970</v>
      </c>
      <c r="J21" s="94" t="s">
        <v>4970</v>
      </c>
      <c r="K21" s="94" t="s">
        <v>4909</v>
      </c>
      <c r="L21" s="94" t="s">
        <v>6143</v>
      </c>
      <c r="M21" s="94" t="s">
        <v>6143</v>
      </c>
      <c r="N21" s="94" t="s">
        <v>6143</v>
      </c>
      <c r="O21" s="94" t="s">
        <v>6148</v>
      </c>
      <c r="P21" s="94" t="s">
        <v>39</v>
      </c>
      <c r="Q21" s="94" t="s">
        <v>5441</v>
      </c>
      <c r="R21" s="94" t="s">
        <v>5441</v>
      </c>
      <c r="S21" s="94" t="s">
        <v>5441</v>
      </c>
      <c r="T21" s="94" t="s">
        <v>39</v>
      </c>
      <c r="U21" s="94"/>
      <c r="X21" s="220"/>
      <c r="Y21" s="279"/>
      <c r="Z21" s="11"/>
      <c r="AA21" s="19"/>
      <c r="AB21" s="279"/>
      <c r="AC21" s="19"/>
      <c r="AG21" s="239"/>
    </row>
    <row r="22" spans="1:33" s="14" customFormat="1" ht="30" customHeight="1">
      <c r="A22" s="187" t="s">
        <v>5200</v>
      </c>
      <c r="B22" s="211"/>
      <c r="C22" s="54" t="s">
        <v>5266</v>
      </c>
      <c r="D22" s="54" t="s">
        <v>5266</v>
      </c>
      <c r="E22" s="54" t="s">
        <v>5265</v>
      </c>
      <c r="F22" s="54" t="s">
        <v>39</v>
      </c>
      <c r="G22" s="54" t="s">
        <v>39</v>
      </c>
      <c r="H22" s="188"/>
      <c r="I22" s="73" t="s">
        <v>39</v>
      </c>
      <c r="J22" s="73" t="s">
        <v>39</v>
      </c>
      <c r="K22" s="73" t="s">
        <v>39</v>
      </c>
      <c r="L22" s="73" t="s">
        <v>39</v>
      </c>
      <c r="M22" s="73" t="s">
        <v>39</v>
      </c>
      <c r="N22" s="73" t="s">
        <v>39</v>
      </c>
      <c r="O22" s="73" t="s">
        <v>39</v>
      </c>
      <c r="P22" s="73" t="s">
        <v>39</v>
      </c>
      <c r="Q22" s="73" t="s">
        <v>41</v>
      </c>
      <c r="R22" s="73" t="s">
        <v>41</v>
      </c>
      <c r="S22" s="73" t="s">
        <v>41</v>
      </c>
      <c r="T22" s="73" t="s">
        <v>39</v>
      </c>
      <c r="U22" s="73"/>
      <c r="Z22" s="11"/>
      <c r="AA22" s="2"/>
      <c r="AB22" s="279"/>
      <c r="AC22" s="30"/>
      <c r="AG22" s="286"/>
    </row>
    <row r="23" spans="1:33" s="2" customFormat="1" ht="9" customHeight="1">
      <c r="A23" s="207"/>
      <c r="B23" s="94"/>
      <c r="C23" s="94" t="s">
        <v>5172</v>
      </c>
      <c r="D23" s="94" t="s">
        <v>5172</v>
      </c>
      <c r="E23" s="94" t="s">
        <v>5172</v>
      </c>
      <c r="F23" s="94" t="s">
        <v>39</v>
      </c>
      <c r="G23" s="94" t="s">
        <v>39</v>
      </c>
      <c r="H23" s="94"/>
      <c r="I23" s="94" t="s">
        <v>39</v>
      </c>
      <c r="J23" s="94" t="s">
        <v>39</v>
      </c>
      <c r="K23" s="94" t="s">
        <v>39</v>
      </c>
      <c r="L23" s="94" t="s">
        <v>39</v>
      </c>
      <c r="M23" s="94" t="s">
        <v>39</v>
      </c>
      <c r="N23" s="94" t="s">
        <v>39</v>
      </c>
      <c r="O23" s="94" t="s">
        <v>39</v>
      </c>
      <c r="P23" s="94" t="s">
        <v>39</v>
      </c>
      <c r="Q23" s="94" t="s">
        <v>5430</v>
      </c>
      <c r="R23" s="94" t="s">
        <v>5430</v>
      </c>
      <c r="S23" s="94" t="s">
        <v>5430</v>
      </c>
      <c r="T23" s="94" t="s">
        <v>39</v>
      </c>
      <c r="U23" s="94"/>
      <c r="X23" s="19"/>
      <c r="Y23" s="20"/>
      <c r="Z23" s="11"/>
      <c r="AA23" s="14"/>
      <c r="AB23" s="279"/>
      <c r="AC23" s="35"/>
      <c r="AG23" s="239"/>
    </row>
    <row r="24" spans="1:33" s="14" customFormat="1" ht="30" customHeight="1">
      <c r="A24" s="53" t="s">
        <v>5671</v>
      </c>
      <c r="B24" s="211"/>
      <c r="C24" s="54" t="s">
        <v>5677</v>
      </c>
      <c r="D24" s="54" t="s">
        <v>5677</v>
      </c>
      <c r="E24" s="54" t="s">
        <v>5677</v>
      </c>
      <c r="F24" s="54" t="s">
        <v>5677</v>
      </c>
      <c r="G24" s="54" t="s">
        <v>5677</v>
      </c>
      <c r="H24" s="54" t="s">
        <v>5677</v>
      </c>
      <c r="I24" s="54" t="s">
        <v>41</v>
      </c>
      <c r="J24" s="54" t="s">
        <v>41</v>
      </c>
      <c r="K24" s="54" t="s">
        <v>39</v>
      </c>
      <c r="L24" s="54" t="s">
        <v>5677</v>
      </c>
      <c r="M24" s="54" t="s">
        <v>5677</v>
      </c>
      <c r="N24" s="54" t="s">
        <v>5677</v>
      </c>
      <c r="O24" s="54" t="s">
        <v>5677</v>
      </c>
      <c r="P24" s="54" t="s">
        <v>39</v>
      </c>
      <c r="Q24" s="54" t="s">
        <v>41</v>
      </c>
      <c r="R24" s="54" t="s">
        <v>41</v>
      </c>
      <c r="S24" s="54" t="s">
        <v>41</v>
      </c>
      <c r="T24" s="54" t="s">
        <v>39</v>
      </c>
      <c r="U24" s="54"/>
      <c r="X24" s="19"/>
      <c r="Y24" s="20"/>
      <c r="Z24" s="11"/>
      <c r="AA24" s="279"/>
      <c r="AB24" s="279"/>
      <c r="AC24" s="30"/>
      <c r="AG24" s="286"/>
    </row>
    <row r="25" spans="1:33" s="2" customFormat="1" ht="9" customHeight="1">
      <c r="A25" s="95" t="s">
        <v>688</v>
      </c>
      <c r="B25" s="94"/>
      <c r="C25" s="94" t="s">
        <v>5170</v>
      </c>
      <c r="D25" s="94" t="s">
        <v>5170</v>
      </c>
      <c r="E25" s="94" t="s">
        <v>5170</v>
      </c>
      <c r="F25" s="94" t="s">
        <v>5745</v>
      </c>
      <c r="G25" s="94" t="s">
        <v>5670</v>
      </c>
      <c r="H25" s="94" t="s">
        <v>5855</v>
      </c>
      <c r="I25" s="210" t="s">
        <v>4942</v>
      </c>
      <c r="J25" s="210" t="s">
        <v>4942</v>
      </c>
      <c r="K25" s="94" t="s">
        <v>39</v>
      </c>
      <c r="L25" s="210" t="s">
        <v>6140</v>
      </c>
      <c r="M25" s="210" t="s">
        <v>6140</v>
      </c>
      <c r="N25" s="210" t="s">
        <v>6140</v>
      </c>
      <c r="O25" s="210" t="s">
        <v>6192</v>
      </c>
      <c r="P25" s="210" t="s">
        <v>39</v>
      </c>
      <c r="Q25" s="94" t="s">
        <v>5434</v>
      </c>
      <c r="R25" s="94" t="s">
        <v>5434</v>
      </c>
      <c r="S25" s="94" t="s">
        <v>5434</v>
      </c>
      <c r="T25" s="210" t="s">
        <v>39</v>
      </c>
      <c r="U25" s="94"/>
      <c r="X25" s="19"/>
      <c r="Y25" s="20"/>
      <c r="Z25" s="11"/>
      <c r="AA25" s="19"/>
      <c r="AB25" s="279"/>
      <c r="AC25" s="35"/>
      <c r="AG25" s="239"/>
    </row>
    <row r="26" spans="1:33" s="14" customFormat="1" ht="30" customHeight="1">
      <c r="A26" s="187" t="s">
        <v>4976</v>
      </c>
      <c r="B26" s="236"/>
      <c r="C26" s="54" t="s">
        <v>41</v>
      </c>
      <c r="D26" s="54" t="s">
        <v>41</v>
      </c>
      <c r="E26" s="54" t="s">
        <v>41</v>
      </c>
      <c r="F26" s="54" t="s">
        <v>41</v>
      </c>
      <c r="G26" s="54" t="s">
        <v>41</v>
      </c>
      <c r="H26" s="54" t="s">
        <v>41</v>
      </c>
      <c r="I26" s="54" t="s">
        <v>41</v>
      </c>
      <c r="J26" s="54" t="s">
        <v>41</v>
      </c>
      <c r="K26" s="54" t="s">
        <v>39</v>
      </c>
      <c r="L26" s="54" t="s">
        <v>6193</v>
      </c>
      <c r="M26" s="54" t="s">
        <v>6193</v>
      </c>
      <c r="N26" s="54" t="s">
        <v>6193</v>
      </c>
      <c r="O26" s="54" t="s">
        <v>6193</v>
      </c>
      <c r="P26" s="54" t="s">
        <v>39</v>
      </c>
      <c r="Q26" s="54" t="s">
        <v>41</v>
      </c>
      <c r="R26" s="54" t="s">
        <v>41</v>
      </c>
      <c r="S26" s="54" t="s">
        <v>41</v>
      </c>
      <c r="T26" s="54" t="s">
        <v>39</v>
      </c>
      <c r="U26" s="73"/>
      <c r="X26" s="19"/>
      <c r="Y26" s="20"/>
      <c r="AA26" s="279"/>
      <c r="AB26" s="279"/>
      <c r="AC26" s="30"/>
      <c r="AG26" s="286"/>
    </row>
    <row r="27" spans="1:33" s="2" customFormat="1" ht="9" customHeight="1">
      <c r="A27" s="95" t="s">
        <v>688</v>
      </c>
      <c r="B27" s="94"/>
      <c r="C27" s="94" t="s">
        <v>5170</v>
      </c>
      <c r="D27" s="94" t="s">
        <v>5170</v>
      </c>
      <c r="E27" s="94" t="s">
        <v>5170</v>
      </c>
      <c r="F27" s="94" t="s">
        <v>5746</v>
      </c>
      <c r="G27" s="94" t="s">
        <v>5679</v>
      </c>
      <c r="H27" s="94" t="s">
        <v>5856</v>
      </c>
      <c r="I27" s="210" t="s">
        <v>4943</v>
      </c>
      <c r="J27" s="210" t="s">
        <v>4943</v>
      </c>
      <c r="K27" s="94" t="s">
        <v>39</v>
      </c>
      <c r="L27" s="210" t="s">
        <v>6141</v>
      </c>
      <c r="M27" s="210" t="s">
        <v>6141</v>
      </c>
      <c r="N27" s="210" t="s">
        <v>6141</v>
      </c>
      <c r="O27" s="210" t="s">
        <v>6140</v>
      </c>
      <c r="P27" s="210" t="s">
        <v>39</v>
      </c>
      <c r="Q27" s="94" t="s">
        <v>5434</v>
      </c>
      <c r="R27" s="94" t="s">
        <v>5434</v>
      </c>
      <c r="S27" s="94" t="s">
        <v>5434</v>
      </c>
      <c r="T27" s="210" t="s">
        <v>39</v>
      </c>
      <c r="U27" s="94"/>
      <c r="X27" s="19"/>
      <c r="Y27" s="20"/>
      <c r="AA27" s="19"/>
      <c r="AB27" s="279"/>
      <c r="AC27" s="35"/>
      <c r="AG27" s="239"/>
    </row>
    <row r="28" spans="1:33" s="14" customFormat="1" ht="30" customHeight="1">
      <c r="A28" s="187" t="s">
        <v>5672</v>
      </c>
      <c r="B28" s="236"/>
      <c r="C28" s="54" t="s">
        <v>41</v>
      </c>
      <c r="D28" s="54" t="s">
        <v>41</v>
      </c>
      <c r="E28" s="54" t="s">
        <v>41</v>
      </c>
      <c r="F28" s="54" t="s">
        <v>41</v>
      </c>
      <c r="G28" s="54" t="s">
        <v>41</v>
      </c>
      <c r="H28" s="54" t="s">
        <v>41</v>
      </c>
      <c r="I28" s="54" t="s">
        <v>41</v>
      </c>
      <c r="J28" s="54" t="s">
        <v>41</v>
      </c>
      <c r="K28" s="54" t="s">
        <v>5251</v>
      </c>
      <c r="L28" s="54" t="s">
        <v>41</v>
      </c>
      <c r="M28" s="54" t="s">
        <v>41</v>
      </c>
      <c r="N28" s="54" t="s">
        <v>41</v>
      </c>
      <c r="O28" s="54" t="s">
        <v>41</v>
      </c>
      <c r="P28" s="54" t="s">
        <v>39</v>
      </c>
      <c r="Q28" s="54" t="s">
        <v>5251</v>
      </c>
      <c r="R28" s="54" t="s">
        <v>5251</v>
      </c>
      <c r="S28" s="54" t="s">
        <v>5251</v>
      </c>
      <c r="T28" s="54" t="s">
        <v>39</v>
      </c>
      <c r="U28" s="73"/>
      <c r="AA28" s="19"/>
      <c r="AB28" s="279"/>
      <c r="AC28" s="30"/>
      <c r="AG28" s="286"/>
    </row>
    <row r="29" spans="1:33" s="2" customFormat="1" ht="9" customHeight="1">
      <c r="A29" s="95" t="s">
        <v>688</v>
      </c>
      <c r="B29" s="94"/>
      <c r="C29" s="94" t="s">
        <v>5170</v>
      </c>
      <c r="D29" s="94" t="s">
        <v>5170</v>
      </c>
      <c r="E29" s="94" t="s">
        <v>5170</v>
      </c>
      <c r="F29" s="94" t="s">
        <v>5744</v>
      </c>
      <c r="G29" s="94" t="s">
        <v>5678</v>
      </c>
      <c r="H29" s="94" t="s">
        <v>5853</v>
      </c>
      <c r="I29" s="210" t="s">
        <v>4942</v>
      </c>
      <c r="J29" s="210" t="s">
        <v>4942</v>
      </c>
      <c r="K29" s="94" t="s">
        <v>4853</v>
      </c>
      <c r="L29" s="210" t="s">
        <v>6141</v>
      </c>
      <c r="M29" s="210" t="s">
        <v>6141</v>
      </c>
      <c r="N29" s="210" t="s">
        <v>6141</v>
      </c>
      <c r="O29" s="210" t="s">
        <v>6140</v>
      </c>
      <c r="P29" s="210" t="s">
        <v>39</v>
      </c>
      <c r="Q29" s="94" t="s">
        <v>5434</v>
      </c>
      <c r="R29" s="94" t="s">
        <v>5434</v>
      </c>
      <c r="S29" s="94" t="s">
        <v>5434</v>
      </c>
      <c r="T29" s="210" t="s">
        <v>39</v>
      </c>
      <c r="U29" s="94"/>
      <c r="Z29" s="11"/>
      <c r="AA29" s="14"/>
      <c r="AB29" s="279"/>
      <c r="AC29" s="35"/>
      <c r="AG29" s="239"/>
    </row>
    <row r="30" spans="1:33" s="14" customFormat="1" ht="30" customHeight="1">
      <c r="A30" s="53" t="s">
        <v>1</v>
      </c>
      <c r="B30" s="236"/>
      <c r="C30" s="54" t="s">
        <v>5121</v>
      </c>
      <c r="D30" s="54" t="s">
        <v>5121</v>
      </c>
      <c r="E30" s="54" t="s">
        <v>41</v>
      </c>
      <c r="F30" s="54" t="s">
        <v>41</v>
      </c>
      <c r="G30" s="54" t="s">
        <v>41</v>
      </c>
      <c r="H30" s="54" t="s">
        <v>5121</v>
      </c>
      <c r="I30" s="54" t="s">
        <v>5121</v>
      </c>
      <c r="J30" s="54" t="s">
        <v>5121</v>
      </c>
      <c r="K30" s="54" t="s">
        <v>41</v>
      </c>
      <c r="L30" s="54" t="s">
        <v>5121</v>
      </c>
      <c r="M30" s="54" t="s">
        <v>5121</v>
      </c>
      <c r="N30" s="54" t="s">
        <v>5121</v>
      </c>
      <c r="O30" s="54" t="s">
        <v>41</v>
      </c>
      <c r="P30" s="54" t="s">
        <v>39</v>
      </c>
      <c r="Q30" s="54" t="s">
        <v>5121</v>
      </c>
      <c r="R30" s="54" t="s">
        <v>5121</v>
      </c>
      <c r="S30" s="54" t="s">
        <v>5121</v>
      </c>
      <c r="T30" s="54" t="s">
        <v>39</v>
      </c>
      <c r="U30" s="54"/>
      <c r="Z30" s="117"/>
      <c r="AA30" s="19"/>
      <c r="AB30" s="279"/>
      <c r="AC30" s="30"/>
      <c r="AG30" s="286"/>
    </row>
    <row r="31" spans="1:33" s="2" customFormat="1" ht="9" customHeight="1">
      <c r="A31" s="95" t="s">
        <v>688</v>
      </c>
      <c r="B31" s="94"/>
      <c r="C31" s="94" t="s">
        <v>5306</v>
      </c>
      <c r="D31" s="94" t="s">
        <v>5306</v>
      </c>
      <c r="E31" s="94" t="s">
        <v>5171</v>
      </c>
      <c r="F31" s="94" t="s">
        <v>5748</v>
      </c>
      <c r="G31" s="94" t="s">
        <v>5680</v>
      </c>
      <c r="H31" s="94" t="s">
        <v>5858</v>
      </c>
      <c r="I31" s="94" t="s">
        <v>5122</v>
      </c>
      <c r="J31" s="94" t="s">
        <v>5122</v>
      </c>
      <c r="K31" s="94" t="s">
        <v>4853</v>
      </c>
      <c r="L31" s="94" t="s">
        <v>6139</v>
      </c>
      <c r="M31" s="94" t="s">
        <v>6139</v>
      </c>
      <c r="N31" s="94" t="s">
        <v>6139</v>
      </c>
      <c r="O31" s="94" t="s">
        <v>6191</v>
      </c>
      <c r="P31" s="94" t="s">
        <v>39</v>
      </c>
      <c r="Q31" s="94" t="s">
        <v>5462</v>
      </c>
      <c r="R31" s="94" t="s">
        <v>5462</v>
      </c>
      <c r="S31" s="94" t="s">
        <v>5462</v>
      </c>
      <c r="T31" s="94" t="s">
        <v>39</v>
      </c>
      <c r="U31" s="94"/>
      <c r="X31" s="19"/>
      <c r="Y31" s="20"/>
      <c r="Z31" s="11"/>
      <c r="AA31" s="14"/>
      <c r="AB31" s="279"/>
      <c r="AC31" s="35"/>
      <c r="AG31" s="239"/>
    </row>
    <row r="32" spans="1:33" s="14" customFormat="1" ht="30" customHeight="1">
      <c r="A32" s="187" t="s">
        <v>5195</v>
      </c>
      <c r="B32" s="236"/>
      <c r="C32" s="54" t="s">
        <v>41</v>
      </c>
      <c r="D32" s="54" t="s">
        <v>41</v>
      </c>
      <c r="E32" s="54" t="s">
        <v>41</v>
      </c>
      <c r="F32" s="54" t="s">
        <v>41</v>
      </c>
      <c r="G32" s="54" t="s">
        <v>41</v>
      </c>
      <c r="H32" s="54" t="s">
        <v>41</v>
      </c>
      <c r="I32" s="54" t="s">
        <v>5047</v>
      </c>
      <c r="J32" s="54" t="s">
        <v>5047</v>
      </c>
      <c r="K32" s="54" t="s">
        <v>39</v>
      </c>
      <c r="L32" s="54" t="s">
        <v>6271</v>
      </c>
      <c r="M32" s="54" t="s">
        <v>6271</v>
      </c>
      <c r="N32" s="54" t="s">
        <v>6271</v>
      </c>
      <c r="O32" s="54" t="s">
        <v>6261</v>
      </c>
      <c r="P32" s="54" t="s">
        <v>39</v>
      </c>
      <c r="Q32" s="54" t="s">
        <v>41</v>
      </c>
      <c r="R32" s="54" t="s">
        <v>41</v>
      </c>
      <c r="S32" s="54" t="s">
        <v>41</v>
      </c>
      <c r="T32" s="54" t="s">
        <v>39</v>
      </c>
      <c r="U32" s="73"/>
      <c r="X32" s="117"/>
      <c r="Y32" s="117"/>
      <c r="Z32" s="117"/>
      <c r="AA32" s="19"/>
      <c r="AB32" s="279"/>
      <c r="AG32" s="286"/>
    </row>
    <row r="33" spans="1:33" s="2" customFormat="1" ht="9" customHeight="1">
      <c r="A33" s="95" t="s">
        <v>688</v>
      </c>
      <c r="B33" s="94"/>
      <c r="C33" s="94" t="s">
        <v>5172</v>
      </c>
      <c r="D33" s="94" t="s">
        <v>5172</v>
      </c>
      <c r="E33" s="94" t="s">
        <v>5172</v>
      </c>
      <c r="F33" s="94" t="s">
        <v>5798</v>
      </c>
      <c r="G33" s="94" t="s">
        <v>5799</v>
      </c>
      <c r="H33" s="94" t="s">
        <v>5939</v>
      </c>
      <c r="I33" s="94" t="s">
        <v>5025</v>
      </c>
      <c r="J33" s="94" t="s">
        <v>5025</v>
      </c>
      <c r="K33" s="94" t="s">
        <v>4910</v>
      </c>
      <c r="L33" s="94" t="s">
        <v>6138</v>
      </c>
      <c r="M33" s="94" t="s">
        <v>6138</v>
      </c>
      <c r="N33" s="94" t="s">
        <v>6138</v>
      </c>
      <c r="O33" s="94" t="s">
        <v>6138</v>
      </c>
      <c r="P33" s="94" t="s">
        <v>39</v>
      </c>
      <c r="Q33" s="94" t="s">
        <v>5435</v>
      </c>
      <c r="R33" s="94" t="s">
        <v>5435</v>
      </c>
      <c r="S33" s="94" t="s">
        <v>5435</v>
      </c>
      <c r="T33" s="94" t="s">
        <v>39</v>
      </c>
      <c r="U33" s="94"/>
      <c r="X33" s="19"/>
      <c r="Y33" s="20"/>
      <c r="Z33" s="11"/>
      <c r="AA33" s="115"/>
      <c r="AB33" s="279"/>
      <c r="AC33" s="19"/>
      <c r="AG33" s="239"/>
    </row>
    <row r="34" spans="1:33" s="14" customFormat="1" ht="30" customHeight="1">
      <c r="A34" s="53" t="s">
        <v>5196</v>
      </c>
      <c r="B34" s="236"/>
      <c r="C34" s="54" t="s">
        <v>41</v>
      </c>
      <c r="D34" s="54" t="s">
        <v>41</v>
      </c>
      <c r="E34" s="54" t="s">
        <v>41</v>
      </c>
      <c r="F34" s="54" t="s">
        <v>41</v>
      </c>
      <c r="G34" s="54" t="s">
        <v>41</v>
      </c>
      <c r="H34" s="54" t="s">
        <v>5940</v>
      </c>
      <c r="I34" s="54" t="s">
        <v>41</v>
      </c>
      <c r="J34" s="54" t="s">
        <v>41</v>
      </c>
      <c r="K34" s="54" t="s">
        <v>41</v>
      </c>
      <c r="L34" s="54" t="s">
        <v>6229</v>
      </c>
      <c r="M34" s="54" t="s">
        <v>6229</v>
      </c>
      <c r="N34" s="54" t="s">
        <v>6229</v>
      </c>
      <c r="O34" s="54" t="s">
        <v>6229</v>
      </c>
      <c r="P34" s="54" t="s">
        <v>39</v>
      </c>
      <c r="Q34" s="54" t="s">
        <v>41</v>
      </c>
      <c r="R34" s="54" t="s">
        <v>41</v>
      </c>
      <c r="S34" s="54" t="s">
        <v>41</v>
      </c>
      <c r="T34" s="54" t="s">
        <v>41</v>
      </c>
      <c r="U34" s="54"/>
      <c r="X34" s="117"/>
      <c r="Y34" s="117"/>
      <c r="Z34" s="117"/>
      <c r="AA34" s="2"/>
      <c r="AB34" s="279"/>
      <c r="AG34" s="286"/>
    </row>
    <row r="35" spans="1:33" s="2" customFormat="1" ht="9" customHeight="1">
      <c r="A35" s="95" t="s">
        <v>688</v>
      </c>
      <c r="B35" s="94"/>
      <c r="C35" s="94" t="s">
        <v>5172</v>
      </c>
      <c r="D35" s="94" t="s">
        <v>5172</v>
      </c>
      <c r="E35" s="94" t="s">
        <v>5172</v>
      </c>
      <c r="F35" s="94" t="s">
        <v>5798</v>
      </c>
      <c r="G35" s="94" t="s">
        <v>5799</v>
      </c>
      <c r="H35" s="94" t="s">
        <v>5939</v>
      </c>
      <c r="I35" s="94" t="s">
        <v>5025</v>
      </c>
      <c r="J35" s="94" t="s">
        <v>5025</v>
      </c>
      <c r="K35" s="94" t="s">
        <v>4910</v>
      </c>
      <c r="L35" s="94" t="s">
        <v>6273</v>
      </c>
      <c r="M35" s="94" t="s">
        <v>6273</v>
      </c>
      <c r="N35" s="94" t="s">
        <v>6273</v>
      </c>
      <c r="O35" s="94" t="s">
        <v>6272</v>
      </c>
      <c r="P35" s="94" t="s">
        <v>39</v>
      </c>
      <c r="Q35" s="94" t="s">
        <v>5435</v>
      </c>
      <c r="R35" s="94" t="s">
        <v>5435</v>
      </c>
      <c r="S35" s="94" t="s">
        <v>5435</v>
      </c>
      <c r="T35" s="94" t="s">
        <v>5647</v>
      </c>
      <c r="U35" s="94"/>
      <c r="X35" s="19"/>
      <c r="Y35" s="20"/>
      <c r="Z35" s="11"/>
      <c r="AA35" s="14"/>
      <c r="AB35" s="279"/>
      <c r="AC35" s="19"/>
      <c r="AG35" s="239"/>
    </row>
    <row r="36" spans="1:33" s="14" customFormat="1" ht="30" customHeight="1">
      <c r="A36" s="187" t="s">
        <v>5436</v>
      </c>
      <c r="B36" s="211"/>
      <c r="C36" s="73" t="s">
        <v>41</v>
      </c>
      <c r="D36" s="73" t="s">
        <v>41</v>
      </c>
      <c r="E36" s="73" t="s">
        <v>41</v>
      </c>
      <c r="F36" s="54" t="s">
        <v>41</v>
      </c>
      <c r="G36" s="73" t="s">
        <v>39</v>
      </c>
      <c r="H36" s="54" t="s">
        <v>41</v>
      </c>
      <c r="I36" s="54" t="s">
        <v>5197</v>
      </c>
      <c r="J36" s="54" t="s">
        <v>5197</v>
      </c>
      <c r="K36" s="54" t="s">
        <v>39</v>
      </c>
      <c r="L36" s="284" t="s">
        <v>6228</v>
      </c>
      <c r="M36" s="284" t="s">
        <v>6228</v>
      </c>
      <c r="N36" s="284" t="s">
        <v>6228</v>
      </c>
      <c r="O36" s="284" t="s">
        <v>6228</v>
      </c>
      <c r="P36" s="54" t="s">
        <v>39</v>
      </c>
      <c r="Q36" s="54" t="s">
        <v>41</v>
      </c>
      <c r="R36" s="54" t="s">
        <v>41</v>
      </c>
      <c r="S36" s="54" t="s">
        <v>41</v>
      </c>
      <c r="T36" s="54" t="s">
        <v>39</v>
      </c>
      <c r="U36" s="73"/>
      <c r="X36" s="117"/>
      <c r="Y36" s="117"/>
      <c r="AA36" s="19"/>
      <c r="AB36" s="279"/>
      <c r="AC36" s="226"/>
      <c r="AG36" s="286"/>
    </row>
    <row r="37" spans="1:33" s="2" customFormat="1" ht="9" customHeight="1">
      <c r="A37" s="95"/>
      <c r="B37" s="94"/>
      <c r="C37" s="94" t="s">
        <v>5172</v>
      </c>
      <c r="D37" s="94" t="s">
        <v>5172</v>
      </c>
      <c r="E37" s="94" t="s">
        <v>5172</v>
      </c>
      <c r="F37" s="94" t="s">
        <v>5798</v>
      </c>
      <c r="G37" s="94" t="s">
        <v>5799</v>
      </c>
      <c r="H37" s="94" t="s">
        <v>5939</v>
      </c>
      <c r="I37" s="94" t="s">
        <v>5194</v>
      </c>
      <c r="J37" s="94" t="s">
        <v>5194</v>
      </c>
      <c r="K37" s="94" t="s">
        <v>4910</v>
      </c>
      <c r="L37" s="94" t="s">
        <v>6138</v>
      </c>
      <c r="M37" s="94" t="s">
        <v>6138</v>
      </c>
      <c r="N37" s="94" t="s">
        <v>6138</v>
      </c>
      <c r="O37" s="94" t="s">
        <v>6138</v>
      </c>
      <c r="P37" s="94" t="s">
        <v>39</v>
      </c>
      <c r="Q37" s="94" t="s">
        <v>5435</v>
      </c>
      <c r="R37" s="94" t="s">
        <v>5435</v>
      </c>
      <c r="S37" s="94" t="s">
        <v>5435</v>
      </c>
      <c r="T37" s="94" t="s">
        <v>39</v>
      </c>
      <c r="U37" s="94"/>
      <c r="X37" s="19"/>
      <c r="Y37" s="20"/>
      <c r="Z37" s="11"/>
      <c r="AA37" s="14"/>
      <c r="AB37" s="226"/>
      <c r="AC37" s="19"/>
      <c r="AG37" s="239"/>
    </row>
    <row r="38" spans="1:33" s="14" customFormat="1" ht="30" customHeight="1">
      <c r="A38" s="187" t="s">
        <v>5184</v>
      </c>
      <c r="B38" s="236"/>
      <c r="C38" s="54" t="s">
        <v>41</v>
      </c>
      <c r="D38" s="54" t="s">
        <v>41</v>
      </c>
      <c r="E38" s="54" t="s">
        <v>41</v>
      </c>
      <c r="F38" s="54" t="s">
        <v>5199</v>
      </c>
      <c r="G38" s="54" t="s">
        <v>5199</v>
      </c>
      <c r="H38" s="54" t="s">
        <v>5199</v>
      </c>
      <c r="I38" s="54" t="s">
        <v>5198</v>
      </c>
      <c r="J38" s="54" t="s">
        <v>5198</v>
      </c>
      <c r="K38" s="54" t="s">
        <v>41</v>
      </c>
      <c r="L38" s="54" t="s">
        <v>6271</v>
      </c>
      <c r="M38" s="54" t="s">
        <v>6271</v>
      </c>
      <c r="N38" s="54" t="s">
        <v>6271</v>
      </c>
      <c r="O38" s="54" t="s">
        <v>6261</v>
      </c>
      <c r="P38" s="54" t="s">
        <v>39</v>
      </c>
      <c r="Q38" s="54" t="s">
        <v>5199</v>
      </c>
      <c r="R38" s="54" t="s">
        <v>5199</v>
      </c>
      <c r="S38" s="54" t="s">
        <v>5199</v>
      </c>
      <c r="T38" s="54" t="s">
        <v>41</v>
      </c>
      <c r="U38" s="73"/>
      <c r="Z38" s="117"/>
      <c r="AA38" s="19"/>
      <c r="AB38" s="19"/>
      <c r="AG38" s="286"/>
    </row>
    <row r="39" spans="1:33" s="2" customFormat="1" ht="9" customHeight="1">
      <c r="A39" s="95" t="s">
        <v>688</v>
      </c>
      <c r="B39" s="94"/>
      <c r="C39" s="94" t="s">
        <v>5172</v>
      </c>
      <c r="D39" s="94" t="s">
        <v>5172</v>
      </c>
      <c r="E39" s="94" t="s">
        <v>5172</v>
      </c>
      <c r="F39" s="94" t="s">
        <v>5798</v>
      </c>
      <c r="G39" s="94" t="s">
        <v>5799</v>
      </c>
      <c r="H39" s="94" t="s">
        <v>5939</v>
      </c>
      <c r="I39" s="94" t="s">
        <v>5194</v>
      </c>
      <c r="J39" s="94" t="s">
        <v>5194</v>
      </c>
      <c r="K39" s="94" t="s">
        <v>4910</v>
      </c>
      <c r="L39" s="94" t="s">
        <v>6138</v>
      </c>
      <c r="M39" s="94" t="s">
        <v>6138</v>
      </c>
      <c r="N39" s="94" t="s">
        <v>6138</v>
      </c>
      <c r="O39" s="94" t="s">
        <v>6138</v>
      </c>
      <c r="P39" s="94" t="s">
        <v>39</v>
      </c>
      <c r="Q39" s="94" t="s">
        <v>5435</v>
      </c>
      <c r="R39" s="94" t="s">
        <v>5435</v>
      </c>
      <c r="S39" s="94" t="s">
        <v>5435</v>
      </c>
      <c r="T39" s="94" t="s">
        <v>4910</v>
      </c>
      <c r="U39" s="94"/>
      <c r="X39" s="19"/>
      <c r="Y39" s="20"/>
      <c r="Z39" s="11"/>
      <c r="AA39" s="14"/>
      <c r="AB39" s="14"/>
      <c r="AC39" s="19"/>
      <c r="AG39" s="239"/>
    </row>
    <row r="40" spans="1:33" s="14" customFormat="1" ht="30" customHeight="1">
      <c r="A40" s="187" t="s">
        <v>5440</v>
      </c>
      <c r="B40" s="211" t="s">
        <v>5252</v>
      </c>
      <c r="C40" s="54" t="s">
        <v>5438</v>
      </c>
      <c r="D40" s="54" t="s">
        <v>5438</v>
      </c>
      <c r="E40" s="54" t="s">
        <v>5439</v>
      </c>
      <c r="F40" s="54" t="s">
        <v>5743</v>
      </c>
      <c r="G40" s="54" t="s">
        <v>5685</v>
      </c>
      <c r="H40" s="54" t="s">
        <v>6110</v>
      </c>
      <c r="I40" s="54" t="s">
        <v>1292</v>
      </c>
      <c r="J40" s="54" t="s">
        <v>1292</v>
      </c>
      <c r="K40" s="54" t="s">
        <v>3741</v>
      </c>
      <c r="L40" s="54" t="s">
        <v>1292</v>
      </c>
      <c r="M40" s="54" t="s">
        <v>1292</v>
      </c>
      <c r="N40" s="54" t="s">
        <v>1292</v>
      </c>
      <c r="O40" s="54" t="s">
        <v>6227</v>
      </c>
      <c r="P40" s="54" t="s">
        <v>39</v>
      </c>
      <c r="Q40" s="54" t="s">
        <v>5437</v>
      </c>
      <c r="R40" s="54" t="s">
        <v>5437</v>
      </c>
      <c r="S40" s="54" t="s">
        <v>5437</v>
      </c>
      <c r="T40" s="54" t="s">
        <v>5648</v>
      </c>
      <c r="U40" s="73"/>
      <c r="X40" s="117"/>
      <c r="Y40" s="117"/>
      <c r="AA40" s="19"/>
      <c r="AB40" s="19"/>
      <c r="AG40" s="286"/>
    </row>
    <row r="41" spans="1:33" s="2" customFormat="1" ht="9" customHeight="1">
      <c r="A41" s="95" t="s">
        <v>688</v>
      </c>
      <c r="B41" s="94"/>
      <c r="C41" s="94" t="s">
        <v>5172</v>
      </c>
      <c r="D41" s="94" t="s">
        <v>5172</v>
      </c>
      <c r="E41" s="94" t="s">
        <v>5172</v>
      </c>
      <c r="F41" s="94" t="s">
        <v>5742</v>
      </c>
      <c r="G41" s="94" t="s">
        <v>5684</v>
      </c>
      <c r="H41" s="94" t="s">
        <v>5854</v>
      </c>
      <c r="I41" s="94" t="s">
        <v>4975</v>
      </c>
      <c r="J41" s="94" t="s">
        <v>4975</v>
      </c>
      <c r="K41" s="94" t="s">
        <v>4910</v>
      </c>
      <c r="L41" s="94" t="s">
        <v>6137</v>
      </c>
      <c r="M41" s="94" t="s">
        <v>6137</v>
      </c>
      <c r="N41" s="94" t="s">
        <v>6137</v>
      </c>
      <c r="O41" s="94" t="s">
        <v>6137</v>
      </c>
      <c r="P41" s="94" t="s">
        <v>39</v>
      </c>
      <c r="Q41" s="94" t="s">
        <v>5435</v>
      </c>
      <c r="R41" s="94" t="s">
        <v>5435</v>
      </c>
      <c r="S41" s="94" t="s">
        <v>5435</v>
      </c>
      <c r="T41" s="94" t="s">
        <v>4910</v>
      </c>
      <c r="U41" s="94"/>
      <c r="X41" s="19"/>
      <c r="Y41" s="20"/>
      <c r="Z41" s="11"/>
      <c r="AA41" s="14"/>
      <c r="AB41" s="14"/>
      <c r="AC41" s="19"/>
      <c r="AG41" s="239"/>
    </row>
    <row r="42" spans="1:33" s="2" customFormat="1" ht="30" customHeight="1">
      <c r="A42" s="187" t="s">
        <v>146</v>
      </c>
      <c r="B42" s="236"/>
      <c r="C42" s="54" t="s">
        <v>41</v>
      </c>
      <c r="D42" s="54" t="s">
        <v>41</v>
      </c>
      <c r="E42" s="54" t="s">
        <v>41</v>
      </c>
      <c r="F42" s="54" t="s">
        <v>5049</v>
      </c>
      <c r="G42" s="54" t="s">
        <v>41</v>
      </c>
      <c r="H42" s="54" t="s">
        <v>5966</v>
      </c>
      <c r="I42" s="54" t="s">
        <v>41</v>
      </c>
      <c r="J42" s="54" t="s">
        <v>41</v>
      </c>
      <c r="K42" s="54" t="s">
        <v>41</v>
      </c>
      <c r="L42" s="54" t="s">
        <v>41</v>
      </c>
      <c r="M42" s="54" t="s">
        <v>41</v>
      </c>
      <c r="N42" s="54" t="s">
        <v>41</v>
      </c>
      <c r="O42" s="54" t="s">
        <v>41</v>
      </c>
      <c r="P42" s="54" t="s">
        <v>39</v>
      </c>
      <c r="Q42" s="73" t="s">
        <v>41</v>
      </c>
      <c r="R42" s="73" t="s">
        <v>41</v>
      </c>
      <c r="S42" s="73" t="s">
        <v>41</v>
      </c>
      <c r="T42" s="54" t="s">
        <v>39</v>
      </c>
      <c r="U42" s="73"/>
      <c r="X42" s="14"/>
      <c r="Y42" s="14"/>
      <c r="Z42" s="14"/>
      <c r="AA42" s="19"/>
      <c r="AB42" s="19"/>
      <c r="AG42" s="239"/>
    </row>
    <row r="43" spans="1:33" s="2" customFormat="1" ht="9" customHeight="1">
      <c r="A43" s="95" t="s">
        <v>688</v>
      </c>
      <c r="B43" s="94"/>
      <c r="C43" s="94" t="s">
        <v>5172</v>
      </c>
      <c r="D43" s="94" t="s">
        <v>5172</v>
      </c>
      <c r="E43" s="94" t="s">
        <v>5172</v>
      </c>
      <c r="F43" s="94" t="s">
        <v>5851</v>
      </c>
      <c r="G43" s="94" t="s">
        <v>5720</v>
      </c>
      <c r="H43" s="94" t="s">
        <v>5967</v>
      </c>
      <c r="I43" s="94" t="s">
        <v>5026</v>
      </c>
      <c r="J43" s="94" t="s">
        <v>5026</v>
      </c>
      <c r="K43" s="94" t="s">
        <v>4911</v>
      </c>
      <c r="L43" s="94" t="s">
        <v>6343</v>
      </c>
      <c r="M43" s="94" t="s">
        <v>6343</v>
      </c>
      <c r="N43" s="94" t="s">
        <v>6343</v>
      </c>
      <c r="O43" s="94" t="s">
        <v>6343</v>
      </c>
      <c r="P43" s="94" t="s">
        <v>39</v>
      </c>
      <c r="Q43" s="94" t="s">
        <v>5430</v>
      </c>
      <c r="R43" s="94" t="s">
        <v>5430</v>
      </c>
      <c r="S43" s="94" t="s">
        <v>5430</v>
      </c>
      <c r="T43" s="94" t="s">
        <v>39</v>
      </c>
      <c r="U43" s="94"/>
      <c r="X43" s="19"/>
      <c r="Y43" s="20"/>
      <c r="Z43" s="11"/>
      <c r="AA43" s="14"/>
      <c r="AG43" s="239"/>
    </row>
    <row r="44" spans="1:33" s="2" customFormat="1" ht="30" customHeight="1">
      <c r="A44" s="187" t="s">
        <v>5201</v>
      </c>
      <c r="B44" s="236"/>
      <c r="C44" s="54" t="s">
        <v>1292</v>
      </c>
      <c r="D44" s="54" t="s">
        <v>1292</v>
      </c>
      <c r="E44" s="54" t="s">
        <v>5173</v>
      </c>
      <c r="F44" s="54" t="s">
        <v>39</v>
      </c>
      <c r="G44" s="54" t="s">
        <v>39</v>
      </c>
      <c r="H44" s="188"/>
      <c r="I44" s="73" t="s">
        <v>39</v>
      </c>
      <c r="J44" s="73" t="s">
        <v>39</v>
      </c>
      <c r="K44" s="73" t="s">
        <v>39</v>
      </c>
      <c r="L44" s="73" t="s">
        <v>39</v>
      </c>
      <c r="M44" s="73" t="s">
        <v>39</v>
      </c>
      <c r="N44" s="73" t="s">
        <v>39</v>
      </c>
      <c r="O44" s="73" t="s">
        <v>39</v>
      </c>
      <c r="P44" s="73" t="s">
        <v>39</v>
      </c>
      <c r="Q44" s="73" t="s">
        <v>41</v>
      </c>
      <c r="R44" s="73" t="s">
        <v>41</v>
      </c>
      <c r="S44" s="73" t="s">
        <v>41</v>
      </c>
      <c r="T44" s="73" t="s">
        <v>39</v>
      </c>
      <c r="U44" s="73"/>
      <c r="X44" s="14"/>
      <c r="Y44" s="14"/>
      <c r="Z44" s="14"/>
      <c r="AA44" s="19"/>
      <c r="AG44" s="239"/>
    </row>
    <row r="45" spans="1:33" s="2" customFormat="1" ht="9" customHeight="1">
      <c r="A45" s="95"/>
      <c r="B45" s="94"/>
      <c r="C45" s="94" t="s">
        <v>5172</v>
      </c>
      <c r="D45" s="94" t="s">
        <v>5172</v>
      </c>
      <c r="E45" s="94" t="s">
        <v>5172</v>
      </c>
      <c r="F45" s="94" t="s">
        <v>39</v>
      </c>
      <c r="G45" s="94" t="s">
        <v>39</v>
      </c>
      <c r="H45" s="94"/>
      <c r="I45" s="94"/>
      <c r="J45" s="94"/>
      <c r="K45" s="94"/>
      <c r="L45" s="94"/>
      <c r="M45" s="94"/>
      <c r="N45" s="94"/>
      <c r="O45" s="94"/>
      <c r="P45" s="94" t="s">
        <v>39</v>
      </c>
      <c r="Q45" s="94" t="s">
        <v>5430</v>
      </c>
      <c r="R45" s="94" t="s">
        <v>5430</v>
      </c>
      <c r="S45" s="94" t="s">
        <v>5430</v>
      </c>
      <c r="T45" s="94" t="s">
        <v>39</v>
      </c>
      <c r="U45" s="94"/>
      <c r="X45" s="19"/>
      <c r="Y45" s="20"/>
      <c r="Z45" s="11"/>
      <c r="AA45" s="14"/>
      <c r="AG45" s="239"/>
    </row>
    <row r="46" spans="1:33" s="14" customFormat="1" ht="30" customHeight="1">
      <c r="A46" s="53" t="s">
        <v>5432</v>
      </c>
      <c r="B46" s="236"/>
      <c r="C46" s="54" t="s">
        <v>41</v>
      </c>
      <c r="D46" s="54" t="s">
        <v>41</v>
      </c>
      <c r="E46" s="54" t="s">
        <v>41</v>
      </c>
      <c r="F46" s="54" t="s">
        <v>41</v>
      </c>
      <c r="G46" s="54" t="s">
        <v>41</v>
      </c>
      <c r="H46" s="54" t="s">
        <v>41</v>
      </c>
      <c r="I46" s="54" t="s">
        <v>41</v>
      </c>
      <c r="J46" s="54" t="s">
        <v>41</v>
      </c>
      <c r="K46" s="54" t="s">
        <v>41</v>
      </c>
      <c r="L46" s="54" t="s">
        <v>41</v>
      </c>
      <c r="M46" s="54" t="s">
        <v>41</v>
      </c>
      <c r="N46" s="54" t="s">
        <v>41</v>
      </c>
      <c r="O46" s="54" t="s">
        <v>41</v>
      </c>
      <c r="P46" s="54" t="s">
        <v>39</v>
      </c>
      <c r="Q46" s="54" t="s">
        <v>41</v>
      </c>
      <c r="R46" s="54" t="s">
        <v>41</v>
      </c>
      <c r="S46" s="54" t="s">
        <v>41</v>
      </c>
      <c r="T46" s="54" t="s">
        <v>39</v>
      </c>
      <c r="U46" s="54"/>
      <c r="Z46" s="117"/>
      <c r="AA46" s="19"/>
      <c r="AB46" s="2"/>
      <c r="AG46" s="286"/>
    </row>
    <row r="47" spans="1:33" s="2" customFormat="1" ht="9" customHeight="1">
      <c r="A47" s="95" t="s">
        <v>688</v>
      </c>
      <c r="B47" s="94"/>
      <c r="C47" s="94" t="s">
        <v>5174</v>
      </c>
      <c r="D47" s="94" t="s">
        <v>5174</v>
      </c>
      <c r="E47" s="94" t="s">
        <v>5174</v>
      </c>
      <c r="F47" s="94" t="s">
        <v>5750</v>
      </c>
      <c r="G47" s="94" t="s">
        <v>5681</v>
      </c>
      <c r="H47" s="94" t="s">
        <v>5861</v>
      </c>
      <c r="I47" s="94" t="s">
        <v>4977</v>
      </c>
      <c r="J47" s="94" t="s">
        <v>4977</v>
      </c>
      <c r="K47" s="94" t="s">
        <v>4853</v>
      </c>
      <c r="L47" s="94" t="s">
        <v>6142</v>
      </c>
      <c r="M47" s="94" t="s">
        <v>6142</v>
      </c>
      <c r="N47" s="94" t="s">
        <v>6142</v>
      </c>
      <c r="O47" s="94" t="s">
        <v>6141</v>
      </c>
      <c r="P47" s="94" t="s">
        <v>39</v>
      </c>
      <c r="Q47" s="94" t="s">
        <v>5433</v>
      </c>
      <c r="R47" s="94" t="s">
        <v>5433</v>
      </c>
      <c r="S47" s="94" t="s">
        <v>5433</v>
      </c>
      <c r="T47" s="94" t="s">
        <v>39</v>
      </c>
      <c r="U47" s="94"/>
      <c r="X47" s="19"/>
      <c r="Y47" s="20"/>
      <c r="Z47" s="11"/>
      <c r="AA47" s="14"/>
      <c r="AB47" s="14"/>
      <c r="AC47" s="19"/>
      <c r="AG47" s="239"/>
    </row>
    <row r="48" spans="1:33" s="2" customFormat="1" ht="30" customHeight="1">
      <c r="A48" s="187" t="s">
        <v>5202</v>
      </c>
      <c r="B48" s="236"/>
      <c r="C48" s="54" t="s">
        <v>5717</v>
      </c>
      <c r="D48" s="54" t="s">
        <v>5717</v>
      </c>
      <c r="E48" s="54" t="s">
        <v>5717</v>
      </c>
      <c r="F48" s="54" t="s">
        <v>5716</v>
      </c>
      <c r="G48" s="54" t="s">
        <v>5716</v>
      </c>
      <c r="H48" s="54" t="s">
        <v>5716</v>
      </c>
      <c r="I48" s="54" t="s">
        <v>39</v>
      </c>
      <c r="J48" s="54" t="s">
        <v>39</v>
      </c>
      <c r="K48" s="54" t="s">
        <v>39</v>
      </c>
      <c r="L48" s="73" t="s">
        <v>5203</v>
      </c>
      <c r="M48" s="73" t="s">
        <v>5203</v>
      </c>
      <c r="N48" s="73" t="s">
        <v>5203</v>
      </c>
      <c r="O48" s="73" t="s">
        <v>5203</v>
      </c>
      <c r="P48" s="73" t="s">
        <v>39</v>
      </c>
      <c r="Q48" s="54" t="s">
        <v>5205</v>
      </c>
      <c r="R48" s="54" t="s">
        <v>5205</v>
      </c>
      <c r="S48" s="54" t="s">
        <v>5205</v>
      </c>
      <c r="T48" s="73" t="s">
        <v>39</v>
      </c>
      <c r="U48" s="73"/>
      <c r="X48" s="117"/>
      <c r="Y48" s="117"/>
      <c r="Z48" s="14"/>
      <c r="AA48" s="19"/>
      <c r="AB48" s="19"/>
      <c r="AC48" s="19"/>
      <c r="AG48" s="239"/>
    </row>
    <row r="49" spans="1:33" s="2" customFormat="1" ht="9" customHeight="1">
      <c r="A49" s="95"/>
      <c r="B49" s="94"/>
      <c r="C49" s="94" t="s">
        <v>5262</v>
      </c>
      <c r="D49" s="94" t="s">
        <v>5262</v>
      </c>
      <c r="E49" s="94" t="s">
        <v>5206</v>
      </c>
      <c r="F49" s="94" t="s">
        <v>5793</v>
      </c>
      <c r="G49" s="94" t="s">
        <v>5718</v>
      </c>
      <c r="H49" s="94" t="s">
        <v>5934</v>
      </c>
      <c r="I49" s="94" t="s">
        <v>39</v>
      </c>
      <c r="J49" s="94" t="s">
        <v>39</v>
      </c>
      <c r="K49" s="94" t="s">
        <v>39</v>
      </c>
      <c r="L49" s="94" t="s">
        <v>6197</v>
      </c>
      <c r="M49" s="94" t="s">
        <v>6197</v>
      </c>
      <c r="N49" s="94" t="s">
        <v>6197</v>
      </c>
      <c r="O49" s="94" t="s">
        <v>6198</v>
      </c>
      <c r="P49" s="94" t="s">
        <v>39</v>
      </c>
      <c r="Q49" s="94" t="s">
        <v>5456</v>
      </c>
      <c r="R49" s="94" t="s">
        <v>5456</v>
      </c>
      <c r="S49" s="94" t="s">
        <v>5456</v>
      </c>
      <c r="T49" s="94" t="s">
        <v>39</v>
      </c>
      <c r="U49" s="94"/>
      <c r="X49" s="19"/>
      <c r="Y49" s="20"/>
      <c r="Z49" s="11"/>
      <c r="AA49" s="14"/>
      <c r="AB49" s="19"/>
      <c r="AC49" s="19"/>
      <c r="AG49" s="239"/>
    </row>
    <row r="50" spans="1:33" s="2" customFormat="1" ht="9" customHeight="1">
      <c r="A50" s="243"/>
      <c r="B50" s="73"/>
      <c r="C50" s="73"/>
      <c r="D50" s="73"/>
      <c r="E50" s="73"/>
      <c r="F50" s="73"/>
      <c r="G50" s="73"/>
      <c r="H50" s="73"/>
      <c r="I50" s="73"/>
      <c r="J50" s="73"/>
      <c r="K50" s="73"/>
      <c r="L50" s="73"/>
      <c r="M50" s="73"/>
      <c r="N50" s="73"/>
      <c r="O50" s="73"/>
      <c r="P50" s="73"/>
      <c r="Q50" s="73"/>
      <c r="R50" s="73"/>
      <c r="S50" s="73"/>
      <c r="T50" s="73"/>
      <c r="U50" s="73"/>
      <c r="X50" s="14"/>
      <c r="Y50" s="14"/>
      <c r="AA50" s="19"/>
      <c r="AB50" s="19"/>
      <c r="AC50" s="19"/>
      <c r="AG50" s="239"/>
    </row>
    <row r="51" spans="1:33" s="2" customFormat="1" ht="36" customHeight="1">
      <c r="A51" s="261" t="s">
        <v>5805</v>
      </c>
      <c r="B51" s="262"/>
      <c r="C51" s="202" t="str">
        <f t="shared" ref="C51:T51" si="1">C1</f>
        <v>Baloise Gold</v>
      </c>
      <c r="D51" s="202" t="str">
        <f t="shared" si="1"/>
        <v>Baloise Gold 100</v>
      </c>
      <c r="E51" s="202" t="str">
        <f t="shared" si="1"/>
        <v>Baloise Silber</v>
      </c>
      <c r="F51" s="202" t="str">
        <f t="shared" si="1"/>
        <v>HK Einfach Besser</v>
      </c>
      <c r="G51" s="202" t="str">
        <f t="shared" si="1"/>
        <v>HK Einfach Gut</v>
      </c>
      <c r="H51" s="202" t="str">
        <f t="shared" si="1"/>
        <v>HK Einfach Komplett</v>
      </c>
      <c r="I51" s="202" t="str">
        <f t="shared" si="1"/>
        <v>Interlloyd Premium</v>
      </c>
      <c r="J51" s="202" t="str">
        <f t="shared" si="1"/>
        <v>Interlloyd Premium HB</v>
      </c>
      <c r="K51" s="202" t="str">
        <f t="shared" si="1"/>
        <v>Interllyod Protect UR</v>
      </c>
      <c r="L51" s="202" t="str">
        <f t="shared" si="1"/>
        <v xml:space="preserve">ITL Eurosecure Plus </v>
      </c>
      <c r="M51" s="202" t="str">
        <f t="shared" si="1"/>
        <v>ITL Infinitus</v>
      </c>
      <c r="N51" s="202" t="str">
        <f t="shared" si="1"/>
        <v>ITL Infinitus HB</v>
      </c>
      <c r="O51" s="202" t="str">
        <f t="shared" si="1"/>
        <v>ITL Protect Plus</v>
      </c>
      <c r="P51" s="202" t="str">
        <f t="shared" si="1"/>
        <v>keine</v>
      </c>
      <c r="Q51" s="202" t="str">
        <f t="shared" si="1"/>
        <v>VHV Klassik Garant</v>
      </c>
      <c r="R51" s="202" t="str">
        <f t="shared" si="1"/>
        <v>VHV Klassik Garant Exklusiv</v>
      </c>
      <c r="S51" s="202" t="str">
        <f t="shared" si="1"/>
        <v>VHV Klassik Garant Exklusiv HB</v>
      </c>
      <c r="T51" s="202" t="str">
        <f t="shared" si="1"/>
        <v>VHV Smart</v>
      </c>
      <c r="U51" s="202"/>
      <c r="X51" s="19"/>
      <c r="Y51" s="20"/>
      <c r="AA51" s="14"/>
      <c r="AB51" s="19"/>
      <c r="AC51" s="19"/>
      <c r="AG51" s="239"/>
    </row>
    <row r="52" spans="1:33" s="14" customFormat="1" ht="258" customHeight="1">
      <c r="A52" s="263" t="s">
        <v>6202</v>
      </c>
      <c r="B52" s="211" t="s">
        <v>5255</v>
      </c>
      <c r="C52" s="54" t="s">
        <v>5824</v>
      </c>
      <c r="D52" s="54" t="s">
        <v>5824</v>
      </c>
      <c r="E52" s="76" t="s">
        <v>5825</v>
      </c>
      <c r="F52" s="76" t="s">
        <v>5826</v>
      </c>
      <c r="G52" s="76" t="s">
        <v>5825</v>
      </c>
      <c r="H52" s="76" t="s">
        <v>5826</v>
      </c>
      <c r="I52" s="76" t="s">
        <v>5815</v>
      </c>
      <c r="J52" s="76" t="s">
        <v>5815</v>
      </c>
      <c r="K52" s="76" t="s">
        <v>5825</v>
      </c>
      <c r="L52" s="54" t="s">
        <v>6281</v>
      </c>
      <c r="M52" s="54" t="s">
        <v>6281</v>
      </c>
      <c r="N52" s="54" t="s">
        <v>6281</v>
      </c>
      <c r="O52" s="54" t="s">
        <v>6280</v>
      </c>
      <c r="P52" s="76" t="s">
        <v>39</v>
      </c>
      <c r="Q52" s="54" t="s">
        <v>5824</v>
      </c>
      <c r="R52" s="54" t="s">
        <v>5824</v>
      </c>
      <c r="S52" s="54" t="s">
        <v>5824</v>
      </c>
      <c r="T52" s="76" t="s">
        <v>5807</v>
      </c>
      <c r="U52" s="54"/>
      <c r="X52" s="2"/>
      <c r="Y52" s="2"/>
      <c r="AA52" s="19"/>
      <c r="AB52" s="19"/>
      <c r="AG52" s="286"/>
    </row>
    <row r="53" spans="1:33" s="2" customFormat="1" ht="9" customHeight="1">
      <c r="A53" s="95" t="s">
        <v>688</v>
      </c>
      <c r="B53" s="94"/>
      <c r="C53" s="94" t="s">
        <v>5177</v>
      </c>
      <c r="D53" s="94" t="s">
        <v>5177</v>
      </c>
      <c r="E53" s="94" t="s">
        <v>5176</v>
      </c>
      <c r="F53" s="94" t="s">
        <v>5796</v>
      </c>
      <c r="G53" s="94" t="s">
        <v>5719</v>
      </c>
      <c r="H53" s="94" t="s">
        <v>5935</v>
      </c>
      <c r="I53" s="94" t="s">
        <v>5259</v>
      </c>
      <c r="J53" s="94" t="s">
        <v>5259</v>
      </c>
      <c r="K53" s="94" t="s">
        <v>1257</v>
      </c>
      <c r="L53" s="94" t="s">
        <v>6150</v>
      </c>
      <c r="M53" s="94" t="s">
        <v>6150</v>
      </c>
      <c r="N53" s="94" t="s">
        <v>6150</v>
      </c>
      <c r="O53" s="94" t="s">
        <v>6200</v>
      </c>
      <c r="P53" s="94" t="s">
        <v>39</v>
      </c>
      <c r="Q53" s="94" t="s">
        <v>5461</v>
      </c>
      <c r="R53" s="94" t="s">
        <v>5461</v>
      </c>
      <c r="S53" s="94" t="s">
        <v>5461</v>
      </c>
      <c r="T53" s="94" t="s">
        <v>5646</v>
      </c>
      <c r="U53" s="94"/>
      <c r="Z53" s="11"/>
      <c r="AA53" s="14"/>
      <c r="AB53" s="14"/>
      <c r="AC53" s="19"/>
      <c r="AG53" s="239"/>
    </row>
    <row r="54" spans="1:33" s="14" customFormat="1" ht="39.950000000000003" customHeight="1">
      <c r="A54" s="263" t="s">
        <v>5260</v>
      </c>
      <c r="B54" s="211" t="s">
        <v>5255</v>
      </c>
      <c r="C54" s="54" t="s">
        <v>5822</v>
      </c>
      <c r="D54" s="54" t="s">
        <v>5822</v>
      </c>
      <c r="E54" s="54" t="s">
        <v>41</v>
      </c>
      <c r="F54" s="54" t="s">
        <v>5937</v>
      </c>
      <c r="G54" s="54" t="s">
        <v>39</v>
      </c>
      <c r="H54" s="54" t="s">
        <v>5937</v>
      </c>
      <c r="I54" s="54" t="s">
        <v>5817</v>
      </c>
      <c r="J54" s="54" t="s">
        <v>5817</v>
      </c>
      <c r="K54" s="54" t="s">
        <v>5258</v>
      </c>
      <c r="L54" s="54" t="s">
        <v>6230</v>
      </c>
      <c r="M54" s="54" t="s">
        <v>6230</v>
      </c>
      <c r="N54" s="54" t="s">
        <v>6230</v>
      </c>
      <c r="O54" s="54" t="s">
        <v>6230</v>
      </c>
      <c r="P54" s="54" t="s">
        <v>39</v>
      </c>
      <c r="Q54" s="54" t="s">
        <v>5460</v>
      </c>
      <c r="R54" s="54" t="s">
        <v>5460</v>
      </c>
      <c r="S54" s="54" t="s">
        <v>5460</v>
      </c>
      <c r="T54" s="54" t="s">
        <v>39</v>
      </c>
      <c r="U54" s="73"/>
      <c r="AA54" s="19"/>
      <c r="AB54" s="19"/>
      <c r="AG54" s="286"/>
    </row>
    <row r="55" spans="1:33" s="2" customFormat="1" ht="9" customHeight="1">
      <c r="A55" s="95" t="s">
        <v>688</v>
      </c>
      <c r="B55" s="94"/>
      <c r="C55" s="94" t="s">
        <v>5256</v>
      </c>
      <c r="D55" s="94" t="s">
        <v>5256</v>
      </c>
      <c r="E55" s="94" t="s">
        <v>5177</v>
      </c>
      <c r="F55" s="94" t="s">
        <v>5795</v>
      </c>
      <c r="G55" s="94" t="s">
        <v>5719</v>
      </c>
      <c r="H55" s="94" t="s">
        <v>5936</v>
      </c>
      <c r="I55" s="94" t="s">
        <v>5021</v>
      </c>
      <c r="J55" s="94" t="s">
        <v>5021</v>
      </c>
      <c r="K55" s="94" t="s">
        <v>5023</v>
      </c>
      <c r="L55" s="94" t="s">
        <v>6149</v>
      </c>
      <c r="M55" s="94" t="s">
        <v>6149</v>
      </c>
      <c r="N55" s="94" t="s">
        <v>6149</v>
      </c>
      <c r="O55" s="94" t="s">
        <v>6233</v>
      </c>
      <c r="P55" s="94" t="s">
        <v>39</v>
      </c>
      <c r="Q55" s="94" t="s">
        <v>5461</v>
      </c>
      <c r="R55" s="94" t="s">
        <v>5461</v>
      </c>
      <c r="S55" s="94" t="s">
        <v>5461</v>
      </c>
      <c r="T55" s="94" t="s">
        <v>5646</v>
      </c>
      <c r="U55" s="94"/>
      <c r="X55" s="19"/>
      <c r="Y55" s="20"/>
      <c r="Z55" s="11"/>
      <c r="AB55" s="14"/>
      <c r="AC55" s="19"/>
      <c r="AG55" s="239"/>
    </row>
    <row r="56" spans="1:33" s="115" customFormat="1" ht="30" customHeight="1">
      <c r="A56" s="263" t="s">
        <v>5193</v>
      </c>
      <c r="B56" s="211" t="s">
        <v>5022</v>
      </c>
      <c r="C56" s="54" t="s">
        <v>5355</v>
      </c>
      <c r="D56" s="54" t="s">
        <v>5355</v>
      </c>
      <c r="E56" s="54" t="s">
        <v>39</v>
      </c>
      <c r="F56" s="54" t="s">
        <v>5810</v>
      </c>
      <c r="G56" s="54" t="s">
        <v>39</v>
      </c>
      <c r="H56" s="54" t="s">
        <v>5810</v>
      </c>
      <c r="I56" s="54" t="s">
        <v>41</v>
      </c>
      <c r="J56" s="54" t="s">
        <v>41</v>
      </c>
      <c r="K56" s="54" t="s">
        <v>39</v>
      </c>
      <c r="L56" s="54" t="s">
        <v>41</v>
      </c>
      <c r="M56" s="54" t="s">
        <v>41</v>
      </c>
      <c r="N56" s="54" t="s">
        <v>41</v>
      </c>
      <c r="O56" s="54" t="s">
        <v>39</v>
      </c>
      <c r="P56" s="54" t="s">
        <v>39</v>
      </c>
      <c r="Q56" s="54" t="s">
        <v>39</v>
      </c>
      <c r="R56" s="54" t="s">
        <v>5810</v>
      </c>
      <c r="S56" s="54" t="s">
        <v>5810</v>
      </c>
      <c r="T56" s="54" t="s">
        <v>39</v>
      </c>
      <c r="U56" s="203"/>
      <c r="X56" s="14"/>
      <c r="Y56" s="14"/>
      <c r="Z56" s="117"/>
      <c r="AA56" s="2"/>
      <c r="AB56" s="19"/>
      <c r="AG56" s="287"/>
    </row>
    <row r="57" spans="1:33" s="2" customFormat="1" ht="9" customHeight="1">
      <c r="A57" s="95" t="s">
        <v>688</v>
      </c>
      <c r="B57" s="94"/>
      <c r="C57" s="94" t="s">
        <v>5175</v>
      </c>
      <c r="D57" s="94" t="s">
        <v>5175</v>
      </c>
      <c r="E57" s="94" t="s">
        <v>5261</v>
      </c>
      <c r="F57" s="94" t="s">
        <v>5795</v>
      </c>
      <c r="G57" s="94" t="s">
        <v>5719</v>
      </c>
      <c r="H57" s="94" t="s">
        <v>5936</v>
      </c>
      <c r="I57" s="94" t="s">
        <v>5024</v>
      </c>
      <c r="J57" s="94" t="s">
        <v>5024</v>
      </c>
      <c r="K57" s="94" t="s">
        <v>5819</v>
      </c>
      <c r="L57" s="94" t="s">
        <v>6345</v>
      </c>
      <c r="M57" s="94" t="s">
        <v>6345</v>
      </c>
      <c r="N57" s="94" t="s">
        <v>6345</v>
      </c>
      <c r="O57" s="94" t="s">
        <v>6200</v>
      </c>
      <c r="P57" s="94" t="s">
        <v>39</v>
      </c>
      <c r="Q57" s="94" t="s">
        <v>5457</v>
      </c>
      <c r="R57" s="94" t="s">
        <v>5581</v>
      </c>
      <c r="S57" s="94" t="s">
        <v>5581</v>
      </c>
      <c r="T57" s="94" t="s">
        <v>5646</v>
      </c>
      <c r="U57" s="94"/>
      <c r="X57" s="19"/>
      <c r="Y57" s="20"/>
      <c r="Z57" s="11"/>
      <c r="AA57" s="14"/>
      <c r="AB57" s="115"/>
      <c r="AC57" s="19"/>
      <c r="AG57" s="239"/>
    </row>
    <row r="58" spans="1:33" s="14" customFormat="1" ht="30" customHeight="1">
      <c r="A58" s="263" t="s">
        <v>31</v>
      </c>
      <c r="B58" s="211" t="s">
        <v>5816</v>
      </c>
      <c r="C58" s="54" t="s">
        <v>5254</v>
      </c>
      <c r="D58" s="54" t="s">
        <v>5254</v>
      </c>
      <c r="E58" s="54" t="s">
        <v>5254</v>
      </c>
      <c r="F58" s="54" t="s">
        <v>5254</v>
      </c>
      <c r="G58" s="54" t="s">
        <v>39</v>
      </c>
      <c r="H58" s="54" t="s">
        <v>5254</v>
      </c>
      <c r="I58" s="54" t="s">
        <v>6037</v>
      </c>
      <c r="J58" s="54" t="s">
        <v>6037</v>
      </c>
      <c r="K58" s="54" t="s">
        <v>39</v>
      </c>
      <c r="L58" s="54" t="s">
        <v>6282</v>
      </c>
      <c r="M58" s="54" t="s">
        <v>6282</v>
      </c>
      <c r="N58" s="54" t="s">
        <v>6282</v>
      </c>
      <c r="O58" s="54" t="s">
        <v>6282</v>
      </c>
      <c r="P58" s="54" t="s">
        <v>39</v>
      </c>
      <c r="Q58" s="54" t="s">
        <v>5254</v>
      </c>
      <c r="R58" s="54" t="s">
        <v>5254</v>
      </c>
      <c r="S58" s="54" t="s">
        <v>5254</v>
      </c>
      <c r="T58" s="54" t="s">
        <v>5254</v>
      </c>
      <c r="U58" s="203"/>
      <c r="X58" s="117"/>
      <c r="Y58" s="117"/>
      <c r="AA58" s="2"/>
      <c r="AB58" s="19"/>
      <c r="AG58" s="286"/>
    </row>
    <row r="59" spans="1:33" s="2" customFormat="1" ht="9" customHeight="1">
      <c r="A59" s="95" t="s">
        <v>688</v>
      </c>
      <c r="B59" s="94"/>
      <c r="C59" s="94" t="s">
        <v>5253</v>
      </c>
      <c r="D59" s="94" t="s">
        <v>5253</v>
      </c>
      <c r="E59" s="94" t="s">
        <v>5175</v>
      </c>
      <c r="F59" s="94" t="s">
        <v>5795</v>
      </c>
      <c r="G59" s="94" t="s">
        <v>5719</v>
      </c>
      <c r="H59" s="94" t="s">
        <v>5936</v>
      </c>
      <c r="I59" s="94" t="s">
        <v>6038</v>
      </c>
      <c r="J59" s="94" t="s">
        <v>6038</v>
      </c>
      <c r="K59" s="94" t="s">
        <v>5819</v>
      </c>
      <c r="L59" s="94" t="s">
        <v>6151</v>
      </c>
      <c r="M59" s="94" t="s">
        <v>6151</v>
      </c>
      <c r="N59" s="94" t="s">
        <v>6151</v>
      </c>
      <c r="O59" s="94" t="s">
        <v>6201</v>
      </c>
      <c r="P59" s="94" t="s">
        <v>39</v>
      </c>
      <c r="Q59" s="94" t="s">
        <v>5459</v>
      </c>
      <c r="R59" s="94" t="s">
        <v>5459</v>
      </c>
      <c r="S59" s="94" t="s">
        <v>5459</v>
      </c>
      <c r="T59" s="94" t="s">
        <v>5646</v>
      </c>
      <c r="U59" s="94"/>
      <c r="X59" s="19"/>
      <c r="Y59" s="20"/>
      <c r="Z59" s="11"/>
      <c r="AA59" s="14"/>
      <c r="AB59" s="14"/>
      <c r="AC59" s="19"/>
      <c r="AG59" s="239"/>
    </row>
    <row r="60" spans="1:33" s="14" customFormat="1" ht="30" customHeight="1">
      <c r="A60" s="263" t="s">
        <v>5809</v>
      </c>
      <c r="B60" s="211"/>
      <c r="C60" s="54" t="s">
        <v>5821</v>
      </c>
      <c r="D60" s="54" t="s">
        <v>5821</v>
      </c>
      <c r="E60" s="54" t="s">
        <v>39</v>
      </c>
      <c r="F60" s="54" t="s">
        <v>39</v>
      </c>
      <c r="G60" s="54" t="s">
        <v>39</v>
      </c>
      <c r="H60" s="54" t="s">
        <v>5821</v>
      </c>
      <c r="I60" s="54" t="s">
        <v>39</v>
      </c>
      <c r="J60" s="54" t="s">
        <v>39</v>
      </c>
      <c r="K60" s="54" t="s">
        <v>39</v>
      </c>
      <c r="L60" s="54" t="s">
        <v>39</v>
      </c>
      <c r="M60" s="54" t="s">
        <v>39</v>
      </c>
      <c r="N60" s="54" t="s">
        <v>39</v>
      </c>
      <c r="O60" s="54" t="s">
        <v>39</v>
      </c>
      <c r="P60" s="54" t="s">
        <v>39</v>
      </c>
      <c r="Q60" s="54" t="s">
        <v>39</v>
      </c>
      <c r="R60" s="54" t="s">
        <v>5821</v>
      </c>
      <c r="S60" s="54" t="s">
        <v>5821</v>
      </c>
      <c r="T60" s="54" t="s">
        <v>39</v>
      </c>
      <c r="U60" s="73"/>
      <c r="AA60" s="19"/>
      <c r="AB60" s="19"/>
      <c r="AG60" s="286"/>
    </row>
    <row r="61" spans="1:33" s="2" customFormat="1" ht="9" customHeight="1">
      <c r="A61" s="95" t="s">
        <v>688</v>
      </c>
      <c r="B61" s="94"/>
      <c r="C61" s="94" t="s">
        <v>5256</v>
      </c>
      <c r="D61" s="94" t="s">
        <v>5256</v>
      </c>
      <c r="E61" s="94" t="s">
        <v>5261</v>
      </c>
      <c r="F61" s="94" t="s">
        <v>5719</v>
      </c>
      <c r="G61" s="94" t="s">
        <v>5719</v>
      </c>
      <c r="H61" s="94" t="s">
        <v>5936</v>
      </c>
      <c r="I61" s="94" t="s">
        <v>5021</v>
      </c>
      <c r="J61" s="94" t="s">
        <v>5021</v>
      </c>
      <c r="K61" s="94" t="s">
        <v>5819</v>
      </c>
      <c r="L61" s="94" t="s">
        <v>39</v>
      </c>
      <c r="M61" s="94" t="s">
        <v>39</v>
      </c>
      <c r="N61" s="94" t="s">
        <v>39</v>
      </c>
      <c r="O61" s="94" t="s">
        <v>39</v>
      </c>
      <c r="P61" s="94" t="s">
        <v>39</v>
      </c>
      <c r="Q61" s="94" t="s">
        <v>5820</v>
      </c>
      <c r="R61" s="94" t="s">
        <v>5581</v>
      </c>
      <c r="S61" s="94" t="s">
        <v>5581</v>
      </c>
      <c r="T61" s="94" t="s">
        <v>5646</v>
      </c>
      <c r="U61" s="94"/>
      <c r="X61" s="19"/>
      <c r="Y61" s="20"/>
      <c r="AA61" s="14"/>
      <c r="AB61" s="14"/>
      <c r="AC61" s="19"/>
      <c r="AG61" s="239"/>
    </row>
    <row r="62" spans="1:33" s="14" customFormat="1" ht="30" customHeight="1">
      <c r="A62" s="263" t="s">
        <v>5257</v>
      </c>
      <c r="B62" s="211"/>
      <c r="C62" s="54" t="s">
        <v>41</v>
      </c>
      <c r="D62" s="54" t="s">
        <v>41</v>
      </c>
      <c r="E62" s="54" t="s">
        <v>41</v>
      </c>
      <c r="F62" s="54" t="s">
        <v>41</v>
      </c>
      <c r="G62" s="54" t="s">
        <v>39</v>
      </c>
      <c r="H62" s="54" t="s">
        <v>41</v>
      </c>
      <c r="I62" s="54" t="s">
        <v>39</v>
      </c>
      <c r="J62" s="54" t="s">
        <v>39</v>
      </c>
      <c r="K62" s="54" t="s">
        <v>39</v>
      </c>
      <c r="L62" s="54" t="s">
        <v>41</v>
      </c>
      <c r="M62" s="54" t="s">
        <v>41</v>
      </c>
      <c r="N62" s="54" t="s">
        <v>41</v>
      </c>
      <c r="O62" s="54" t="s">
        <v>41</v>
      </c>
      <c r="P62" s="54" t="s">
        <v>39</v>
      </c>
      <c r="Q62" s="54" t="s">
        <v>41</v>
      </c>
      <c r="R62" s="54" t="s">
        <v>41</v>
      </c>
      <c r="S62" s="54" t="s">
        <v>41</v>
      </c>
      <c r="T62" s="54" t="s">
        <v>39</v>
      </c>
      <c r="U62" s="203"/>
      <c r="Z62" s="11"/>
      <c r="AA62" s="19"/>
      <c r="AB62" s="19"/>
      <c r="AG62" s="286"/>
    </row>
    <row r="63" spans="1:33" s="2" customFormat="1" ht="9" customHeight="1">
      <c r="A63" s="95" t="s">
        <v>688</v>
      </c>
      <c r="B63" s="94"/>
      <c r="C63" s="94" t="s">
        <v>5175</v>
      </c>
      <c r="D63" s="94" t="s">
        <v>5175</v>
      </c>
      <c r="E63" s="94" t="s">
        <v>5176</v>
      </c>
      <c r="F63" s="94" t="s">
        <v>5795</v>
      </c>
      <c r="G63" s="94" t="s">
        <v>5719</v>
      </c>
      <c r="H63" s="94" t="s">
        <v>5936</v>
      </c>
      <c r="I63" s="94" t="s">
        <v>4971</v>
      </c>
      <c r="J63" s="94" t="s">
        <v>4971</v>
      </c>
      <c r="K63" s="94" t="s">
        <v>5819</v>
      </c>
      <c r="L63" s="94" t="s">
        <v>6346</v>
      </c>
      <c r="M63" s="94" t="s">
        <v>6346</v>
      </c>
      <c r="N63" s="94" t="s">
        <v>6346</v>
      </c>
      <c r="O63" s="94" t="s">
        <v>6346</v>
      </c>
      <c r="P63" s="94" t="s">
        <v>39</v>
      </c>
      <c r="Q63" s="94" t="s">
        <v>5458</v>
      </c>
      <c r="R63" s="94" t="s">
        <v>5458</v>
      </c>
      <c r="S63" s="94" t="s">
        <v>5458</v>
      </c>
      <c r="T63" s="94" t="s">
        <v>5646</v>
      </c>
      <c r="U63" s="94"/>
      <c r="AA63" s="19"/>
      <c r="AB63" s="14"/>
      <c r="AC63" s="19"/>
      <c r="AG63" s="239"/>
    </row>
    <row r="64" spans="1:33" s="14" customFormat="1" ht="50.1" customHeight="1">
      <c r="A64" s="263" t="s">
        <v>5812</v>
      </c>
      <c r="B64" s="236"/>
      <c r="C64" s="54" t="s">
        <v>5813</v>
      </c>
      <c r="D64" s="54" t="s">
        <v>5813</v>
      </c>
      <c r="E64" s="54" t="s">
        <v>41</v>
      </c>
      <c r="F64" s="54" t="s">
        <v>41</v>
      </c>
      <c r="G64" s="54" t="s">
        <v>41</v>
      </c>
      <c r="H64" s="54" t="s">
        <v>5583</v>
      </c>
      <c r="I64" s="54" t="s">
        <v>41</v>
      </c>
      <c r="J64" s="54" t="s">
        <v>6111</v>
      </c>
      <c r="K64" s="54" t="s">
        <v>41</v>
      </c>
      <c r="L64" s="54" t="s">
        <v>41</v>
      </c>
      <c r="M64" s="54" t="s">
        <v>41</v>
      </c>
      <c r="N64" s="54" t="s">
        <v>6111</v>
      </c>
      <c r="O64" s="54" t="s">
        <v>41</v>
      </c>
      <c r="P64" s="54" t="s">
        <v>39</v>
      </c>
      <c r="Q64" s="54" t="s">
        <v>41</v>
      </c>
      <c r="R64" s="54" t="s">
        <v>5583</v>
      </c>
      <c r="S64" s="54" t="s">
        <v>5583</v>
      </c>
      <c r="T64" s="54" t="s">
        <v>41</v>
      </c>
      <c r="U64" s="73"/>
      <c r="X64" s="19"/>
      <c r="Y64" s="20"/>
      <c r="Z64" s="2"/>
      <c r="AA64" s="19"/>
      <c r="AB64" s="19"/>
      <c r="AG64" s="286"/>
    </row>
    <row r="65" spans="1:33" s="2" customFormat="1" ht="9" customHeight="1">
      <c r="A65" s="95" t="s">
        <v>688</v>
      </c>
      <c r="B65" s="94"/>
      <c r="C65" s="94" t="s">
        <v>5286</v>
      </c>
      <c r="D65" s="94" t="s">
        <v>5286</v>
      </c>
      <c r="E65" s="94" t="s">
        <v>5178</v>
      </c>
      <c r="F65" s="94" t="s">
        <v>5814</v>
      </c>
      <c r="G65" s="94" t="s">
        <v>5814</v>
      </c>
      <c r="H65" s="94" t="s">
        <v>5938</v>
      </c>
      <c r="I65" s="94" t="s">
        <v>5797</v>
      </c>
      <c r="J65" s="94" t="s">
        <v>5818</v>
      </c>
      <c r="K65" s="94" t="s">
        <v>4911</v>
      </c>
      <c r="L65" s="94" t="s">
        <v>6346</v>
      </c>
      <c r="M65" s="94" t="s">
        <v>6346</v>
      </c>
      <c r="N65" s="94" t="s">
        <v>6346</v>
      </c>
      <c r="O65" s="94" t="s">
        <v>6346</v>
      </c>
      <c r="P65" s="94" t="s">
        <v>39</v>
      </c>
      <c r="Q65" s="94" t="s">
        <v>39</v>
      </c>
      <c r="R65" s="94" t="s">
        <v>5581</v>
      </c>
      <c r="S65" s="94" t="s">
        <v>5581</v>
      </c>
      <c r="T65" s="94" t="s">
        <v>39</v>
      </c>
      <c r="U65" s="94"/>
      <c r="AA65" s="19"/>
      <c r="AB65" s="14"/>
      <c r="AC65" s="19"/>
      <c r="AG65" s="239"/>
    </row>
    <row r="66" spans="1:33" s="14" customFormat="1" ht="30" customHeight="1">
      <c r="A66" s="263" t="s">
        <v>5811</v>
      </c>
      <c r="B66" s="211"/>
      <c r="C66" s="54" t="s">
        <v>39</v>
      </c>
      <c r="D66" s="54" t="s">
        <v>39</v>
      </c>
      <c r="E66" s="54" t="s">
        <v>39</v>
      </c>
      <c r="F66" s="54" t="s">
        <v>6010</v>
      </c>
      <c r="G66" s="54" t="s">
        <v>39</v>
      </c>
      <c r="H66" s="54" t="s">
        <v>39</v>
      </c>
      <c r="I66" s="54" t="s">
        <v>39</v>
      </c>
      <c r="J66" s="54" t="s">
        <v>39</v>
      </c>
      <c r="K66" s="54" t="s">
        <v>39</v>
      </c>
      <c r="L66" s="54" t="s">
        <v>39</v>
      </c>
      <c r="M66" s="54" t="s">
        <v>39</v>
      </c>
      <c r="N66" s="54" t="s">
        <v>6353</v>
      </c>
      <c r="O66" s="54" t="s">
        <v>39</v>
      </c>
      <c r="P66" s="54" t="s">
        <v>39</v>
      </c>
      <c r="Q66" s="54" t="s">
        <v>39</v>
      </c>
      <c r="R66" s="54" t="s">
        <v>39</v>
      </c>
      <c r="S66" s="54" t="s">
        <v>39</v>
      </c>
      <c r="T66" s="54" t="s">
        <v>39</v>
      </c>
      <c r="U66" s="73"/>
      <c r="X66" s="2"/>
      <c r="Y66" s="2"/>
      <c r="Z66" s="11"/>
      <c r="AA66" s="19"/>
      <c r="AB66" s="19"/>
      <c r="AG66" s="286"/>
    </row>
    <row r="67" spans="1:33" s="2" customFormat="1" ht="9" customHeight="1">
      <c r="A67" s="95" t="s">
        <v>688</v>
      </c>
      <c r="B67" s="94"/>
      <c r="C67" s="94" t="s">
        <v>39</v>
      </c>
      <c r="D67" s="94" t="s">
        <v>39</v>
      </c>
      <c r="E67" s="94" t="s">
        <v>39</v>
      </c>
      <c r="F67" s="94" t="s">
        <v>5795</v>
      </c>
      <c r="G67" s="94" t="s">
        <v>5797</v>
      </c>
      <c r="H67" s="94"/>
      <c r="I67" s="94" t="s">
        <v>5021</v>
      </c>
      <c r="J67" s="94" t="s">
        <v>5021</v>
      </c>
      <c r="K67" s="94" t="s">
        <v>5819</v>
      </c>
      <c r="L67" s="94" t="s">
        <v>39</v>
      </c>
      <c r="M67" s="94" t="s">
        <v>39</v>
      </c>
      <c r="N67" s="94" t="s">
        <v>6354</v>
      </c>
      <c r="O67" s="94" t="s">
        <v>39</v>
      </c>
      <c r="P67" s="94" t="s">
        <v>39</v>
      </c>
      <c r="Q67" s="94" t="s">
        <v>5461</v>
      </c>
      <c r="R67" s="94" t="s">
        <v>39</v>
      </c>
      <c r="S67" s="94" t="s">
        <v>39</v>
      </c>
      <c r="T67" s="94" t="s">
        <v>5646</v>
      </c>
      <c r="U67" s="94"/>
      <c r="AA67" s="14"/>
      <c r="AB67" s="14"/>
      <c r="AC67" s="19"/>
      <c r="AG67" s="239"/>
    </row>
    <row r="68" spans="1:33" s="14" customFormat="1" ht="22.5" customHeight="1">
      <c r="A68" s="11"/>
      <c r="B68" s="239"/>
      <c r="C68" s="204"/>
      <c r="D68" s="246"/>
      <c r="E68" s="204"/>
      <c r="F68" s="246"/>
      <c r="G68" s="246"/>
      <c r="H68" s="246"/>
      <c r="I68" s="204"/>
      <c r="J68" s="204"/>
      <c r="K68" s="204"/>
      <c r="L68" s="246"/>
      <c r="M68" s="246"/>
      <c r="N68" s="246"/>
      <c r="O68" s="246"/>
      <c r="P68" s="246"/>
      <c r="Q68" s="246"/>
      <c r="R68"/>
      <c r="S68"/>
      <c r="T68" s="246"/>
      <c r="U68" s="204"/>
      <c r="X68" s="19"/>
      <c r="Y68" s="20"/>
      <c r="Z68" s="2"/>
      <c r="AA68" s="2"/>
      <c r="AB68" s="19"/>
      <c r="AG68" s="286"/>
    </row>
    <row r="69" spans="1:33" s="2" customFormat="1" ht="20.100000000000001" customHeight="1">
      <c r="A69" s="176" t="s">
        <v>4684</v>
      </c>
      <c r="B69" s="202" t="str">
        <f t="shared" ref="B69:T69" si="2">B1</f>
        <v>Erläuterungen</v>
      </c>
      <c r="C69" s="202" t="str">
        <f t="shared" si="2"/>
        <v>Baloise Gold</v>
      </c>
      <c r="D69" s="202" t="str">
        <f t="shared" si="2"/>
        <v>Baloise Gold 100</v>
      </c>
      <c r="E69" s="202" t="str">
        <f t="shared" si="2"/>
        <v>Baloise Silber</v>
      </c>
      <c r="F69" s="202" t="str">
        <f t="shared" si="2"/>
        <v>HK Einfach Besser</v>
      </c>
      <c r="G69" s="202" t="str">
        <f t="shared" si="2"/>
        <v>HK Einfach Gut</v>
      </c>
      <c r="H69" s="202" t="str">
        <f t="shared" si="2"/>
        <v>HK Einfach Komplett</v>
      </c>
      <c r="I69" s="202" t="str">
        <f t="shared" si="2"/>
        <v>Interlloyd Premium</v>
      </c>
      <c r="J69" s="202" t="str">
        <f t="shared" si="2"/>
        <v>Interlloyd Premium HB</v>
      </c>
      <c r="K69" s="202" t="str">
        <f t="shared" si="2"/>
        <v>Interllyod Protect UR</v>
      </c>
      <c r="L69" s="202" t="str">
        <f t="shared" si="2"/>
        <v xml:space="preserve">ITL Eurosecure Plus </v>
      </c>
      <c r="M69" s="202" t="str">
        <f t="shared" si="2"/>
        <v>ITL Infinitus</v>
      </c>
      <c r="N69" s="202" t="str">
        <f t="shared" si="2"/>
        <v>ITL Infinitus HB</v>
      </c>
      <c r="O69" s="202" t="str">
        <f t="shared" si="2"/>
        <v>ITL Protect Plus</v>
      </c>
      <c r="P69" s="202" t="str">
        <f t="shared" si="2"/>
        <v>keine</v>
      </c>
      <c r="Q69" s="202" t="str">
        <f t="shared" si="2"/>
        <v>VHV Klassik Garant</v>
      </c>
      <c r="R69" s="202" t="str">
        <f t="shared" si="2"/>
        <v>VHV Klassik Garant Exklusiv</v>
      </c>
      <c r="S69" s="202" t="str">
        <f t="shared" si="2"/>
        <v>VHV Klassik Garant Exklusiv HB</v>
      </c>
      <c r="T69" s="202" t="str">
        <f t="shared" si="2"/>
        <v>VHV Smart</v>
      </c>
      <c r="U69" s="202"/>
      <c r="Z69" s="14"/>
      <c r="AA69" s="14"/>
      <c r="AB69" s="14"/>
      <c r="AC69" s="19"/>
      <c r="AG69" s="239"/>
    </row>
    <row r="70" spans="1:33" s="14" customFormat="1" ht="30" customHeight="1">
      <c r="A70" s="53" t="s">
        <v>6194</v>
      </c>
      <c r="B70" s="212" t="s">
        <v>4905</v>
      </c>
      <c r="C70" s="54" t="s">
        <v>5263</v>
      </c>
      <c r="D70" s="54" t="s">
        <v>5263</v>
      </c>
      <c r="E70" s="54" t="s">
        <v>5179</v>
      </c>
      <c r="F70" s="54" t="s">
        <v>109</v>
      </c>
      <c r="G70" s="54" t="s">
        <v>44</v>
      </c>
      <c r="H70" s="54" t="s">
        <v>5054</v>
      </c>
      <c r="I70" s="54" t="s">
        <v>43</v>
      </c>
      <c r="J70" s="54" t="s">
        <v>43</v>
      </c>
      <c r="K70" s="54" t="s">
        <v>43</v>
      </c>
      <c r="L70" s="54" t="s">
        <v>43</v>
      </c>
      <c r="M70" s="54" t="s">
        <v>5054</v>
      </c>
      <c r="N70" s="54" t="s">
        <v>5054</v>
      </c>
      <c r="O70" s="54" t="s">
        <v>43</v>
      </c>
      <c r="P70" s="54" t="s">
        <v>39</v>
      </c>
      <c r="Q70" s="54" t="s">
        <v>109</v>
      </c>
      <c r="R70" s="54" t="s">
        <v>109</v>
      </c>
      <c r="S70" s="54" t="s">
        <v>109</v>
      </c>
      <c r="T70" s="54" t="s">
        <v>44</v>
      </c>
      <c r="U70" s="54"/>
      <c r="X70" s="2"/>
      <c r="Y70" s="2"/>
      <c r="Z70" s="11"/>
      <c r="AA70" s="19"/>
      <c r="AB70" s="19"/>
      <c r="AG70" s="286"/>
    </row>
    <row r="71" spans="1:33" s="2" customFormat="1" ht="9" customHeight="1">
      <c r="A71" s="95" t="s">
        <v>688</v>
      </c>
      <c r="B71" s="238"/>
      <c r="C71" s="94" t="s">
        <v>5180</v>
      </c>
      <c r="D71" s="94" t="s">
        <v>5180</v>
      </c>
      <c r="E71" s="94" t="s">
        <v>5180</v>
      </c>
      <c r="F71" s="94" t="s">
        <v>5932</v>
      </c>
      <c r="G71" s="94" t="s">
        <v>5704</v>
      </c>
      <c r="H71" s="94" t="s">
        <v>5920</v>
      </c>
      <c r="I71" s="94" t="s">
        <v>4963</v>
      </c>
      <c r="J71" s="94" t="s">
        <v>4963</v>
      </c>
      <c r="K71" s="94" t="s">
        <v>4904</v>
      </c>
      <c r="L71" s="94" t="s">
        <v>6144</v>
      </c>
      <c r="M71" s="94" t="s">
        <v>6144</v>
      </c>
      <c r="N71" s="94" t="s">
        <v>6144</v>
      </c>
      <c r="O71" s="94" t="s">
        <v>6195</v>
      </c>
      <c r="P71" s="94" t="s">
        <v>39</v>
      </c>
      <c r="Q71" s="94" t="s">
        <v>5431</v>
      </c>
      <c r="R71" s="94" t="s">
        <v>5431</v>
      </c>
      <c r="S71" s="94" t="s">
        <v>5431</v>
      </c>
      <c r="T71" s="94" t="s">
        <v>5617</v>
      </c>
      <c r="U71" s="94"/>
      <c r="X71" s="14"/>
      <c r="Y71" s="14"/>
      <c r="Z71" s="14"/>
      <c r="AA71" s="117"/>
      <c r="AB71" s="14"/>
      <c r="AC71" s="19"/>
      <c r="AG71" s="239"/>
    </row>
    <row r="72" spans="1:33" s="14" customFormat="1" ht="30" customHeight="1">
      <c r="A72" s="53" t="s">
        <v>4834</v>
      </c>
      <c r="B72" s="212" t="s">
        <v>5264</v>
      </c>
      <c r="C72" s="54" t="s">
        <v>5055</v>
      </c>
      <c r="D72" s="54" t="s">
        <v>5055</v>
      </c>
      <c r="E72" s="54" t="s">
        <v>5055</v>
      </c>
      <c r="F72" s="54" t="s">
        <v>5055</v>
      </c>
      <c r="G72" s="54" t="s">
        <v>39</v>
      </c>
      <c r="H72" s="54" t="s">
        <v>5055</v>
      </c>
      <c r="I72" s="54" t="s">
        <v>41</v>
      </c>
      <c r="J72" s="54" t="s">
        <v>41</v>
      </c>
      <c r="K72" s="54" t="s">
        <v>41</v>
      </c>
      <c r="L72" s="54" t="s">
        <v>6231</v>
      </c>
      <c r="M72" s="54" t="s">
        <v>6231</v>
      </c>
      <c r="N72" s="54" t="s">
        <v>6231</v>
      </c>
      <c r="O72" s="54" t="s">
        <v>6231</v>
      </c>
      <c r="P72" s="54" t="s">
        <v>39</v>
      </c>
      <c r="Q72" s="54" t="s">
        <v>5055</v>
      </c>
      <c r="R72" s="54" t="s">
        <v>5055</v>
      </c>
      <c r="S72" s="54" t="s">
        <v>5055</v>
      </c>
      <c r="T72" s="54" t="s">
        <v>39</v>
      </c>
      <c r="U72" s="54"/>
      <c r="X72" s="19"/>
      <c r="Y72" s="20"/>
      <c r="Z72" s="11"/>
      <c r="AA72" s="19"/>
      <c r="AB72" s="19"/>
      <c r="AG72" s="286"/>
    </row>
    <row r="73" spans="1:33" s="2" customFormat="1" ht="9" customHeight="1">
      <c r="A73" s="95" t="s">
        <v>688</v>
      </c>
      <c r="B73" s="238"/>
      <c r="C73" s="94" t="s">
        <v>5180</v>
      </c>
      <c r="D73" s="94" t="s">
        <v>5180</v>
      </c>
      <c r="E73" s="94" t="s">
        <v>5180</v>
      </c>
      <c r="F73" s="94" t="s">
        <v>5932</v>
      </c>
      <c r="G73" s="94" t="s">
        <v>5704</v>
      </c>
      <c r="H73" s="94" t="s">
        <v>5920</v>
      </c>
      <c r="I73" s="94" t="s">
        <v>4963</v>
      </c>
      <c r="J73" s="94" t="s">
        <v>4963</v>
      </c>
      <c r="K73" s="94" t="s">
        <v>4904</v>
      </c>
      <c r="L73" s="94" t="s">
        <v>6144</v>
      </c>
      <c r="M73" s="94" t="s">
        <v>6144</v>
      </c>
      <c r="N73" s="94" t="s">
        <v>6144</v>
      </c>
      <c r="O73" s="94" t="s">
        <v>6195</v>
      </c>
      <c r="P73" s="94" t="s">
        <v>39</v>
      </c>
      <c r="Q73" s="94" t="s">
        <v>5431</v>
      </c>
      <c r="R73" s="94" t="s">
        <v>5431</v>
      </c>
      <c r="S73" s="94" t="s">
        <v>5431</v>
      </c>
      <c r="T73" s="94" t="s">
        <v>5617</v>
      </c>
      <c r="U73" s="94"/>
      <c r="X73" s="14"/>
      <c r="Y73" s="14"/>
      <c r="Z73" s="14"/>
      <c r="AA73" s="117"/>
      <c r="AB73" s="14"/>
      <c r="AC73" s="19"/>
      <c r="AG73" s="239"/>
    </row>
    <row r="74" spans="1:33" s="14" customFormat="1" ht="30" customHeight="1">
      <c r="A74" s="53" t="s">
        <v>4686</v>
      </c>
      <c r="B74" s="212"/>
      <c r="C74" s="54" t="s">
        <v>5448</v>
      </c>
      <c r="D74" s="54" t="s">
        <v>5448</v>
      </c>
      <c r="E74" s="54" t="s">
        <v>41</v>
      </c>
      <c r="F74" s="54" t="s">
        <v>41</v>
      </c>
      <c r="G74" s="54" t="s">
        <v>41</v>
      </c>
      <c r="H74" s="54" t="s">
        <v>5448</v>
      </c>
      <c r="I74" s="54" t="s">
        <v>41</v>
      </c>
      <c r="J74" s="54" t="s">
        <v>41</v>
      </c>
      <c r="K74" s="54" t="s">
        <v>39</v>
      </c>
      <c r="L74" s="54" t="s">
        <v>5448</v>
      </c>
      <c r="M74" s="54" t="s">
        <v>5448</v>
      </c>
      <c r="N74" s="54" t="s">
        <v>5448</v>
      </c>
      <c r="O74" s="54" t="s">
        <v>41</v>
      </c>
      <c r="P74" s="54" t="s">
        <v>39</v>
      </c>
      <c r="Q74" s="54" t="s">
        <v>5448</v>
      </c>
      <c r="R74" s="54" t="s">
        <v>5448</v>
      </c>
      <c r="S74" s="54" t="s">
        <v>5448</v>
      </c>
      <c r="T74" s="54" t="s">
        <v>39</v>
      </c>
      <c r="U74" s="54"/>
      <c r="X74" s="19"/>
      <c r="Y74" s="20"/>
      <c r="Z74" s="11"/>
      <c r="AA74" s="19"/>
      <c r="AB74" s="19"/>
      <c r="AG74" s="286"/>
    </row>
    <row r="75" spans="1:33" s="2" customFormat="1" ht="9" customHeight="1">
      <c r="A75" s="95" t="s">
        <v>688</v>
      </c>
      <c r="B75" s="238"/>
      <c r="C75" s="94" t="s">
        <v>5180</v>
      </c>
      <c r="D75" s="94" t="s">
        <v>5180</v>
      </c>
      <c r="E75" s="94" t="s">
        <v>5180</v>
      </c>
      <c r="F75" s="94" t="s">
        <v>5932</v>
      </c>
      <c r="G75" s="94" t="s">
        <v>5704</v>
      </c>
      <c r="H75" s="94" t="s">
        <v>5920</v>
      </c>
      <c r="I75" s="94" t="s">
        <v>4964</v>
      </c>
      <c r="J75" s="94" t="s">
        <v>4964</v>
      </c>
      <c r="K75" s="94" t="s">
        <v>4904</v>
      </c>
      <c r="L75" s="94" t="s">
        <v>6144</v>
      </c>
      <c r="M75" s="94" t="s">
        <v>6144</v>
      </c>
      <c r="N75" s="94" t="s">
        <v>6144</v>
      </c>
      <c r="O75" s="94" t="s">
        <v>6195</v>
      </c>
      <c r="P75" s="94" t="s">
        <v>39</v>
      </c>
      <c r="Q75" s="94" t="s">
        <v>5431</v>
      </c>
      <c r="R75" s="94" t="s">
        <v>5431</v>
      </c>
      <c r="S75" s="94" t="s">
        <v>5431</v>
      </c>
      <c r="T75" s="94" t="s">
        <v>5617</v>
      </c>
      <c r="U75" s="94"/>
      <c r="X75" s="14"/>
      <c r="Y75" s="14"/>
      <c r="Z75" s="14"/>
      <c r="AA75" s="117"/>
      <c r="AB75" s="14"/>
      <c r="AC75" s="19"/>
      <c r="AG75" s="239"/>
    </row>
    <row r="76" spans="1:33" s="14" customFormat="1" ht="30" customHeight="1">
      <c r="A76" s="53" t="s">
        <v>4688</v>
      </c>
      <c r="B76" s="212"/>
      <c r="C76" s="54" t="s">
        <v>5449</v>
      </c>
      <c r="D76" s="54" t="s">
        <v>5449</v>
      </c>
      <c r="E76" s="54" t="s">
        <v>5181</v>
      </c>
      <c r="F76" s="54" t="s">
        <v>5789</v>
      </c>
      <c r="G76" s="54" t="s">
        <v>5705</v>
      </c>
      <c r="H76" s="54" t="s">
        <v>5449</v>
      </c>
      <c r="I76" s="54" t="s">
        <v>39</v>
      </c>
      <c r="J76" s="54" t="s">
        <v>39</v>
      </c>
      <c r="K76" s="54" t="s">
        <v>39</v>
      </c>
      <c r="L76" s="54" t="s">
        <v>6274</v>
      </c>
      <c r="M76" s="54" t="s">
        <v>6274</v>
      </c>
      <c r="N76" s="54" t="s">
        <v>6274</v>
      </c>
      <c r="O76" s="54" t="s">
        <v>6275</v>
      </c>
      <c r="P76" s="54" t="s">
        <v>39</v>
      </c>
      <c r="Q76" s="54" t="s">
        <v>5450</v>
      </c>
      <c r="R76" s="54" t="s">
        <v>5450</v>
      </c>
      <c r="S76" s="54" t="s">
        <v>5450</v>
      </c>
      <c r="T76" s="54" t="s">
        <v>39</v>
      </c>
      <c r="U76" s="54"/>
      <c r="X76" s="19"/>
      <c r="Y76" s="20"/>
      <c r="Z76" s="11"/>
      <c r="AA76" s="19"/>
      <c r="AB76" s="19"/>
      <c r="AG76" s="286"/>
    </row>
    <row r="77" spans="1:33" s="2" customFormat="1" ht="9" customHeight="1">
      <c r="A77" s="95" t="s">
        <v>688</v>
      </c>
      <c r="B77" s="238"/>
      <c r="C77" s="94" t="s">
        <v>5180</v>
      </c>
      <c r="D77" s="94" t="s">
        <v>5180</v>
      </c>
      <c r="E77" s="94" t="s">
        <v>5180</v>
      </c>
      <c r="F77" s="94" t="s">
        <v>5932</v>
      </c>
      <c r="G77" s="94" t="s">
        <v>5704</v>
      </c>
      <c r="H77" s="94" t="s">
        <v>5920</v>
      </c>
      <c r="I77" s="94" t="s">
        <v>4966</v>
      </c>
      <c r="J77" s="94" t="s">
        <v>4966</v>
      </c>
      <c r="K77" s="94" t="s">
        <v>4904</v>
      </c>
      <c r="L77" s="94" t="s">
        <v>6144</v>
      </c>
      <c r="M77" s="94" t="s">
        <v>6144</v>
      </c>
      <c r="N77" s="94" t="s">
        <v>6144</v>
      </c>
      <c r="O77" s="94" t="s">
        <v>6195</v>
      </c>
      <c r="P77" s="94" t="s">
        <v>39</v>
      </c>
      <c r="Q77" s="94" t="s">
        <v>5431</v>
      </c>
      <c r="R77" s="94" t="s">
        <v>5431</v>
      </c>
      <c r="S77" s="94" t="s">
        <v>5431</v>
      </c>
      <c r="T77" s="94" t="s">
        <v>5617</v>
      </c>
      <c r="U77" s="94"/>
      <c r="X77" s="14"/>
      <c r="Y77" s="14"/>
      <c r="Z77" s="14"/>
      <c r="AA77" s="14"/>
      <c r="AB77" s="14"/>
      <c r="AC77" s="19"/>
      <c r="AG77" s="239"/>
    </row>
    <row r="78" spans="1:33" s="2" customFormat="1" ht="30" customHeight="1">
      <c r="A78" s="53" t="s">
        <v>5188</v>
      </c>
      <c r="B78" s="212" t="s">
        <v>5186</v>
      </c>
      <c r="C78" s="54" t="s">
        <v>5269</v>
      </c>
      <c r="D78" s="54" t="s">
        <v>5269</v>
      </c>
      <c r="E78" s="54" t="s">
        <v>78</v>
      </c>
      <c r="F78" s="54" t="s">
        <v>81</v>
      </c>
      <c r="G78" s="54" t="s">
        <v>81</v>
      </c>
      <c r="H78" s="54" t="s">
        <v>5923</v>
      </c>
      <c r="I78" s="54" t="s">
        <v>78</v>
      </c>
      <c r="J78" s="54" t="s">
        <v>78</v>
      </c>
      <c r="K78" s="54" t="s">
        <v>78</v>
      </c>
      <c r="L78" s="54" t="s">
        <v>78</v>
      </c>
      <c r="M78" s="54" t="s">
        <v>78</v>
      </c>
      <c r="N78" s="54" t="s">
        <v>78</v>
      </c>
      <c r="O78" s="54" t="s">
        <v>6278</v>
      </c>
      <c r="P78" s="54" t="s">
        <v>39</v>
      </c>
      <c r="Q78" s="54" t="s">
        <v>78</v>
      </c>
      <c r="R78" s="54" t="s">
        <v>81</v>
      </c>
      <c r="S78" s="54" t="s">
        <v>81</v>
      </c>
      <c r="T78" s="54" t="s">
        <v>78</v>
      </c>
      <c r="U78" s="54"/>
      <c r="X78" s="19"/>
      <c r="Y78" s="20"/>
      <c r="Z78" s="11"/>
      <c r="AA78" s="19"/>
      <c r="AB78" s="19"/>
      <c r="AG78" s="239"/>
    </row>
    <row r="79" spans="1:33" s="2" customFormat="1" ht="9" customHeight="1">
      <c r="A79" s="95" t="s">
        <v>688</v>
      </c>
      <c r="B79" s="238"/>
      <c r="C79" s="94" t="s">
        <v>5268</v>
      </c>
      <c r="D79" s="94" t="s">
        <v>5268</v>
      </c>
      <c r="E79" s="94" t="s">
        <v>5267</v>
      </c>
      <c r="F79" s="94" t="s">
        <v>5931</v>
      </c>
      <c r="G79" s="94" t="s">
        <v>5709</v>
      </c>
      <c r="H79" s="94" t="s">
        <v>5922</v>
      </c>
      <c r="I79" s="94" t="s">
        <v>4965</v>
      </c>
      <c r="J79" s="94" t="s">
        <v>4965</v>
      </c>
      <c r="K79" s="94" t="s">
        <v>4906</v>
      </c>
      <c r="L79" s="94" t="s">
        <v>6145</v>
      </c>
      <c r="M79" s="94" t="s">
        <v>6145</v>
      </c>
      <c r="N79" s="94" t="s">
        <v>6145</v>
      </c>
      <c r="O79" s="94" t="s">
        <v>6190</v>
      </c>
      <c r="P79" s="94" t="s">
        <v>39</v>
      </c>
      <c r="Q79" s="94" t="s">
        <v>5451</v>
      </c>
      <c r="R79" s="94" t="s">
        <v>5589</v>
      </c>
      <c r="S79" s="94" t="s">
        <v>5589</v>
      </c>
      <c r="T79" s="94" t="s">
        <v>5618</v>
      </c>
      <c r="U79" s="94"/>
      <c r="X79" s="14"/>
      <c r="Y79" s="14"/>
      <c r="Z79" s="14"/>
      <c r="AA79" s="117"/>
      <c r="AG79" s="239"/>
    </row>
    <row r="80" spans="1:33" s="14" customFormat="1" ht="30" customHeight="1">
      <c r="A80" s="53" t="s">
        <v>5189</v>
      </c>
      <c r="B80" s="227" t="s">
        <v>5187</v>
      </c>
      <c r="C80" s="54" t="s">
        <v>5452</v>
      </c>
      <c r="D80" s="54" t="s">
        <v>5452</v>
      </c>
      <c r="E80" s="54" t="s">
        <v>5452</v>
      </c>
      <c r="F80" s="54" t="s">
        <v>5682</v>
      </c>
      <c r="G80" s="54" t="s">
        <v>5682</v>
      </c>
      <c r="H80" s="54" t="s">
        <v>5682</v>
      </c>
      <c r="I80" s="73" t="s">
        <v>39</v>
      </c>
      <c r="J80" s="73" t="s">
        <v>39</v>
      </c>
      <c r="K80" s="73" t="s">
        <v>39</v>
      </c>
      <c r="L80" s="73" t="s">
        <v>41</v>
      </c>
      <c r="M80" s="73" t="s">
        <v>41</v>
      </c>
      <c r="N80" s="73" t="s">
        <v>41</v>
      </c>
      <c r="O80" s="73" t="s">
        <v>41</v>
      </c>
      <c r="P80" s="73" t="s">
        <v>39</v>
      </c>
      <c r="Q80" s="54" t="s">
        <v>5452</v>
      </c>
      <c r="R80" s="54" t="s">
        <v>5452</v>
      </c>
      <c r="S80" s="54" t="s">
        <v>5452</v>
      </c>
      <c r="T80" s="54" t="s">
        <v>39</v>
      </c>
      <c r="U80" s="73"/>
      <c r="X80" s="19"/>
      <c r="Y80" s="20"/>
      <c r="Z80" s="11"/>
      <c r="AA80" s="19"/>
      <c r="AB80" s="2"/>
      <c r="AG80" s="286"/>
    </row>
    <row r="81" spans="1:33" s="2" customFormat="1" ht="18" customHeight="1">
      <c r="A81" s="95"/>
      <c r="B81" s="238"/>
      <c r="C81" s="94" t="s">
        <v>5268</v>
      </c>
      <c r="D81" s="94" t="s">
        <v>5268</v>
      </c>
      <c r="E81" s="94" t="s">
        <v>5267</v>
      </c>
      <c r="F81" s="91" t="s">
        <v>5930</v>
      </c>
      <c r="G81" s="91" t="s">
        <v>5751</v>
      </c>
      <c r="H81" s="94" t="s">
        <v>5862</v>
      </c>
      <c r="I81" s="94" t="s">
        <v>4965</v>
      </c>
      <c r="J81" s="94" t="s">
        <v>4965</v>
      </c>
      <c r="K81" s="94" t="s">
        <v>4906</v>
      </c>
      <c r="L81" s="94" t="s">
        <v>6145</v>
      </c>
      <c r="M81" s="94" t="s">
        <v>6145</v>
      </c>
      <c r="N81" s="94" t="s">
        <v>6145</v>
      </c>
      <c r="O81" s="94" t="s">
        <v>6190</v>
      </c>
      <c r="P81" s="94" t="s">
        <v>39</v>
      </c>
      <c r="Q81" s="94" t="s">
        <v>5451</v>
      </c>
      <c r="R81" s="94" t="s">
        <v>5451</v>
      </c>
      <c r="S81" s="94" t="s">
        <v>5451</v>
      </c>
      <c r="T81" s="94" t="s">
        <v>5618</v>
      </c>
      <c r="U81" s="94"/>
      <c r="X81" s="14"/>
      <c r="Y81" s="14"/>
      <c r="Z81" s="14"/>
      <c r="AA81" s="14"/>
      <c r="AB81" s="14"/>
      <c r="AG81" s="239"/>
    </row>
    <row r="82" spans="1:33" s="14" customFormat="1" ht="39.950000000000003" customHeight="1">
      <c r="A82" s="53" t="s">
        <v>5212</v>
      </c>
      <c r="B82" s="212"/>
      <c r="C82" s="54" t="s">
        <v>5706</v>
      </c>
      <c r="D82" s="54" t="s">
        <v>5706</v>
      </c>
      <c r="E82" s="54" t="s">
        <v>5706</v>
      </c>
      <c r="F82" s="54" t="s">
        <v>5706</v>
      </c>
      <c r="G82" s="54" t="s">
        <v>5707</v>
      </c>
      <c r="H82" s="54" t="s">
        <v>5706</v>
      </c>
      <c r="I82" s="54" t="s">
        <v>39</v>
      </c>
      <c r="J82" s="54" t="s">
        <v>39</v>
      </c>
      <c r="K82" s="54" t="s">
        <v>39</v>
      </c>
      <c r="L82" s="54" t="s">
        <v>6277</v>
      </c>
      <c r="M82" s="54" t="s">
        <v>6277</v>
      </c>
      <c r="N82" s="54" t="s">
        <v>6277</v>
      </c>
      <c r="O82" s="54" t="s">
        <v>39</v>
      </c>
      <c r="P82" s="54" t="s">
        <v>39</v>
      </c>
      <c r="Q82" s="54" t="s">
        <v>5463</v>
      </c>
      <c r="R82" s="54" t="s">
        <v>5584</v>
      </c>
      <c r="S82" s="54" t="s">
        <v>5584</v>
      </c>
      <c r="T82" s="54" t="s">
        <v>39</v>
      </c>
      <c r="U82" s="54"/>
      <c r="X82" s="19"/>
      <c r="Y82" s="20"/>
      <c r="Z82" s="11"/>
      <c r="AA82" s="19"/>
      <c r="AB82" s="2"/>
      <c r="AG82" s="286"/>
    </row>
    <row r="83" spans="1:33" s="2" customFormat="1" ht="9" customHeight="1">
      <c r="A83" s="95" t="s">
        <v>688</v>
      </c>
      <c r="B83" s="238"/>
      <c r="C83" s="94" t="s">
        <v>5267</v>
      </c>
      <c r="D83" s="94" t="s">
        <v>5267</v>
      </c>
      <c r="E83" s="94" t="s">
        <v>5211</v>
      </c>
      <c r="F83" s="94" t="s">
        <v>5929</v>
      </c>
      <c r="G83" s="94" t="s">
        <v>5708</v>
      </c>
      <c r="H83" s="94" t="s">
        <v>5921</v>
      </c>
      <c r="I83" s="94" t="s">
        <v>5060</v>
      </c>
      <c r="J83" s="94" t="s">
        <v>5060</v>
      </c>
      <c r="K83" s="94" t="s">
        <v>5059</v>
      </c>
      <c r="L83" s="94" t="s">
        <v>6190</v>
      </c>
      <c r="M83" s="94" t="s">
        <v>6190</v>
      </c>
      <c r="N83" s="94" t="s">
        <v>6190</v>
      </c>
      <c r="O83" s="94" t="s">
        <v>6144</v>
      </c>
      <c r="P83" s="94" t="s">
        <v>39</v>
      </c>
      <c r="Q83" s="94" t="s">
        <v>5585</v>
      </c>
      <c r="R83" s="94" t="s">
        <v>5586</v>
      </c>
      <c r="S83" s="94" t="s">
        <v>5586</v>
      </c>
      <c r="T83" s="94" t="s">
        <v>5619</v>
      </c>
      <c r="U83" s="94"/>
      <c r="X83" s="14"/>
      <c r="Y83" s="14"/>
      <c r="Z83" s="14"/>
      <c r="AA83" s="14"/>
      <c r="AB83" s="14"/>
      <c r="AC83" s="19"/>
      <c r="AG83" s="239"/>
    </row>
    <row r="84" spans="1:33" s="14" customFormat="1" ht="39" customHeight="1">
      <c r="A84" s="53" t="s">
        <v>5790</v>
      </c>
      <c r="B84" s="212"/>
      <c r="C84" s="54" t="s">
        <v>4968</v>
      </c>
      <c r="D84" s="54" t="s">
        <v>4968</v>
      </c>
      <c r="E84" s="54" t="s">
        <v>4968</v>
      </c>
      <c r="F84" s="54" t="s">
        <v>4968</v>
      </c>
      <c r="G84" s="54" t="s">
        <v>41</v>
      </c>
      <c r="H84" s="54" t="s">
        <v>4968</v>
      </c>
      <c r="I84" s="54" t="s">
        <v>4968</v>
      </c>
      <c r="J84" s="54" t="s">
        <v>4968</v>
      </c>
      <c r="K84" s="54" t="s">
        <v>4293</v>
      </c>
      <c r="L84" s="54" t="s">
        <v>6196</v>
      </c>
      <c r="M84" s="54" t="s">
        <v>6196</v>
      </c>
      <c r="N84" s="54" t="s">
        <v>6196</v>
      </c>
      <c r="O84" s="54" t="s">
        <v>6196</v>
      </c>
      <c r="P84" s="54" t="s">
        <v>39</v>
      </c>
      <c r="Q84" s="54" t="s">
        <v>4968</v>
      </c>
      <c r="R84" s="54" t="s">
        <v>4968</v>
      </c>
      <c r="S84" s="54" t="s">
        <v>4968</v>
      </c>
      <c r="T84" s="133" t="s">
        <v>5621</v>
      </c>
      <c r="U84" s="54"/>
      <c r="X84" s="19"/>
      <c r="Y84" s="20"/>
      <c r="Z84" s="11"/>
      <c r="AA84" s="19"/>
      <c r="AB84" s="19"/>
      <c r="AG84" s="286"/>
    </row>
    <row r="85" spans="1:33" s="2" customFormat="1" ht="9" customHeight="1">
      <c r="A85" s="95" t="s">
        <v>688</v>
      </c>
      <c r="B85" s="238"/>
      <c r="C85" s="94" t="s">
        <v>5207</v>
      </c>
      <c r="D85" s="94" t="s">
        <v>5207</v>
      </c>
      <c r="E85" s="94" t="s">
        <v>5207</v>
      </c>
      <c r="F85" s="94" t="s">
        <v>5927</v>
      </c>
      <c r="G85" s="94" t="s">
        <v>5712</v>
      </c>
      <c r="H85" s="94" t="s">
        <v>5926</v>
      </c>
      <c r="I85" s="94" t="s">
        <v>4969</v>
      </c>
      <c r="J85" s="94" t="s">
        <v>4969</v>
      </c>
      <c r="K85" s="94" t="s">
        <v>4908</v>
      </c>
      <c r="L85" s="94" t="s">
        <v>6147</v>
      </c>
      <c r="M85" s="94" t="s">
        <v>6147</v>
      </c>
      <c r="N85" s="94" t="s">
        <v>6147</v>
      </c>
      <c r="O85" s="94" t="s">
        <v>6146</v>
      </c>
      <c r="P85" s="94" t="s">
        <v>39</v>
      </c>
      <c r="Q85" s="91" t="s">
        <v>5529</v>
      </c>
      <c r="R85" s="91" t="s">
        <v>5529</v>
      </c>
      <c r="S85" s="91" t="s">
        <v>5529</v>
      </c>
      <c r="T85" s="94" t="s">
        <v>5622</v>
      </c>
      <c r="U85" s="94"/>
      <c r="X85" s="14"/>
      <c r="Y85" s="14"/>
      <c r="AA85" s="14"/>
      <c r="AB85" s="14"/>
      <c r="AC85" s="19"/>
      <c r="AG85" s="239"/>
    </row>
    <row r="86" spans="1:33" s="2" customFormat="1" ht="30" customHeight="1">
      <c r="A86" s="53" t="s">
        <v>6232</v>
      </c>
      <c r="B86" s="211" t="s">
        <v>5209</v>
      </c>
      <c r="C86" s="48" t="s">
        <v>5453</v>
      </c>
      <c r="D86" s="48" t="s">
        <v>5453</v>
      </c>
      <c r="E86" s="48" t="s">
        <v>5453</v>
      </c>
      <c r="F86" s="48" t="s">
        <v>5710</v>
      </c>
      <c r="G86" s="48" t="s">
        <v>5710</v>
      </c>
      <c r="H86" s="48" t="s">
        <v>5453</v>
      </c>
      <c r="I86" s="48" t="s">
        <v>41</v>
      </c>
      <c r="J86" s="48" t="s">
        <v>41</v>
      </c>
      <c r="K86" s="48" t="s">
        <v>41</v>
      </c>
      <c r="L86" s="48" t="s">
        <v>5453</v>
      </c>
      <c r="M86" s="48" t="s">
        <v>5453</v>
      </c>
      <c r="N86" s="48" t="s">
        <v>5453</v>
      </c>
      <c r="O86" s="48" t="s">
        <v>5453</v>
      </c>
      <c r="P86" s="48" t="s">
        <v>39</v>
      </c>
      <c r="Q86" s="48" t="s">
        <v>5605</v>
      </c>
      <c r="R86" s="48" t="s">
        <v>5605</v>
      </c>
      <c r="S86" s="48" t="s">
        <v>5605</v>
      </c>
      <c r="T86" s="48" t="s">
        <v>5455</v>
      </c>
      <c r="U86" s="203"/>
      <c r="X86" s="19"/>
      <c r="Y86" s="20"/>
      <c r="AA86" s="19"/>
      <c r="AB86" s="19"/>
      <c r="AC86" s="19"/>
      <c r="AG86" s="239"/>
    </row>
    <row r="87" spans="1:33" s="2" customFormat="1" ht="18" customHeight="1">
      <c r="A87" s="95" t="s">
        <v>688</v>
      </c>
      <c r="B87" s="238"/>
      <c r="C87" s="94" t="s">
        <v>5208</v>
      </c>
      <c r="D87" s="94" t="s">
        <v>5208</v>
      </c>
      <c r="E87" s="94" t="s">
        <v>5208</v>
      </c>
      <c r="F87" s="94" t="s">
        <v>5928</v>
      </c>
      <c r="G87" s="94" t="s">
        <v>5711</v>
      </c>
      <c r="H87" s="94" t="s">
        <v>5924</v>
      </c>
      <c r="I87" s="91" t="s">
        <v>4967</v>
      </c>
      <c r="J87" s="91" t="s">
        <v>4967</v>
      </c>
      <c r="K87" s="91" t="s">
        <v>4907</v>
      </c>
      <c r="L87" s="91" t="s">
        <v>6146</v>
      </c>
      <c r="M87" s="91" t="s">
        <v>6146</v>
      </c>
      <c r="N87" s="91" t="s">
        <v>6146</v>
      </c>
      <c r="O87" s="91" t="s">
        <v>6145</v>
      </c>
      <c r="P87" s="91" t="s">
        <v>39</v>
      </c>
      <c r="Q87" s="91" t="s">
        <v>5606</v>
      </c>
      <c r="R87" s="91" t="s">
        <v>5606</v>
      </c>
      <c r="S87" s="91" t="s">
        <v>5606</v>
      </c>
      <c r="T87" s="94" t="s">
        <v>5620</v>
      </c>
      <c r="U87" s="95"/>
      <c r="Z87" s="14"/>
      <c r="AA87" s="117"/>
      <c r="AB87" s="19"/>
      <c r="AC87" s="19"/>
      <c r="AG87" s="239"/>
    </row>
    <row r="88" spans="1:33" s="2" customFormat="1" ht="30" customHeight="1">
      <c r="A88" s="53" t="s">
        <v>5210</v>
      </c>
      <c r="B88" s="211"/>
      <c r="C88" s="48" t="s">
        <v>5925</v>
      </c>
      <c r="D88" s="48" t="s">
        <v>5925</v>
      </c>
      <c r="E88" s="48" t="s">
        <v>5925</v>
      </c>
      <c r="F88" s="54" t="s">
        <v>39</v>
      </c>
      <c r="G88" s="54" t="s">
        <v>39</v>
      </c>
      <c r="H88" s="48" t="s">
        <v>5925</v>
      </c>
      <c r="I88" s="48" t="s">
        <v>39</v>
      </c>
      <c r="J88" s="48" t="s">
        <v>39</v>
      </c>
      <c r="K88" s="48" t="s">
        <v>39</v>
      </c>
      <c r="L88" s="48" t="s">
        <v>6279</v>
      </c>
      <c r="M88" s="48" t="s">
        <v>6279</v>
      </c>
      <c r="N88" s="48" t="s">
        <v>6279</v>
      </c>
      <c r="O88" s="48" t="s">
        <v>39</v>
      </c>
      <c r="P88" s="48" t="s">
        <v>39</v>
      </c>
      <c r="Q88" s="48" t="s">
        <v>41</v>
      </c>
      <c r="R88" s="48" t="s">
        <v>41</v>
      </c>
      <c r="S88" s="48" t="s">
        <v>41</v>
      </c>
      <c r="T88" s="48" t="s">
        <v>41</v>
      </c>
      <c r="U88" s="203"/>
      <c r="Z88" s="11"/>
      <c r="AA88" s="19"/>
      <c r="AB88" s="19"/>
      <c r="AC88" s="19"/>
      <c r="AG88" s="239"/>
    </row>
    <row r="89" spans="1:33" s="2" customFormat="1" ht="9" customHeight="1">
      <c r="A89" s="95" t="s">
        <v>688</v>
      </c>
      <c r="B89" s="238"/>
      <c r="C89" s="94" t="s">
        <v>5208</v>
      </c>
      <c r="D89" s="94" t="s">
        <v>5208</v>
      </c>
      <c r="E89" s="94" t="s">
        <v>5208</v>
      </c>
      <c r="F89" s="94" t="s">
        <v>5713</v>
      </c>
      <c r="G89" s="94" t="s">
        <v>5713</v>
      </c>
      <c r="H89" s="94" t="s">
        <v>5924</v>
      </c>
      <c r="I89" s="91" t="s">
        <v>4967</v>
      </c>
      <c r="J89" s="91" t="s">
        <v>4967</v>
      </c>
      <c r="K89" s="91" t="s">
        <v>4907</v>
      </c>
      <c r="L89" s="91" t="s">
        <v>6146</v>
      </c>
      <c r="M89" s="91" t="s">
        <v>6146</v>
      </c>
      <c r="N89" s="91" t="s">
        <v>6146</v>
      </c>
      <c r="O89" s="91" t="s">
        <v>6145</v>
      </c>
      <c r="P89" s="91" t="s">
        <v>39</v>
      </c>
      <c r="Q89" s="91" t="s">
        <v>5530</v>
      </c>
      <c r="R89" s="91" t="s">
        <v>5530</v>
      </c>
      <c r="S89" s="91" t="s">
        <v>5530</v>
      </c>
      <c r="T89" s="94" t="s">
        <v>5620</v>
      </c>
      <c r="U89" s="91"/>
      <c r="X89" s="14"/>
      <c r="Y89" s="14"/>
      <c r="Z89" s="14"/>
      <c r="AA89" s="14"/>
      <c r="AB89" s="19"/>
      <c r="AC89" s="19"/>
      <c r="AG89" s="239"/>
    </row>
    <row r="90" spans="1:33" s="14" customFormat="1" ht="22.5" customHeight="1">
      <c r="A90" s="11"/>
      <c r="B90" s="239"/>
      <c r="C90" s="204"/>
      <c r="D90" s="246"/>
      <c r="E90" s="204"/>
      <c r="F90" s="246"/>
      <c r="G90" s="246"/>
      <c r="H90" s="246"/>
      <c r="I90" s="204"/>
      <c r="J90" s="204"/>
      <c r="K90" s="204"/>
      <c r="L90" s="246"/>
      <c r="M90" s="246"/>
      <c r="N90" s="246"/>
      <c r="O90" s="246"/>
      <c r="P90" s="246"/>
      <c r="Q90" s="246"/>
      <c r="R90"/>
      <c r="S90"/>
      <c r="T90" s="246"/>
      <c r="U90" s="204"/>
      <c r="X90" s="19"/>
      <c r="Y90" s="20"/>
      <c r="Z90"/>
      <c r="AA90" s="19"/>
      <c r="AB90" s="19"/>
      <c r="AG90" s="286"/>
    </row>
    <row r="91" spans="1:33" s="2" customFormat="1" ht="20.100000000000001" customHeight="1">
      <c r="A91" s="176" t="s">
        <v>6243</v>
      </c>
      <c r="B91" s="202" t="str">
        <f t="shared" ref="B91:T91" si="3">B11</f>
        <v>Erläuterungen</v>
      </c>
      <c r="C91" s="202" t="str">
        <f t="shared" si="3"/>
        <v>Baloise Gold</v>
      </c>
      <c r="D91" s="202" t="str">
        <f t="shared" si="3"/>
        <v>Baloise Gold 100</v>
      </c>
      <c r="E91" s="202" t="str">
        <f t="shared" si="3"/>
        <v>Baloise Silber</v>
      </c>
      <c r="F91" s="202" t="str">
        <f t="shared" si="3"/>
        <v>HK Einfach Besser</v>
      </c>
      <c r="G91" s="202" t="str">
        <f t="shared" si="3"/>
        <v>HK Einfach Gut</v>
      </c>
      <c r="H91" s="202" t="str">
        <f t="shared" si="3"/>
        <v>HK Einfach Komplett</v>
      </c>
      <c r="I91" s="202" t="str">
        <f t="shared" si="3"/>
        <v>Interlloyd Premium</v>
      </c>
      <c r="J91" s="202" t="str">
        <f t="shared" si="3"/>
        <v>Interlloyd Premium HB</v>
      </c>
      <c r="K91" s="202" t="str">
        <f t="shared" si="3"/>
        <v>Interllyod Protect UR</v>
      </c>
      <c r="L91" s="202" t="str">
        <f t="shared" si="3"/>
        <v xml:space="preserve">ITL Eurosecure Plus </v>
      </c>
      <c r="M91" s="202" t="str">
        <f t="shared" si="3"/>
        <v>ITL Infinitus</v>
      </c>
      <c r="N91" s="202" t="str">
        <f t="shared" si="3"/>
        <v>ITL Infinitus HB</v>
      </c>
      <c r="O91" s="202" t="str">
        <f t="shared" si="3"/>
        <v>ITL Protect Plus</v>
      </c>
      <c r="P91" s="202" t="str">
        <f t="shared" si="3"/>
        <v>keine</v>
      </c>
      <c r="Q91" s="202" t="str">
        <f t="shared" si="3"/>
        <v>VHV Klassik Garant</v>
      </c>
      <c r="R91" s="202" t="str">
        <f t="shared" si="3"/>
        <v>VHV Klassik Garant Exklusiv</v>
      </c>
      <c r="S91" s="202" t="str">
        <f t="shared" si="3"/>
        <v>VHV Klassik Garant Exklusiv HB</v>
      </c>
      <c r="T91" s="202" t="str">
        <f t="shared" si="3"/>
        <v>VHV Smart</v>
      </c>
      <c r="U91" s="202"/>
      <c r="X91" s="14"/>
      <c r="Y91" s="14"/>
      <c r="Z91" s="14"/>
      <c r="AB91" s="14"/>
      <c r="AG91" s="239"/>
    </row>
    <row r="92" spans="1:33" s="14" customFormat="1" ht="39.950000000000003" customHeight="1">
      <c r="A92" s="53" t="s">
        <v>4995</v>
      </c>
      <c r="B92" s="212" t="s">
        <v>5077</v>
      </c>
      <c r="C92" s="116" t="s">
        <v>6040</v>
      </c>
      <c r="D92" s="116" t="s">
        <v>6040</v>
      </c>
      <c r="E92" s="116" t="s">
        <v>5224</v>
      </c>
      <c r="F92" s="116" t="s">
        <v>5770</v>
      </c>
      <c r="G92" s="116" t="s">
        <v>5698</v>
      </c>
      <c r="H92" s="116" t="s">
        <v>5904</v>
      </c>
      <c r="I92" s="116" t="s">
        <v>5076</v>
      </c>
      <c r="J92" s="116" t="s">
        <v>5076</v>
      </c>
      <c r="K92" s="116" t="s">
        <v>5075</v>
      </c>
      <c r="L92" s="116" t="s">
        <v>6295</v>
      </c>
      <c r="M92" s="116" t="s">
        <v>6312</v>
      </c>
      <c r="N92" s="116" t="s">
        <v>6312</v>
      </c>
      <c r="O92" s="116" t="s">
        <v>6296</v>
      </c>
      <c r="P92" s="116" t="s">
        <v>39</v>
      </c>
      <c r="Q92" s="116" t="s">
        <v>5488</v>
      </c>
      <c r="R92" s="116" t="s">
        <v>5564</v>
      </c>
      <c r="S92" s="116" t="s">
        <v>5564</v>
      </c>
      <c r="T92" s="116" t="s">
        <v>5624</v>
      </c>
      <c r="U92" s="54"/>
      <c r="X92"/>
      <c r="Y92"/>
      <c r="Z92" s="11"/>
      <c r="AA92" s="2"/>
      <c r="AB92" s="2"/>
      <c r="AG92" s="286"/>
    </row>
    <row r="93" spans="1:33" s="2" customFormat="1" ht="9" customHeight="1">
      <c r="A93" s="95" t="s">
        <v>688</v>
      </c>
      <c r="B93" s="238"/>
      <c r="C93" s="94" t="s">
        <v>5225</v>
      </c>
      <c r="D93" s="94" t="s">
        <v>5225</v>
      </c>
      <c r="E93" s="94" t="s">
        <v>5225</v>
      </c>
      <c r="F93" s="94" t="s">
        <v>5771</v>
      </c>
      <c r="G93" s="94" t="s">
        <v>5772</v>
      </c>
      <c r="H93" s="94" t="s">
        <v>5905</v>
      </c>
      <c r="I93" s="94" t="s">
        <v>4988</v>
      </c>
      <c r="J93" s="94" t="s">
        <v>4988</v>
      </c>
      <c r="K93" s="94" t="s">
        <v>4927</v>
      </c>
      <c r="L93" s="94" t="s">
        <v>6290</v>
      </c>
      <c r="M93" s="94" t="s">
        <v>6290</v>
      </c>
      <c r="N93" s="94" t="s">
        <v>6290</v>
      </c>
      <c r="O93" s="94" t="s">
        <v>6248</v>
      </c>
      <c r="P93" s="94" t="s">
        <v>39</v>
      </c>
      <c r="Q93" s="94" t="s">
        <v>5489</v>
      </c>
      <c r="R93" s="94" t="s">
        <v>5568</v>
      </c>
      <c r="S93" s="94" t="s">
        <v>5568</v>
      </c>
      <c r="T93" s="94" t="s">
        <v>5623</v>
      </c>
      <c r="U93" s="94"/>
      <c r="X93" s="14"/>
      <c r="Y93" s="14"/>
      <c r="Z93" s="14"/>
      <c r="AA93" s="14"/>
      <c r="AB93" s="14"/>
      <c r="AC93" s="19"/>
      <c r="AG93" s="239"/>
    </row>
    <row r="94" spans="1:33" s="117" customFormat="1" ht="30" customHeight="1">
      <c r="A94" s="53" t="s">
        <v>6058</v>
      </c>
      <c r="B94" s="212" t="s">
        <v>6054</v>
      </c>
      <c r="C94" s="116" t="s">
        <v>6055</v>
      </c>
      <c r="D94" s="116" t="s">
        <v>6055</v>
      </c>
      <c r="E94" s="116" t="s">
        <v>6053</v>
      </c>
      <c r="F94" s="116" t="s">
        <v>6056</v>
      </c>
      <c r="G94" s="116" t="s">
        <v>41</v>
      </c>
      <c r="H94" s="116" t="s">
        <v>6056</v>
      </c>
      <c r="I94" s="116" t="s">
        <v>41</v>
      </c>
      <c r="J94" s="116" t="s">
        <v>41</v>
      </c>
      <c r="K94" s="116" t="s">
        <v>39</v>
      </c>
      <c r="L94" s="116" t="s">
        <v>6244</v>
      </c>
      <c r="M94" s="116" t="s">
        <v>6311</v>
      </c>
      <c r="N94" s="116" t="s">
        <v>6311</v>
      </c>
      <c r="O94" s="116" t="s">
        <v>6244</v>
      </c>
      <c r="P94" s="116" t="s">
        <v>39</v>
      </c>
      <c r="Q94" s="116" t="s">
        <v>6057</v>
      </c>
      <c r="R94" s="116" t="s">
        <v>6057</v>
      </c>
      <c r="S94" s="116" t="s">
        <v>6057</v>
      </c>
      <c r="T94" s="116" t="s">
        <v>41</v>
      </c>
      <c r="U94" s="54"/>
      <c r="X94" s="19"/>
      <c r="Y94" s="20"/>
      <c r="Z94" s="11"/>
      <c r="AA94" s="19"/>
      <c r="AB94" s="19"/>
      <c r="AG94" s="153"/>
    </row>
    <row r="95" spans="1:33" s="2" customFormat="1" ht="9" customHeight="1">
      <c r="A95" s="95" t="s">
        <v>688</v>
      </c>
      <c r="B95" s="238"/>
      <c r="C95" s="94" t="s">
        <v>5227</v>
      </c>
      <c r="D95" s="94" t="s">
        <v>5227</v>
      </c>
      <c r="E95" s="94" t="s">
        <v>5227</v>
      </c>
      <c r="F95" s="94" t="s">
        <v>5769</v>
      </c>
      <c r="G95" s="94" t="s">
        <v>5227</v>
      </c>
      <c r="H95" s="94" t="s">
        <v>5891</v>
      </c>
      <c r="I95" s="94" t="s">
        <v>4987</v>
      </c>
      <c r="J95" s="94" t="s">
        <v>4987</v>
      </c>
      <c r="K95" s="94" t="s">
        <v>39</v>
      </c>
      <c r="L95" s="94" t="s">
        <v>6171</v>
      </c>
      <c r="M95" s="94" t="s">
        <v>6171</v>
      </c>
      <c r="N95" s="94" t="s">
        <v>6171</v>
      </c>
      <c r="O95" s="94" t="s">
        <v>6207</v>
      </c>
      <c r="P95" s="94" t="s">
        <v>39</v>
      </c>
      <c r="Q95" s="94" t="s">
        <v>5490</v>
      </c>
      <c r="R95" s="94" t="s">
        <v>5567</v>
      </c>
      <c r="S95" s="94" t="s">
        <v>5567</v>
      </c>
      <c r="T95" s="94" t="s">
        <v>5623</v>
      </c>
      <c r="U95" s="94"/>
      <c r="X95" s="14"/>
      <c r="Y95" s="14"/>
      <c r="Z95" s="14"/>
      <c r="AA95" s="14"/>
      <c r="AB95" s="117"/>
      <c r="AC95" s="19"/>
      <c r="AG95" s="239"/>
    </row>
    <row r="96" spans="1:33" s="117" customFormat="1" ht="30" customHeight="1">
      <c r="A96" s="53" t="s">
        <v>74</v>
      </c>
      <c r="B96" s="212" t="s">
        <v>4897</v>
      </c>
      <c r="C96" s="116" t="s">
        <v>5271</v>
      </c>
      <c r="D96" s="116" t="s">
        <v>5271</v>
      </c>
      <c r="E96" s="116"/>
      <c r="F96" s="116" t="s">
        <v>5702</v>
      </c>
      <c r="G96" s="116" t="s">
        <v>5702</v>
      </c>
      <c r="H96" s="116" t="s">
        <v>5902</v>
      </c>
      <c r="I96" s="116" t="s">
        <v>5039</v>
      </c>
      <c r="J96" s="116" t="s">
        <v>5039</v>
      </c>
      <c r="K96" s="116" t="s">
        <v>4898</v>
      </c>
      <c r="L96" s="116" t="s">
        <v>5080</v>
      </c>
      <c r="M96" s="116" t="s">
        <v>5080</v>
      </c>
      <c r="N96" s="116" t="s">
        <v>5080</v>
      </c>
      <c r="O96" s="116" t="s">
        <v>39</v>
      </c>
      <c r="P96" s="116" t="s">
        <v>39</v>
      </c>
      <c r="Q96" s="116" t="s">
        <v>5518</v>
      </c>
      <c r="R96" s="116" t="s">
        <v>5518</v>
      </c>
      <c r="S96" s="116" t="s">
        <v>5518</v>
      </c>
      <c r="T96" s="116" t="s">
        <v>39</v>
      </c>
      <c r="U96" s="54"/>
      <c r="X96" s="19"/>
      <c r="Y96" s="20"/>
      <c r="Z96" s="11"/>
      <c r="AA96" s="19"/>
      <c r="AB96" s="19"/>
      <c r="AG96" s="153"/>
    </row>
    <row r="97" spans="1:33" s="2" customFormat="1" ht="9" customHeight="1">
      <c r="A97" s="95" t="s">
        <v>688</v>
      </c>
      <c r="B97" s="238"/>
      <c r="C97" s="94" t="s">
        <v>5270</v>
      </c>
      <c r="D97" s="94" t="s">
        <v>5270</v>
      </c>
      <c r="E97" s="94"/>
      <c r="F97" s="94" t="s">
        <v>5785</v>
      </c>
      <c r="G97" s="94" t="s">
        <v>5786</v>
      </c>
      <c r="H97" s="94" t="s">
        <v>5903</v>
      </c>
      <c r="I97" s="94" t="s">
        <v>5038</v>
      </c>
      <c r="J97" s="94" t="s">
        <v>5038</v>
      </c>
      <c r="K97" s="94" t="s">
        <v>4928</v>
      </c>
      <c r="L97" s="94" t="s">
        <v>6185</v>
      </c>
      <c r="M97" s="94" t="s">
        <v>6174</v>
      </c>
      <c r="N97" s="94" t="s">
        <v>6174</v>
      </c>
      <c r="O97" s="94" t="s">
        <v>39</v>
      </c>
      <c r="P97" s="94" t="s">
        <v>39</v>
      </c>
      <c r="Q97" s="94" t="s">
        <v>5517</v>
      </c>
      <c r="R97" s="94" t="s">
        <v>5517</v>
      </c>
      <c r="S97" s="94" t="s">
        <v>5517</v>
      </c>
      <c r="T97" s="94" t="s">
        <v>39</v>
      </c>
      <c r="U97" s="94"/>
      <c r="X97" s="14"/>
      <c r="Y97" s="14"/>
      <c r="Z97" s="11"/>
      <c r="AA97" s="117"/>
      <c r="AB97" s="117"/>
      <c r="AC97" s="19"/>
      <c r="AG97" s="239"/>
    </row>
    <row r="98" spans="1:33" s="117" customFormat="1" ht="30" customHeight="1">
      <c r="A98" s="53" t="s">
        <v>66</v>
      </c>
      <c r="B98" s="212" t="s">
        <v>5078</v>
      </c>
      <c r="C98" s="54" t="s">
        <v>5272</v>
      </c>
      <c r="D98" s="54" t="s">
        <v>5272</v>
      </c>
      <c r="E98" s="54"/>
      <c r="F98" s="54" t="s">
        <v>5787</v>
      </c>
      <c r="G98" s="54" t="s">
        <v>5701</v>
      </c>
      <c r="H98" s="54" t="s">
        <v>5901</v>
      </c>
      <c r="I98" s="116" t="s">
        <v>5079</v>
      </c>
      <c r="J98" s="116" t="s">
        <v>5079</v>
      </c>
      <c r="K98" s="54" t="s">
        <v>39</v>
      </c>
      <c r="L98" s="116" t="s">
        <v>6297</v>
      </c>
      <c r="M98" s="116" t="s">
        <v>6297</v>
      </c>
      <c r="N98" s="116" t="s">
        <v>6297</v>
      </c>
      <c r="O98" s="54" t="s">
        <v>39</v>
      </c>
      <c r="P98" s="116" t="s">
        <v>39</v>
      </c>
      <c r="Q98" s="54" t="s">
        <v>5515</v>
      </c>
      <c r="R98" s="54" t="s">
        <v>5515</v>
      </c>
      <c r="S98" s="54" t="s">
        <v>5515</v>
      </c>
      <c r="T98" s="116" t="s">
        <v>39</v>
      </c>
      <c r="U98" s="54"/>
      <c r="X98" s="19"/>
      <c r="Y98" s="20"/>
      <c r="Z98" s="11"/>
      <c r="AA98" s="19"/>
      <c r="AB98" s="19"/>
      <c r="AG98" s="153"/>
    </row>
    <row r="99" spans="1:33" s="2" customFormat="1" ht="9" customHeight="1">
      <c r="A99" s="95" t="s">
        <v>688</v>
      </c>
      <c r="B99" s="238"/>
      <c r="C99" s="94" t="s">
        <v>5270</v>
      </c>
      <c r="D99" s="94" t="s">
        <v>5270</v>
      </c>
      <c r="E99" s="94"/>
      <c r="F99" s="94" t="s">
        <v>5785</v>
      </c>
      <c r="G99" s="94" t="s">
        <v>5786</v>
      </c>
      <c r="H99" s="94" t="s">
        <v>5900</v>
      </c>
      <c r="I99" s="94" t="s">
        <v>5038</v>
      </c>
      <c r="J99" s="94" t="s">
        <v>5038</v>
      </c>
      <c r="K99" s="94" t="s">
        <v>39</v>
      </c>
      <c r="L99" s="94" t="s">
        <v>6174</v>
      </c>
      <c r="M99" s="94" t="s">
        <v>6174</v>
      </c>
      <c r="N99" s="94" t="s">
        <v>6174</v>
      </c>
      <c r="O99" s="94" t="s">
        <v>39</v>
      </c>
      <c r="P99" s="94" t="s">
        <v>39</v>
      </c>
      <c r="Q99" s="94" t="s">
        <v>5517</v>
      </c>
      <c r="R99" s="94" t="s">
        <v>5517</v>
      </c>
      <c r="S99" s="94" t="s">
        <v>5517</v>
      </c>
      <c r="T99" s="94" t="s">
        <v>39</v>
      </c>
      <c r="U99" s="94"/>
      <c r="X99" s="19"/>
      <c r="Y99" s="20"/>
      <c r="Z99" s="14"/>
      <c r="AA99" s="14"/>
      <c r="AB99" s="117"/>
      <c r="AC99" s="19"/>
      <c r="AG99" s="239"/>
    </row>
    <row r="100" spans="1:33" s="14" customFormat="1" ht="50.1" customHeight="1">
      <c r="A100" s="53" t="s">
        <v>6299</v>
      </c>
      <c r="B100" s="212" t="s">
        <v>4891</v>
      </c>
      <c r="C100" s="54" t="s">
        <v>5273</v>
      </c>
      <c r="D100" s="54" t="s">
        <v>5273</v>
      </c>
      <c r="E100" s="116"/>
      <c r="F100" s="116" t="s">
        <v>5782</v>
      </c>
      <c r="G100" s="116" t="s">
        <v>5898</v>
      </c>
      <c r="H100" s="116" t="s">
        <v>5896</v>
      </c>
      <c r="I100" s="54" t="s">
        <v>4990</v>
      </c>
      <c r="J100" s="54" t="s">
        <v>4990</v>
      </c>
      <c r="K100" s="116">
        <v>2500</v>
      </c>
      <c r="L100" s="54" t="s">
        <v>6298</v>
      </c>
      <c r="M100" s="54" t="s">
        <v>6298</v>
      </c>
      <c r="N100" s="54" t="s">
        <v>6298</v>
      </c>
      <c r="O100" s="116" t="s">
        <v>39</v>
      </c>
      <c r="P100" s="116" t="s">
        <v>39</v>
      </c>
      <c r="Q100" s="54" t="s">
        <v>5509</v>
      </c>
      <c r="R100" s="54" t="s">
        <v>5509</v>
      </c>
      <c r="S100" s="54" t="s">
        <v>5509</v>
      </c>
      <c r="T100" s="116" t="s">
        <v>39</v>
      </c>
      <c r="U100" s="54"/>
      <c r="X100" s="19"/>
      <c r="Y100" s="20"/>
      <c r="Z100" s="11"/>
      <c r="AA100" s="19"/>
      <c r="AB100" s="19"/>
      <c r="AG100" s="286"/>
    </row>
    <row r="101" spans="1:33" s="2" customFormat="1" ht="9" customHeight="1">
      <c r="A101" s="95" t="s">
        <v>688</v>
      </c>
      <c r="B101" s="238"/>
      <c r="C101" s="94" t="s">
        <v>5274</v>
      </c>
      <c r="D101" s="94" t="s">
        <v>5274</v>
      </c>
      <c r="E101" s="94"/>
      <c r="F101" s="94" t="s">
        <v>5784</v>
      </c>
      <c r="G101" s="94" t="s">
        <v>5783</v>
      </c>
      <c r="H101" s="94" t="s">
        <v>5897</v>
      </c>
      <c r="I101" s="94" t="s">
        <v>4991</v>
      </c>
      <c r="J101" s="94" t="s">
        <v>4991</v>
      </c>
      <c r="K101" s="94" t="s">
        <v>4929</v>
      </c>
      <c r="L101" s="94" t="s">
        <v>6175</v>
      </c>
      <c r="M101" s="94" t="s">
        <v>6175</v>
      </c>
      <c r="N101" s="94" t="s">
        <v>6175</v>
      </c>
      <c r="O101" s="94" t="s">
        <v>39</v>
      </c>
      <c r="P101" s="94" t="s">
        <v>39</v>
      </c>
      <c r="Q101" s="94" t="s">
        <v>5508</v>
      </c>
      <c r="R101" s="94" t="s">
        <v>5508</v>
      </c>
      <c r="S101" s="94" t="s">
        <v>5508</v>
      </c>
      <c r="T101" s="94" t="s">
        <v>39</v>
      </c>
      <c r="U101" s="94"/>
      <c r="X101" s="14"/>
      <c r="Y101" s="14"/>
      <c r="Z101" s="14"/>
      <c r="AA101" s="14"/>
      <c r="AB101" s="14"/>
      <c r="AC101" s="19"/>
      <c r="AG101" s="239"/>
    </row>
    <row r="102" spans="1:33" s="117" customFormat="1" ht="30" customHeight="1">
      <c r="A102" s="53" t="s">
        <v>178</v>
      </c>
      <c r="B102" s="212"/>
      <c r="C102" s="54" t="s">
        <v>5280</v>
      </c>
      <c r="D102" s="54" t="s">
        <v>5280</v>
      </c>
      <c r="E102" s="54"/>
      <c r="F102" s="116" t="s">
        <v>5703</v>
      </c>
      <c r="G102" s="116" t="s">
        <v>5703</v>
      </c>
      <c r="H102" s="116" t="s">
        <v>5703</v>
      </c>
      <c r="I102" s="54" t="s">
        <v>5040</v>
      </c>
      <c r="J102" s="54" t="s">
        <v>5040</v>
      </c>
      <c r="K102" s="54" t="s">
        <v>39</v>
      </c>
      <c r="L102" s="54" t="s">
        <v>39</v>
      </c>
      <c r="M102" s="54" t="s">
        <v>39</v>
      </c>
      <c r="N102" s="54" t="s">
        <v>39</v>
      </c>
      <c r="O102" s="54" t="s">
        <v>39</v>
      </c>
      <c r="P102" s="54" t="s">
        <v>39</v>
      </c>
      <c r="Q102" s="54" t="s">
        <v>5514</v>
      </c>
      <c r="R102" s="54" t="s">
        <v>5514</v>
      </c>
      <c r="S102" s="54" t="s">
        <v>5514</v>
      </c>
      <c r="T102" s="54" t="s">
        <v>39</v>
      </c>
      <c r="U102" s="54"/>
      <c r="X102" s="19"/>
      <c r="Y102" s="20"/>
      <c r="Z102" s="11"/>
      <c r="AA102" s="2"/>
      <c r="AB102" s="19"/>
      <c r="AG102" s="153"/>
    </row>
    <row r="103" spans="1:33" s="2" customFormat="1" ht="9" customHeight="1">
      <c r="A103" s="95" t="s">
        <v>688</v>
      </c>
      <c r="B103" s="238"/>
      <c r="C103" s="94" t="s">
        <v>5275</v>
      </c>
      <c r="D103" s="94" t="s">
        <v>5275</v>
      </c>
      <c r="E103" s="94"/>
      <c r="F103" s="94" t="s">
        <v>5785</v>
      </c>
      <c r="G103" s="94" t="s">
        <v>5786</v>
      </c>
      <c r="H103" s="94" t="s">
        <v>5900</v>
      </c>
      <c r="I103" s="94" t="s">
        <v>4991</v>
      </c>
      <c r="J103" s="94" t="s">
        <v>4991</v>
      </c>
      <c r="K103" s="94" t="s">
        <v>39</v>
      </c>
      <c r="L103" s="94" t="s">
        <v>6302</v>
      </c>
      <c r="M103" s="94" t="s">
        <v>6313</v>
      </c>
      <c r="N103" s="94" t="s">
        <v>6313</v>
      </c>
      <c r="O103" s="94" t="s">
        <v>6302</v>
      </c>
      <c r="P103" s="94" t="s">
        <v>39</v>
      </c>
      <c r="Q103" s="94" t="s">
        <v>5517</v>
      </c>
      <c r="R103" s="94" t="s">
        <v>5517</v>
      </c>
      <c r="S103" s="94" t="s">
        <v>5517</v>
      </c>
      <c r="T103" s="94" t="s">
        <v>39</v>
      </c>
      <c r="U103" s="94"/>
      <c r="X103" s="14"/>
      <c r="Y103" s="14"/>
      <c r="Z103" s="14"/>
      <c r="AA103" s="19"/>
      <c r="AB103" s="117"/>
      <c r="AC103" s="19"/>
      <c r="AG103" s="239"/>
    </row>
    <row r="104" spans="1:33" s="14" customFormat="1" ht="30" customHeight="1">
      <c r="A104" s="53" t="s">
        <v>4997</v>
      </c>
      <c r="B104" s="212" t="s">
        <v>5001</v>
      </c>
      <c r="C104" s="116" t="s">
        <v>5276</v>
      </c>
      <c r="D104" s="116" t="s">
        <v>5276</v>
      </c>
      <c r="E104" s="116"/>
      <c r="F104" s="116" t="s">
        <v>5993</v>
      </c>
      <c r="G104" s="116" t="s">
        <v>5993</v>
      </c>
      <c r="H104" s="116" t="s">
        <v>5993</v>
      </c>
      <c r="I104" s="116" t="s">
        <v>4998</v>
      </c>
      <c r="J104" s="116" t="s">
        <v>4998</v>
      </c>
      <c r="K104" s="116" t="s">
        <v>39</v>
      </c>
      <c r="L104" s="116" t="s">
        <v>6300</v>
      </c>
      <c r="M104" s="116" t="s">
        <v>6314</v>
      </c>
      <c r="N104" s="116" t="s">
        <v>6314</v>
      </c>
      <c r="O104" s="116" t="s">
        <v>6250</v>
      </c>
      <c r="P104" s="116" t="s">
        <v>39</v>
      </c>
      <c r="Q104" s="116" t="s">
        <v>5645</v>
      </c>
      <c r="R104" s="116" t="s">
        <v>5645</v>
      </c>
      <c r="S104" s="116" t="s">
        <v>5645</v>
      </c>
      <c r="T104" s="116" t="s">
        <v>5645</v>
      </c>
      <c r="U104" s="73"/>
      <c r="X104" s="19"/>
      <c r="Y104" s="20"/>
      <c r="Z104" s="11"/>
      <c r="AA104" s="2"/>
      <c r="AB104" s="19"/>
      <c r="AG104" s="286"/>
    </row>
    <row r="105" spans="1:33" s="2" customFormat="1" ht="9" customHeight="1">
      <c r="A105" s="95" t="s">
        <v>688</v>
      </c>
      <c r="B105" s="238"/>
      <c r="C105" s="94" t="s">
        <v>5275</v>
      </c>
      <c r="D105" s="94" t="s">
        <v>5275</v>
      </c>
      <c r="E105" s="94"/>
      <c r="F105" s="94" t="s">
        <v>5992</v>
      </c>
      <c r="G105" s="94" t="s">
        <v>5992</v>
      </c>
      <c r="H105" s="94" t="s">
        <v>5992</v>
      </c>
      <c r="I105" s="94" t="s">
        <v>4999</v>
      </c>
      <c r="J105" s="94" t="s">
        <v>4999</v>
      </c>
      <c r="K105" s="94" t="s">
        <v>39</v>
      </c>
      <c r="L105" s="94" t="s">
        <v>6301</v>
      </c>
      <c r="M105" s="94" t="s">
        <v>6315</v>
      </c>
      <c r="N105" s="94" t="s">
        <v>6315</v>
      </c>
      <c r="O105" s="94" t="s">
        <v>6251</v>
      </c>
      <c r="P105" s="94" t="s">
        <v>39</v>
      </c>
      <c r="Q105" s="94" t="s">
        <v>5516</v>
      </c>
      <c r="R105" s="94" t="s">
        <v>5516</v>
      </c>
      <c r="S105" s="94" t="s">
        <v>5516</v>
      </c>
      <c r="T105" s="94" t="s">
        <v>5498</v>
      </c>
      <c r="U105" s="94"/>
      <c r="X105" s="14"/>
      <c r="Y105" s="14"/>
      <c r="Z105" s="14"/>
      <c r="AB105" s="14"/>
      <c r="AC105" s="19"/>
      <c r="AG105" s="239"/>
    </row>
    <row r="106" spans="1:33" s="14" customFormat="1" ht="30" customHeight="1">
      <c r="A106" s="53" t="s">
        <v>6059</v>
      </c>
      <c r="B106" s="212" t="s">
        <v>6060</v>
      </c>
      <c r="C106" s="116">
        <v>1000000</v>
      </c>
      <c r="D106" s="116">
        <v>1000000</v>
      </c>
      <c r="E106" s="116">
        <v>10000</v>
      </c>
      <c r="F106" s="116">
        <v>500000</v>
      </c>
      <c r="G106" s="116">
        <v>100000</v>
      </c>
      <c r="H106" s="116" t="s">
        <v>6002</v>
      </c>
      <c r="I106" s="116">
        <v>20000</v>
      </c>
      <c r="J106" s="116">
        <v>20000</v>
      </c>
      <c r="K106" s="116">
        <v>6000</v>
      </c>
      <c r="L106" s="116">
        <v>500000</v>
      </c>
      <c r="M106" s="116">
        <v>1000000</v>
      </c>
      <c r="N106" s="116">
        <v>1000000</v>
      </c>
      <c r="O106" s="116" t="s">
        <v>6245</v>
      </c>
      <c r="P106" s="54" t="s">
        <v>39</v>
      </c>
      <c r="Q106" s="116">
        <v>75000</v>
      </c>
      <c r="R106" s="116" t="s">
        <v>6002</v>
      </c>
      <c r="S106" s="116" t="s">
        <v>6002</v>
      </c>
      <c r="T106" s="116">
        <v>10000</v>
      </c>
      <c r="U106" s="54"/>
      <c r="X106" s="19"/>
      <c r="Y106" s="20"/>
      <c r="Z106" s="11"/>
      <c r="AA106" s="2"/>
      <c r="AB106" s="19"/>
      <c r="AG106" s="286"/>
    </row>
    <row r="107" spans="1:33" s="2" customFormat="1" ht="9" customHeight="1">
      <c r="A107" s="95" t="s">
        <v>688</v>
      </c>
      <c r="B107" s="238"/>
      <c r="C107" s="94" t="s">
        <v>5226</v>
      </c>
      <c r="D107" s="94" t="s">
        <v>5226</v>
      </c>
      <c r="E107" s="94" t="s">
        <v>5226</v>
      </c>
      <c r="F107" s="94" t="s">
        <v>5774</v>
      </c>
      <c r="G107" s="94" t="s">
        <v>5773</v>
      </c>
      <c r="H107" s="94" t="s">
        <v>5892</v>
      </c>
      <c r="I107" s="94" t="s">
        <v>4989</v>
      </c>
      <c r="J107" s="94" t="s">
        <v>4989</v>
      </c>
      <c r="K107" s="94" t="s">
        <v>4930</v>
      </c>
      <c r="L107" s="94" t="s">
        <v>6172</v>
      </c>
      <c r="M107" s="94" t="s">
        <v>6172</v>
      </c>
      <c r="N107" s="94" t="s">
        <v>6172</v>
      </c>
      <c r="O107" s="94" t="s">
        <v>6246</v>
      </c>
      <c r="P107" s="94" t="s">
        <v>39</v>
      </c>
      <c r="Q107" s="94" t="s">
        <v>5526</v>
      </c>
      <c r="R107" s="94" t="s">
        <v>5555</v>
      </c>
      <c r="S107" s="94" t="s">
        <v>5555</v>
      </c>
      <c r="T107" s="94" t="s">
        <v>5626</v>
      </c>
      <c r="U107" s="94"/>
      <c r="X107" s="14"/>
      <c r="Y107" s="14"/>
      <c r="Z107" s="14"/>
      <c r="AA107" s="19"/>
      <c r="AB107" s="14"/>
      <c r="AC107" s="19"/>
      <c r="AG107" s="239"/>
    </row>
    <row r="108" spans="1:33" s="14" customFormat="1" ht="30" customHeight="1">
      <c r="A108" s="53" t="s">
        <v>124</v>
      </c>
      <c r="B108" s="212"/>
      <c r="C108" s="116" t="s">
        <v>5281</v>
      </c>
      <c r="D108" s="116" t="s">
        <v>5281</v>
      </c>
      <c r="E108" s="54" t="s">
        <v>39</v>
      </c>
      <c r="F108" s="116" t="s">
        <v>5749</v>
      </c>
      <c r="G108" s="54" t="s">
        <v>5775</v>
      </c>
      <c r="H108" s="116" t="s">
        <v>5860</v>
      </c>
      <c r="I108" s="54" t="s">
        <v>5041</v>
      </c>
      <c r="J108" s="54" t="s">
        <v>5041</v>
      </c>
      <c r="K108" s="54" t="s">
        <v>5041</v>
      </c>
      <c r="L108" s="54" t="s">
        <v>5041</v>
      </c>
      <c r="M108" s="54" t="s">
        <v>5041</v>
      </c>
      <c r="N108" s="54" t="s">
        <v>5041</v>
      </c>
      <c r="O108" s="54" t="s">
        <v>5041</v>
      </c>
      <c r="P108" s="54" t="s">
        <v>39</v>
      </c>
      <c r="Q108" s="54" t="s">
        <v>5491</v>
      </c>
      <c r="R108" s="54" t="s">
        <v>5491</v>
      </c>
      <c r="S108" s="54" t="s">
        <v>5491</v>
      </c>
      <c r="T108" s="54" t="s">
        <v>39</v>
      </c>
      <c r="U108" s="54"/>
      <c r="X108" s="19"/>
      <c r="Y108" s="20"/>
      <c r="AA108" s="2"/>
      <c r="AB108" s="19"/>
      <c r="AG108" s="286"/>
    </row>
    <row r="109" spans="1:33" s="2" customFormat="1" ht="9" customHeight="1">
      <c r="A109" s="95" t="s">
        <v>688</v>
      </c>
      <c r="B109" s="238"/>
      <c r="C109" s="94" t="s">
        <v>5171</v>
      </c>
      <c r="D109" s="94" t="s">
        <v>5171</v>
      </c>
      <c r="E109" s="94" t="s">
        <v>39</v>
      </c>
      <c r="F109" s="94" t="s">
        <v>5776</v>
      </c>
      <c r="G109" s="94" t="s">
        <v>5773</v>
      </c>
      <c r="H109" s="94" t="s">
        <v>5859</v>
      </c>
      <c r="I109" s="94" t="s">
        <v>4989</v>
      </c>
      <c r="J109" s="94" t="s">
        <v>4989</v>
      </c>
      <c r="K109" s="94" t="s">
        <v>4931</v>
      </c>
      <c r="L109" s="94" t="s">
        <v>6173</v>
      </c>
      <c r="M109" s="94" t="s">
        <v>6173</v>
      </c>
      <c r="N109" s="94" t="s">
        <v>6173</v>
      </c>
      <c r="O109" s="94" t="s">
        <v>6247</v>
      </c>
      <c r="P109" s="94" t="s">
        <v>39</v>
      </c>
      <c r="Q109" s="94" t="s">
        <v>5492</v>
      </c>
      <c r="R109" s="94" t="s">
        <v>5492</v>
      </c>
      <c r="S109" s="94" t="s">
        <v>5492</v>
      </c>
      <c r="T109" s="94" t="s">
        <v>39</v>
      </c>
      <c r="U109" s="94"/>
      <c r="X109" s="14"/>
      <c r="Y109" s="14"/>
      <c r="Z109" s="11"/>
      <c r="AB109" s="14"/>
      <c r="AC109" s="19"/>
      <c r="AG109" s="239"/>
    </row>
    <row r="110" spans="1:33" s="117" customFormat="1" ht="48" customHeight="1">
      <c r="A110" s="53" t="s">
        <v>2663</v>
      </c>
      <c r="B110" s="212" t="s">
        <v>4889</v>
      </c>
      <c r="C110" s="54" t="s">
        <v>5777</v>
      </c>
      <c r="D110" s="54" t="s">
        <v>5777</v>
      </c>
      <c r="E110" s="54" t="s">
        <v>5777</v>
      </c>
      <c r="F110" s="54" t="s">
        <v>5895</v>
      </c>
      <c r="G110" s="54" t="s">
        <v>5895</v>
      </c>
      <c r="H110" s="54" t="s">
        <v>5894</v>
      </c>
      <c r="I110" s="54" t="s">
        <v>267</v>
      </c>
      <c r="J110" s="54" t="s">
        <v>267</v>
      </c>
      <c r="K110" s="54" t="s">
        <v>267</v>
      </c>
      <c r="L110" s="54" t="s">
        <v>6293</v>
      </c>
      <c r="M110" s="54" t="s">
        <v>6293</v>
      </c>
      <c r="N110" s="54" t="s">
        <v>6293</v>
      </c>
      <c r="O110" s="54" t="s">
        <v>6292</v>
      </c>
      <c r="P110" s="54" t="s">
        <v>39</v>
      </c>
      <c r="Q110" s="54" t="s">
        <v>5778</v>
      </c>
      <c r="R110" s="54" t="s">
        <v>5778</v>
      </c>
      <c r="S110" s="54" t="s">
        <v>5778</v>
      </c>
      <c r="T110" s="54" t="s">
        <v>5778</v>
      </c>
      <c r="U110" s="54"/>
      <c r="X110" s="14"/>
      <c r="Y110" s="14"/>
      <c r="Z110" s="14"/>
      <c r="AA110" s="14"/>
      <c r="AB110" s="19"/>
      <c r="AG110" s="153"/>
    </row>
    <row r="111" spans="1:33" s="2" customFormat="1" ht="9" customHeight="1">
      <c r="A111" s="95" t="s">
        <v>688</v>
      </c>
      <c r="B111" s="238"/>
      <c r="C111" s="94" t="s">
        <v>5282</v>
      </c>
      <c r="D111" s="94" t="s">
        <v>5282</v>
      </c>
      <c r="E111" s="94" t="s">
        <v>5282</v>
      </c>
      <c r="F111" s="94" t="s">
        <v>5779</v>
      </c>
      <c r="G111" s="94" t="s">
        <v>5773</v>
      </c>
      <c r="H111" s="94" t="s">
        <v>5892</v>
      </c>
      <c r="I111" s="94" t="s">
        <v>4989</v>
      </c>
      <c r="J111" s="94" t="s">
        <v>4989</v>
      </c>
      <c r="K111" s="94" t="s">
        <v>4931</v>
      </c>
      <c r="L111" s="94" t="s">
        <v>6291</v>
      </c>
      <c r="M111" s="94" t="s">
        <v>6291</v>
      </c>
      <c r="N111" s="94" t="s">
        <v>6291</v>
      </c>
      <c r="O111" s="94" t="s">
        <v>6249</v>
      </c>
      <c r="P111" s="94" t="s">
        <v>39</v>
      </c>
      <c r="Q111" s="94" t="s">
        <v>5496</v>
      </c>
      <c r="R111" s="94" t="s">
        <v>5496</v>
      </c>
      <c r="S111" s="94" t="s">
        <v>5496</v>
      </c>
      <c r="T111" s="94" t="s">
        <v>5627</v>
      </c>
      <c r="U111" s="94"/>
      <c r="X111" s="19"/>
      <c r="Y111" s="20"/>
      <c r="Z111" s="11"/>
      <c r="AA111" s="19"/>
      <c r="AB111" s="117"/>
      <c r="AC111" s="19"/>
      <c r="AG111" s="239"/>
    </row>
    <row r="112" spans="1:33" s="14" customFormat="1" ht="30" customHeight="1">
      <c r="A112" s="53" t="s">
        <v>4780</v>
      </c>
      <c r="B112" s="212" t="s">
        <v>4900</v>
      </c>
      <c r="C112" s="54" t="s">
        <v>5369</v>
      </c>
      <c r="D112" s="54" t="s">
        <v>5369</v>
      </c>
      <c r="E112" s="54" t="s">
        <v>41</v>
      </c>
      <c r="F112" s="116" t="s">
        <v>5996</v>
      </c>
      <c r="G112" s="116" t="s">
        <v>5996</v>
      </c>
      <c r="H112" s="116" t="s">
        <v>5996</v>
      </c>
      <c r="I112" s="54" t="s">
        <v>41</v>
      </c>
      <c r="J112" s="54" t="s">
        <v>41</v>
      </c>
      <c r="K112" s="54" t="s">
        <v>41</v>
      </c>
      <c r="L112" s="54" t="s">
        <v>6252</v>
      </c>
      <c r="M112" s="54" t="s">
        <v>6316</v>
      </c>
      <c r="N112" s="54" t="s">
        <v>6316</v>
      </c>
      <c r="O112" s="54" t="s">
        <v>6316</v>
      </c>
      <c r="P112" s="54" t="s">
        <v>39</v>
      </c>
      <c r="Q112" s="54" t="s">
        <v>41</v>
      </c>
      <c r="R112" s="54" t="s">
        <v>41</v>
      </c>
      <c r="S112" s="54" t="s">
        <v>41</v>
      </c>
      <c r="T112" s="54" t="s">
        <v>41</v>
      </c>
      <c r="U112" s="73"/>
      <c r="AB112" s="19"/>
      <c r="AG112" s="286"/>
    </row>
    <row r="113" spans="1:33" s="2" customFormat="1" ht="9" customHeight="1">
      <c r="A113" s="95" t="s">
        <v>688</v>
      </c>
      <c r="B113" s="238"/>
      <c r="C113" s="94" t="s">
        <v>5368</v>
      </c>
      <c r="D113" s="94" t="s">
        <v>5368</v>
      </c>
      <c r="E113" s="94" t="s">
        <v>5223</v>
      </c>
      <c r="F113" s="94" t="s">
        <v>5997</v>
      </c>
      <c r="G113" s="94" t="s">
        <v>5997</v>
      </c>
      <c r="H113" s="94" t="s">
        <v>5997</v>
      </c>
      <c r="I113" s="94" t="s">
        <v>5002</v>
      </c>
      <c r="J113" s="94" t="s">
        <v>5002</v>
      </c>
      <c r="K113" s="94" t="s">
        <v>4932</v>
      </c>
      <c r="L113" s="94" t="s">
        <v>6301</v>
      </c>
      <c r="M113" s="94" t="s">
        <v>6315</v>
      </c>
      <c r="N113" s="94" t="s">
        <v>6315</v>
      </c>
      <c r="O113" s="94" t="s">
        <v>6251</v>
      </c>
      <c r="P113" s="94" t="s">
        <v>39</v>
      </c>
      <c r="Q113" s="94" t="s">
        <v>5498</v>
      </c>
      <c r="R113" s="94" t="s">
        <v>5498</v>
      </c>
      <c r="S113" s="94" t="s">
        <v>5498</v>
      </c>
      <c r="T113" s="94" t="s">
        <v>5628</v>
      </c>
      <c r="U113" s="94"/>
      <c r="X113" s="19"/>
      <c r="Y113" s="20"/>
      <c r="Z113" s="11"/>
      <c r="AA113" s="19"/>
      <c r="AB113" s="14"/>
      <c r="AC113" s="19"/>
      <c r="AG113" s="239"/>
    </row>
    <row r="114" spans="1:33" s="2" customFormat="1" ht="15" customHeight="1">
      <c r="A114" s="59"/>
      <c r="B114" s="59"/>
      <c r="C114" s="204"/>
      <c r="D114" s="246"/>
      <c r="E114" s="204"/>
      <c r="F114" s="246"/>
      <c r="G114" s="246"/>
      <c r="H114" s="246"/>
      <c r="I114" s="204"/>
      <c r="J114" s="204"/>
      <c r="K114" s="204"/>
      <c r="L114" s="246"/>
      <c r="M114" s="246"/>
      <c r="N114" s="246"/>
      <c r="O114" s="246"/>
      <c r="P114" s="246"/>
      <c r="Q114" s="246"/>
      <c r="R114"/>
      <c r="S114"/>
      <c r="T114" s="246"/>
      <c r="U114" s="204"/>
      <c r="X114" s="14"/>
      <c r="Y114" s="14"/>
      <c r="Z114" s="14"/>
      <c r="AA114" s="14"/>
      <c r="AB114" s="19"/>
      <c r="AG114" s="239"/>
    </row>
    <row r="115" spans="1:33" s="2" customFormat="1" ht="20.100000000000001" customHeight="1">
      <c r="A115" s="176" t="s">
        <v>4992</v>
      </c>
      <c r="B115" s="202" t="str">
        <f t="shared" ref="B115:T115" si="4">B1</f>
        <v>Erläuterungen</v>
      </c>
      <c r="C115" s="202" t="str">
        <f t="shared" si="4"/>
        <v>Baloise Gold</v>
      </c>
      <c r="D115" s="202" t="str">
        <f t="shared" si="4"/>
        <v>Baloise Gold 100</v>
      </c>
      <c r="E115" s="202" t="str">
        <f t="shared" si="4"/>
        <v>Baloise Silber</v>
      </c>
      <c r="F115" s="202" t="str">
        <f t="shared" si="4"/>
        <v>HK Einfach Besser</v>
      </c>
      <c r="G115" s="202" t="str">
        <f t="shared" si="4"/>
        <v>HK Einfach Gut</v>
      </c>
      <c r="H115" s="202" t="str">
        <f t="shared" si="4"/>
        <v>HK Einfach Komplett</v>
      </c>
      <c r="I115" s="202" t="str">
        <f t="shared" si="4"/>
        <v>Interlloyd Premium</v>
      </c>
      <c r="J115" s="202" t="str">
        <f t="shared" si="4"/>
        <v>Interlloyd Premium HB</v>
      </c>
      <c r="K115" s="202" t="str">
        <f t="shared" si="4"/>
        <v>Interllyod Protect UR</v>
      </c>
      <c r="L115" s="202" t="str">
        <f t="shared" si="4"/>
        <v xml:space="preserve">ITL Eurosecure Plus </v>
      </c>
      <c r="M115" s="202" t="str">
        <f t="shared" si="4"/>
        <v>ITL Infinitus</v>
      </c>
      <c r="N115" s="202" t="str">
        <f t="shared" si="4"/>
        <v>ITL Infinitus HB</v>
      </c>
      <c r="O115" s="202" t="str">
        <f t="shared" si="4"/>
        <v>ITL Protect Plus</v>
      </c>
      <c r="P115" s="202" t="str">
        <f t="shared" si="4"/>
        <v>keine</v>
      </c>
      <c r="Q115" s="202" t="str">
        <f t="shared" si="4"/>
        <v>VHV Klassik Garant</v>
      </c>
      <c r="R115" s="202" t="str">
        <f t="shared" si="4"/>
        <v>VHV Klassik Garant Exklusiv</v>
      </c>
      <c r="S115" s="202" t="str">
        <f t="shared" si="4"/>
        <v>VHV Klassik Garant Exklusiv HB</v>
      </c>
      <c r="T115" s="202" t="str">
        <f t="shared" si="4"/>
        <v>VHV Smart</v>
      </c>
      <c r="U115" s="202"/>
      <c r="X115" s="19"/>
      <c r="Y115" s="20"/>
      <c r="Z115" s="11"/>
      <c r="AA115" s="19"/>
      <c r="AG115" s="239"/>
    </row>
    <row r="116" spans="1:33" s="14" customFormat="1" ht="30" customHeight="1">
      <c r="A116" s="53" t="s">
        <v>5761</v>
      </c>
      <c r="B116" s="212" t="s">
        <v>5063</v>
      </c>
      <c r="C116" s="114" t="s">
        <v>5315</v>
      </c>
      <c r="D116" s="114" t="s">
        <v>5315</v>
      </c>
      <c r="E116" s="114" t="s">
        <v>5316</v>
      </c>
      <c r="F116" s="114" t="s">
        <v>5760</v>
      </c>
      <c r="G116" s="114" t="s">
        <v>4867</v>
      </c>
      <c r="H116" s="114" t="s">
        <v>5760</v>
      </c>
      <c r="I116" s="114" t="s">
        <v>4978</v>
      </c>
      <c r="J116" s="114" t="s">
        <v>4978</v>
      </c>
      <c r="K116" s="114" t="s">
        <v>39</v>
      </c>
      <c r="L116" s="114" t="s">
        <v>5064</v>
      </c>
      <c r="M116" s="114" t="s">
        <v>5064</v>
      </c>
      <c r="N116" s="114" t="s">
        <v>5064</v>
      </c>
      <c r="O116" s="114" t="s">
        <v>5064</v>
      </c>
      <c r="P116" s="114" t="s">
        <v>39</v>
      </c>
      <c r="Q116" s="114" t="s">
        <v>5471</v>
      </c>
      <c r="R116" s="114" t="s">
        <v>5575</v>
      </c>
      <c r="S116" s="114" t="s">
        <v>5575</v>
      </c>
      <c r="T116" s="114" t="s">
        <v>39</v>
      </c>
      <c r="U116" s="114"/>
      <c r="AB116" s="2"/>
      <c r="AG116" s="286"/>
    </row>
    <row r="117" spans="1:33" s="2" customFormat="1" ht="9" customHeight="1">
      <c r="A117" s="95" t="s">
        <v>688</v>
      </c>
      <c r="B117" s="238"/>
      <c r="C117" s="94" t="s">
        <v>5314</v>
      </c>
      <c r="D117" s="94" t="s">
        <v>5314</v>
      </c>
      <c r="E117" s="94" t="s">
        <v>5217</v>
      </c>
      <c r="F117" s="94" t="s">
        <v>5758</v>
      </c>
      <c r="G117" s="94" t="s">
        <v>4952</v>
      </c>
      <c r="H117" s="94" t="s">
        <v>5880</v>
      </c>
      <c r="I117" s="94" t="s">
        <v>4979</v>
      </c>
      <c r="J117" s="94" t="s">
        <v>4979</v>
      </c>
      <c r="K117" s="94" t="s">
        <v>39</v>
      </c>
      <c r="L117" s="94" t="s">
        <v>6236</v>
      </c>
      <c r="M117" s="94" t="s">
        <v>6236</v>
      </c>
      <c r="N117" s="94" t="s">
        <v>6236</v>
      </c>
      <c r="O117" s="94" t="s">
        <v>6236</v>
      </c>
      <c r="P117" s="94" t="s">
        <v>39</v>
      </c>
      <c r="Q117" s="94" t="s">
        <v>4952</v>
      </c>
      <c r="R117" s="94" t="s">
        <v>5576</v>
      </c>
      <c r="S117" s="94" t="s">
        <v>5576</v>
      </c>
      <c r="T117" s="94" t="s">
        <v>39</v>
      </c>
      <c r="U117" s="94"/>
      <c r="X117" s="19"/>
      <c r="Y117" s="20"/>
      <c r="Z117" s="11"/>
      <c r="AA117" s="19"/>
      <c r="AB117" s="14"/>
      <c r="AC117" s="19"/>
      <c r="AG117" s="239"/>
    </row>
    <row r="118" spans="1:33" s="14" customFormat="1" ht="219.95" customHeight="1">
      <c r="A118" s="53" t="s">
        <v>177</v>
      </c>
      <c r="B118" s="212" t="s">
        <v>4883</v>
      </c>
      <c r="C118" s="114" t="s">
        <v>5877</v>
      </c>
      <c r="D118" s="114" t="s">
        <v>5877</v>
      </c>
      <c r="E118" s="114" t="s">
        <v>39</v>
      </c>
      <c r="F118" s="114" t="s">
        <v>5875</v>
      </c>
      <c r="G118" s="114" t="s">
        <v>5876</v>
      </c>
      <c r="H118" s="114" t="s">
        <v>5871</v>
      </c>
      <c r="I118" s="114" t="s">
        <v>5874</v>
      </c>
      <c r="J118" s="114" t="s">
        <v>5874</v>
      </c>
      <c r="K118" s="114" t="s">
        <v>39</v>
      </c>
      <c r="L118" s="114" t="s">
        <v>6242</v>
      </c>
      <c r="M118" s="114" t="s">
        <v>6242</v>
      </c>
      <c r="N118" s="114" t="s">
        <v>6242</v>
      </c>
      <c r="O118" s="114" t="s">
        <v>6242</v>
      </c>
      <c r="P118" s="114" t="s">
        <v>39</v>
      </c>
      <c r="Q118" s="114" t="s">
        <v>5873</v>
      </c>
      <c r="R118" s="114" t="s">
        <v>5872</v>
      </c>
      <c r="S118" s="114" t="s">
        <v>5872</v>
      </c>
      <c r="T118" s="114" t="s">
        <v>39</v>
      </c>
      <c r="U118" s="114"/>
      <c r="AB118" s="19"/>
      <c r="AG118" s="286"/>
    </row>
    <row r="119" spans="1:33" s="2" customFormat="1" ht="9" customHeight="1">
      <c r="A119" s="95" t="s">
        <v>688</v>
      </c>
      <c r="B119" s="238"/>
      <c r="C119" s="94" t="s">
        <v>5228</v>
      </c>
      <c r="D119" s="94" t="s">
        <v>5228</v>
      </c>
      <c r="E119" s="94" t="s">
        <v>39</v>
      </c>
      <c r="F119" s="94" t="s">
        <v>5759</v>
      </c>
      <c r="G119" s="94" t="s">
        <v>5759</v>
      </c>
      <c r="H119" s="94" t="s">
        <v>5878</v>
      </c>
      <c r="I119" s="94" t="s">
        <v>4980</v>
      </c>
      <c r="J119" s="94" t="s">
        <v>4980</v>
      </c>
      <c r="K119" s="94" t="s">
        <v>39</v>
      </c>
      <c r="L119" s="94" t="s">
        <v>6241</v>
      </c>
      <c r="M119" s="94" t="s">
        <v>6241</v>
      </c>
      <c r="N119" s="94" t="s">
        <v>6241</v>
      </c>
      <c r="O119" s="94" t="s">
        <v>6241</v>
      </c>
      <c r="P119" s="94" t="s">
        <v>39</v>
      </c>
      <c r="Q119" s="94" t="s">
        <v>5513</v>
      </c>
      <c r="R119" s="94" t="s">
        <v>5557</v>
      </c>
      <c r="S119" s="94" t="s">
        <v>5557</v>
      </c>
      <c r="T119" s="94" t="s">
        <v>39</v>
      </c>
      <c r="U119" s="94"/>
      <c r="X119" s="19"/>
      <c r="Y119" s="20"/>
      <c r="Z119" s="11"/>
      <c r="AA119" s="19"/>
      <c r="AB119" s="14"/>
      <c r="AC119" s="19"/>
      <c r="AG119" s="239"/>
    </row>
    <row r="120" spans="1:33" s="117" customFormat="1" ht="69.95" customHeight="1">
      <c r="A120" s="53" t="s">
        <v>139</v>
      </c>
      <c r="B120" s="212"/>
      <c r="C120" s="54" t="s">
        <v>5388</v>
      </c>
      <c r="D120" s="54" t="s">
        <v>5388</v>
      </c>
      <c r="E120" s="54" t="s">
        <v>39</v>
      </c>
      <c r="F120" s="54" t="s">
        <v>39</v>
      </c>
      <c r="G120" s="54" t="s">
        <v>39</v>
      </c>
      <c r="H120" s="54" t="s">
        <v>5984</v>
      </c>
      <c r="I120" s="54" t="s">
        <v>4916</v>
      </c>
      <c r="J120" s="54" t="s">
        <v>4916</v>
      </c>
      <c r="K120" s="54" t="s">
        <v>4916</v>
      </c>
      <c r="L120" s="54" t="s">
        <v>6337</v>
      </c>
      <c r="M120" s="54" t="s">
        <v>6336</v>
      </c>
      <c r="N120" s="54" t="s">
        <v>6336</v>
      </c>
      <c r="O120" s="54" t="s">
        <v>6338</v>
      </c>
      <c r="P120" s="54" t="s">
        <v>39</v>
      </c>
      <c r="Q120" s="54" t="s">
        <v>6335</v>
      </c>
      <c r="R120" s="54" t="s">
        <v>5597</v>
      </c>
      <c r="S120" s="54" t="s">
        <v>5597</v>
      </c>
      <c r="T120" s="54" t="s">
        <v>39</v>
      </c>
      <c r="U120" s="54"/>
      <c r="X120" s="14"/>
      <c r="Y120" s="14"/>
      <c r="Z120" s="14"/>
      <c r="AA120" s="14"/>
      <c r="AB120" s="19"/>
      <c r="AG120" s="153"/>
    </row>
    <row r="121" spans="1:33" s="2" customFormat="1" ht="9" customHeight="1">
      <c r="A121" s="95" t="s">
        <v>688</v>
      </c>
      <c r="B121" s="238"/>
      <c r="C121" s="94" t="s">
        <v>5387</v>
      </c>
      <c r="D121" s="94" t="s">
        <v>5387</v>
      </c>
      <c r="E121" s="94" t="s">
        <v>39</v>
      </c>
      <c r="F121" s="94" t="s">
        <v>5983</v>
      </c>
      <c r="G121" s="94" t="s">
        <v>5983</v>
      </c>
      <c r="H121" s="94" t="s">
        <v>5985</v>
      </c>
      <c r="I121" s="94" t="s">
        <v>4981</v>
      </c>
      <c r="J121" s="94" t="s">
        <v>4981</v>
      </c>
      <c r="K121" s="94" t="s">
        <v>4926</v>
      </c>
      <c r="L121" s="94" t="s">
        <v>6168</v>
      </c>
      <c r="M121" s="94" t="s">
        <v>6168</v>
      </c>
      <c r="N121" s="94" t="s">
        <v>6168</v>
      </c>
      <c r="O121" s="94" t="s">
        <v>6168</v>
      </c>
      <c r="P121" s="94" t="s">
        <v>39</v>
      </c>
      <c r="Q121" s="94" t="s">
        <v>5512</v>
      </c>
      <c r="R121" s="94" t="s">
        <v>5596</v>
      </c>
      <c r="S121" s="94" t="s">
        <v>5596</v>
      </c>
      <c r="T121" s="94" t="s">
        <v>39</v>
      </c>
      <c r="U121" s="94"/>
      <c r="X121" s="19"/>
      <c r="Y121" s="20"/>
      <c r="Z121" s="11"/>
      <c r="AA121" s="19"/>
      <c r="AB121" s="117"/>
      <c r="AC121" s="19"/>
      <c r="AG121" s="239"/>
    </row>
    <row r="122" spans="1:33" s="14" customFormat="1" ht="48" customHeight="1">
      <c r="A122" s="53" t="s">
        <v>4994</v>
      </c>
      <c r="B122" s="212"/>
      <c r="C122" s="54" t="s">
        <v>5277</v>
      </c>
      <c r="D122" s="54" t="s">
        <v>5277</v>
      </c>
      <c r="E122" s="54" t="s">
        <v>39</v>
      </c>
      <c r="F122" s="54" t="s">
        <v>39</v>
      </c>
      <c r="G122" s="54" t="s">
        <v>39</v>
      </c>
      <c r="H122" s="54" t="s">
        <v>39</v>
      </c>
      <c r="I122" s="54" t="s">
        <v>4886</v>
      </c>
      <c r="J122" s="54" t="s">
        <v>4886</v>
      </c>
      <c r="K122" s="54" t="s">
        <v>4886</v>
      </c>
      <c r="L122" s="54" t="s">
        <v>4886</v>
      </c>
      <c r="M122" s="54" t="s">
        <v>4886</v>
      </c>
      <c r="N122" s="54" t="s">
        <v>4886</v>
      </c>
      <c r="O122" s="54" t="s">
        <v>4886</v>
      </c>
      <c r="P122" s="54" t="s">
        <v>39</v>
      </c>
      <c r="Q122" s="54" t="s">
        <v>5569</v>
      </c>
      <c r="R122" s="54" t="s">
        <v>5570</v>
      </c>
      <c r="S122" s="54" t="s">
        <v>5570</v>
      </c>
      <c r="T122" s="54" t="s">
        <v>39</v>
      </c>
      <c r="U122" s="54"/>
      <c r="AB122" s="19"/>
      <c r="AG122" s="286"/>
    </row>
    <row r="123" spans="1:33" s="2" customFormat="1" ht="9" customHeight="1">
      <c r="A123" s="95" t="s">
        <v>688</v>
      </c>
      <c r="B123" s="238"/>
      <c r="C123" s="94" t="s">
        <v>5232</v>
      </c>
      <c r="D123" s="94" t="s">
        <v>5232</v>
      </c>
      <c r="E123" s="94" t="s">
        <v>39</v>
      </c>
      <c r="F123" s="94" t="s">
        <v>39</v>
      </c>
      <c r="G123" s="94" t="s">
        <v>39</v>
      </c>
      <c r="H123" s="94" t="s">
        <v>39</v>
      </c>
      <c r="I123" s="94" t="s">
        <v>4986</v>
      </c>
      <c r="J123" s="94" t="s">
        <v>4986</v>
      </c>
      <c r="K123" s="94" t="s">
        <v>4933</v>
      </c>
      <c r="L123" s="94" t="s">
        <v>6167</v>
      </c>
      <c r="M123" s="94" t="s">
        <v>6167</v>
      </c>
      <c r="N123" s="94" t="s">
        <v>6167</v>
      </c>
      <c r="O123" s="94" t="s">
        <v>6167</v>
      </c>
      <c r="P123" s="94" t="s">
        <v>39</v>
      </c>
      <c r="Q123" s="94" t="s">
        <v>5506</v>
      </c>
      <c r="R123" s="94" t="s">
        <v>5566</v>
      </c>
      <c r="S123" s="94" t="s">
        <v>5566</v>
      </c>
      <c r="T123" s="94" t="s">
        <v>39</v>
      </c>
      <c r="U123" s="94"/>
      <c r="X123" s="19"/>
      <c r="Y123" s="20"/>
      <c r="Z123" s="11"/>
      <c r="AA123" s="19"/>
      <c r="AB123" s="14"/>
      <c r="AC123" s="19"/>
      <c r="AG123" s="239"/>
    </row>
    <row r="124" spans="1:33" s="14" customFormat="1" ht="20.100000000000001" customHeight="1">
      <c r="A124" s="177" t="s">
        <v>4992</v>
      </c>
      <c r="B124" s="215">
        <f>B10</f>
        <v>0</v>
      </c>
      <c r="C124" s="215"/>
      <c r="D124" s="215"/>
      <c r="E124" s="215"/>
      <c r="F124" s="215"/>
      <c r="G124" s="215"/>
      <c r="H124" s="215"/>
      <c r="I124" s="215">
        <f>I10</f>
        <v>0</v>
      </c>
      <c r="J124" s="215">
        <f>J10</f>
        <v>0</v>
      </c>
      <c r="K124" s="215">
        <f>K10</f>
        <v>0</v>
      </c>
      <c r="L124" s="215"/>
      <c r="M124" s="215"/>
      <c r="N124" s="215"/>
      <c r="O124" s="215"/>
      <c r="P124" s="215"/>
      <c r="Q124" s="215"/>
      <c r="T124" s="215"/>
      <c r="U124" s="215"/>
      <c r="AB124" s="19"/>
      <c r="AG124" s="286"/>
    </row>
    <row r="125" spans="1:33" s="2" customFormat="1" ht="20.100000000000001" customHeight="1">
      <c r="A125" s="176" t="s">
        <v>70</v>
      </c>
      <c r="B125" s="202" t="str">
        <f t="shared" ref="B125:T125" si="5">B1</f>
        <v>Erläuterungen</v>
      </c>
      <c r="C125" s="202" t="str">
        <f t="shared" si="5"/>
        <v>Baloise Gold</v>
      </c>
      <c r="D125" s="202" t="str">
        <f t="shared" si="5"/>
        <v>Baloise Gold 100</v>
      </c>
      <c r="E125" s="202" t="str">
        <f t="shared" si="5"/>
        <v>Baloise Silber</v>
      </c>
      <c r="F125" s="202" t="str">
        <f t="shared" si="5"/>
        <v>HK Einfach Besser</v>
      </c>
      <c r="G125" s="202" t="str">
        <f t="shared" si="5"/>
        <v>HK Einfach Gut</v>
      </c>
      <c r="H125" s="202" t="str">
        <f t="shared" si="5"/>
        <v>HK Einfach Komplett</v>
      </c>
      <c r="I125" s="202" t="str">
        <f t="shared" si="5"/>
        <v>Interlloyd Premium</v>
      </c>
      <c r="J125" s="202" t="str">
        <f t="shared" si="5"/>
        <v>Interlloyd Premium HB</v>
      </c>
      <c r="K125" s="202" t="str">
        <f t="shared" si="5"/>
        <v>Interllyod Protect UR</v>
      </c>
      <c r="L125" s="202" t="str">
        <f t="shared" si="5"/>
        <v xml:space="preserve">ITL Eurosecure Plus </v>
      </c>
      <c r="M125" s="202" t="str">
        <f t="shared" si="5"/>
        <v>ITL Infinitus</v>
      </c>
      <c r="N125" s="202" t="str">
        <f t="shared" si="5"/>
        <v>ITL Infinitus HB</v>
      </c>
      <c r="O125" s="202" t="str">
        <f t="shared" si="5"/>
        <v>ITL Protect Plus</v>
      </c>
      <c r="P125" s="202" t="str">
        <f t="shared" si="5"/>
        <v>keine</v>
      </c>
      <c r="Q125" s="202" t="str">
        <f t="shared" si="5"/>
        <v>VHV Klassik Garant</v>
      </c>
      <c r="R125" s="202" t="str">
        <f t="shared" si="5"/>
        <v>VHV Klassik Garant Exklusiv</v>
      </c>
      <c r="S125" s="202" t="str">
        <f t="shared" si="5"/>
        <v>VHV Klassik Garant Exklusiv HB</v>
      </c>
      <c r="T125" s="202" t="str">
        <f t="shared" si="5"/>
        <v>VHV Smart</v>
      </c>
      <c r="U125" s="202"/>
      <c r="X125" s="19"/>
      <c r="Y125" s="20"/>
      <c r="Z125" s="11"/>
      <c r="AA125" s="19"/>
      <c r="AB125" s="14"/>
      <c r="AG125" s="239"/>
    </row>
    <row r="126" spans="1:33" s="2" customFormat="1" ht="60" customHeight="1">
      <c r="A126" s="53" t="s">
        <v>4864</v>
      </c>
      <c r="B126" s="212"/>
      <c r="C126" s="54" t="s">
        <v>6042</v>
      </c>
      <c r="D126" s="54" t="s">
        <v>6042</v>
      </c>
      <c r="E126" s="54" t="s">
        <v>6041</v>
      </c>
      <c r="F126" s="54" t="s">
        <v>6030</v>
      </c>
      <c r="G126" s="54" t="s">
        <v>6030</v>
      </c>
      <c r="H126" s="54" t="s">
        <v>6029</v>
      </c>
      <c r="I126" s="54" t="s">
        <v>6032</v>
      </c>
      <c r="J126" s="54" t="s">
        <v>6032</v>
      </c>
      <c r="K126" s="54" t="s">
        <v>39</v>
      </c>
      <c r="L126" s="54" t="s">
        <v>6031</v>
      </c>
      <c r="M126" s="54" t="s">
        <v>6031</v>
      </c>
      <c r="N126" s="54" t="s">
        <v>6031</v>
      </c>
      <c r="O126" s="54" t="s">
        <v>6031</v>
      </c>
      <c r="P126" s="54" t="s">
        <v>39</v>
      </c>
      <c r="Q126" s="54" t="s">
        <v>6051</v>
      </c>
      <c r="R126" s="54" t="s">
        <v>6034</v>
      </c>
      <c r="S126" s="54" t="s">
        <v>6034</v>
      </c>
      <c r="T126" s="54" t="s">
        <v>6033</v>
      </c>
      <c r="U126" s="54"/>
      <c r="X126" s="14"/>
      <c r="Y126" s="14"/>
      <c r="Z126" s="14"/>
      <c r="AC126" s="19"/>
      <c r="AG126" s="239"/>
    </row>
    <row r="127" spans="1:33" s="2" customFormat="1" ht="9" customHeight="1">
      <c r="A127" s="95" t="s">
        <v>688</v>
      </c>
      <c r="B127" s="238"/>
      <c r="C127" s="94" t="s">
        <v>5287</v>
      </c>
      <c r="D127" s="94" t="s">
        <v>5287</v>
      </c>
      <c r="E127" s="94" t="s">
        <v>5244</v>
      </c>
      <c r="F127" s="94" t="s">
        <v>5991</v>
      </c>
      <c r="G127" s="94" t="s">
        <v>5991</v>
      </c>
      <c r="H127" s="94" t="s">
        <v>5991</v>
      </c>
      <c r="I127" s="94" t="s">
        <v>5155</v>
      </c>
      <c r="J127" s="94" t="s">
        <v>5155</v>
      </c>
      <c r="K127" s="94" t="s">
        <v>39</v>
      </c>
      <c r="L127" s="94" t="s">
        <v>6154</v>
      </c>
      <c r="M127" s="94" t="s">
        <v>6154</v>
      </c>
      <c r="N127" s="94" t="s">
        <v>6154</v>
      </c>
      <c r="O127" s="94" t="s">
        <v>6154</v>
      </c>
      <c r="P127" s="94" t="s">
        <v>39</v>
      </c>
      <c r="Q127" s="94" t="s">
        <v>5612</v>
      </c>
      <c r="R127" s="94" t="s">
        <v>5612</v>
      </c>
      <c r="S127" s="94" t="s">
        <v>5612</v>
      </c>
      <c r="T127" s="94" t="s">
        <v>5631</v>
      </c>
      <c r="U127" s="94"/>
      <c r="X127" s="19"/>
      <c r="Y127" s="20"/>
      <c r="Z127" s="11"/>
      <c r="AB127" s="19"/>
      <c r="AG127" s="239"/>
    </row>
    <row r="128" spans="1:33" s="2" customFormat="1" ht="99.95" customHeight="1">
      <c r="A128" s="53" t="s">
        <v>6045</v>
      </c>
      <c r="B128" s="212"/>
      <c r="C128" s="54" t="s">
        <v>6043</v>
      </c>
      <c r="D128" s="54" t="s">
        <v>6048</v>
      </c>
      <c r="E128" s="54" t="s">
        <v>6044</v>
      </c>
      <c r="F128" s="54" t="s">
        <v>6046</v>
      </c>
      <c r="G128" s="54" t="s">
        <v>6046</v>
      </c>
      <c r="H128" s="54" t="s">
        <v>6047</v>
      </c>
      <c r="I128" s="54" t="s">
        <v>6050</v>
      </c>
      <c r="J128" s="54" t="s">
        <v>6050</v>
      </c>
      <c r="K128" s="54" t="s">
        <v>39</v>
      </c>
      <c r="L128" s="54" t="s">
        <v>6049</v>
      </c>
      <c r="M128" s="54" t="s">
        <v>6049</v>
      </c>
      <c r="N128" s="54" t="s">
        <v>6049</v>
      </c>
      <c r="O128" s="54" t="s">
        <v>6049</v>
      </c>
      <c r="P128" s="54" t="s">
        <v>39</v>
      </c>
      <c r="Q128" s="54" t="s">
        <v>6044</v>
      </c>
      <c r="R128" s="54" t="s">
        <v>6044</v>
      </c>
      <c r="S128" s="54" t="s">
        <v>6044</v>
      </c>
      <c r="T128" s="54" t="s">
        <v>6052</v>
      </c>
      <c r="U128" s="54"/>
      <c r="X128" s="14"/>
      <c r="Y128" s="14"/>
      <c r="Z128" s="14"/>
      <c r="AA128" s="14"/>
      <c r="AG128" s="239"/>
    </row>
    <row r="129" spans="1:33" s="2" customFormat="1" ht="9" customHeight="1">
      <c r="A129" s="95"/>
      <c r="B129" s="238"/>
      <c r="C129" s="94" t="s">
        <v>5287</v>
      </c>
      <c r="D129" s="94" t="s">
        <v>5287</v>
      </c>
      <c r="E129" s="94" t="s">
        <v>5244</v>
      </c>
      <c r="F129" s="94" t="s">
        <v>5991</v>
      </c>
      <c r="G129" s="94" t="s">
        <v>5991</v>
      </c>
      <c r="H129" s="94" t="s">
        <v>5991</v>
      </c>
      <c r="I129" s="94" t="s">
        <v>5155</v>
      </c>
      <c r="J129" s="94" t="s">
        <v>5155</v>
      </c>
      <c r="K129" s="94" t="s">
        <v>39</v>
      </c>
      <c r="L129" s="94" t="s">
        <v>6235</v>
      </c>
      <c r="M129" s="94" t="s">
        <v>6235</v>
      </c>
      <c r="N129" s="94" t="s">
        <v>6235</v>
      </c>
      <c r="O129" s="94" t="s">
        <v>6235</v>
      </c>
      <c r="P129" s="94" t="s">
        <v>39</v>
      </c>
      <c r="Q129" s="94" t="s">
        <v>5612</v>
      </c>
      <c r="R129" s="94" t="s">
        <v>5612</v>
      </c>
      <c r="S129" s="94" t="s">
        <v>5612</v>
      </c>
      <c r="T129" s="94" t="s">
        <v>5631</v>
      </c>
      <c r="U129" s="94"/>
      <c r="X129" s="19"/>
      <c r="Y129" s="20"/>
      <c r="Z129" s="11"/>
      <c r="AA129" s="19"/>
      <c r="AG129" s="239"/>
    </row>
    <row r="130" spans="1:33" s="2" customFormat="1" ht="30" customHeight="1">
      <c r="A130" s="53" t="s">
        <v>59</v>
      </c>
      <c r="B130" s="212"/>
      <c r="C130" s="265" t="s">
        <v>39</v>
      </c>
      <c r="D130" s="265" t="s">
        <v>39</v>
      </c>
      <c r="E130" s="265" t="s">
        <v>39</v>
      </c>
      <c r="F130" s="265" t="s">
        <v>39</v>
      </c>
      <c r="G130" s="265" t="s">
        <v>39</v>
      </c>
      <c r="H130" s="265" t="s">
        <v>39</v>
      </c>
      <c r="I130" s="54" t="s">
        <v>4862</v>
      </c>
      <c r="J130" s="54" t="s">
        <v>4862</v>
      </c>
      <c r="K130" s="54" t="s">
        <v>39</v>
      </c>
      <c r="L130" s="54" t="s">
        <v>39</v>
      </c>
      <c r="M130" s="54" t="s">
        <v>39</v>
      </c>
      <c r="N130" s="54" t="s">
        <v>39</v>
      </c>
      <c r="O130" s="54" t="s">
        <v>39</v>
      </c>
      <c r="P130" s="54" t="s">
        <v>39</v>
      </c>
      <c r="Q130" s="54" t="s">
        <v>39</v>
      </c>
      <c r="R130" s="54" t="s">
        <v>39</v>
      </c>
      <c r="S130" s="54" t="s">
        <v>39</v>
      </c>
      <c r="T130" s="54" t="s">
        <v>39</v>
      </c>
      <c r="U130" s="54"/>
      <c r="X130" s="14"/>
      <c r="Y130" s="14"/>
      <c r="Z130" s="14"/>
      <c r="AA130" s="14"/>
      <c r="AC130" s="19"/>
      <c r="AG130" s="239"/>
    </row>
    <row r="131" spans="1:33" s="2" customFormat="1" ht="9" customHeight="1">
      <c r="A131" s="95" t="s">
        <v>688</v>
      </c>
      <c r="B131" s="238"/>
      <c r="C131" s="94" t="s">
        <v>39</v>
      </c>
      <c r="D131" s="94" t="s">
        <v>39</v>
      </c>
      <c r="E131" s="94" t="s">
        <v>39</v>
      </c>
      <c r="F131" s="94" t="s">
        <v>39</v>
      </c>
      <c r="G131" s="94" t="s">
        <v>39</v>
      </c>
      <c r="H131" s="94" t="s">
        <v>39</v>
      </c>
      <c r="I131" s="94" t="s">
        <v>4951</v>
      </c>
      <c r="J131" s="94" t="s">
        <v>4951</v>
      </c>
      <c r="K131" s="94" t="s">
        <v>39</v>
      </c>
      <c r="L131" s="94" t="s">
        <v>39</v>
      </c>
      <c r="M131" s="94" t="s">
        <v>39</v>
      </c>
      <c r="N131" s="94" t="s">
        <v>39</v>
      </c>
      <c r="O131" s="94" t="s">
        <v>39</v>
      </c>
      <c r="P131" s="94" t="s">
        <v>39</v>
      </c>
      <c r="Q131" s="94" t="s">
        <v>39</v>
      </c>
      <c r="R131" s="94" t="s">
        <v>39</v>
      </c>
      <c r="S131" s="94" t="s">
        <v>39</v>
      </c>
      <c r="T131" s="94" t="s">
        <v>39</v>
      </c>
      <c r="U131" s="94"/>
      <c r="X131" s="19"/>
      <c r="Y131" s="20"/>
      <c r="Z131" s="11"/>
      <c r="AA131"/>
      <c r="AB131" s="19"/>
      <c r="AG131" s="239"/>
    </row>
    <row r="132" spans="1:33" s="2" customFormat="1" ht="30" customHeight="1">
      <c r="A132" s="53" t="s">
        <v>4820</v>
      </c>
      <c r="B132" s="212"/>
      <c r="C132" s="116">
        <v>1000000</v>
      </c>
      <c r="D132" s="116">
        <v>1000000</v>
      </c>
      <c r="E132" s="116">
        <v>1000000</v>
      </c>
      <c r="F132" s="116">
        <v>1000000</v>
      </c>
      <c r="G132" s="116">
        <v>1000000</v>
      </c>
      <c r="H132" s="116">
        <v>1000000</v>
      </c>
      <c r="I132" s="116" t="s">
        <v>6012</v>
      </c>
      <c r="J132" s="116" t="s">
        <v>6012</v>
      </c>
      <c r="K132" s="54" t="s">
        <v>39</v>
      </c>
      <c r="L132" s="116" t="s">
        <v>6212</v>
      </c>
      <c r="M132" s="116" t="s">
        <v>6212</v>
      </c>
      <c r="N132" s="116" t="s">
        <v>6212</v>
      </c>
      <c r="O132" s="116" t="s">
        <v>6212</v>
      </c>
      <c r="P132" s="116" t="s">
        <v>39</v>
      </c>
      <c r="Q132" s="116">
        <v>1000000</v>
      </c>
      <c r="R132" s="116">
        <v>1000000</v>
      </c>
      <c r="S132" s="116">
        <v>1000000</v>
      </c>
      <c r="T132" s="116">
        <v>1000000</v>
      </c>
      <c r="U132" s="54"/>
      <c r="X132" s="14"/>
      <c r="Y132" s="14"/>
      <c r="Z132" s="14"/>
      <c r="AA132" s="14"/>
      <c r="AG132" s="239"/>
    </row>
    <row r="133" spans="1:33" s="14" customFormat="1" ht="9" customHeight="1">
      <c r="A133" s="95" t="s">
        <v>688</v>
      </c>
      <c r="B133" s="238"/>
      <c r="C133" s="94" t="s">
        <v>5288</v>
      </c>
      <c r="D133" s="94" t="s">
        <v>5288</v>
      </c>
      <c r="E133" s="94" t="s">
        <v>5288</v>
      </c>
      <c r="F133" s="94" t="s">
        <v>1136</v>
      </c>
      <c r="G133" s="94" t="s">
        <v>1136</v>
      </c>
      <c r="H133" s="94" t="s">
        <v>1136</v>
      </c>
      <c r="I133" s="94" t="s">
        <v>6011</v>
      </c>
      <c r="J133" s="94" t="s">
        <v>6011</v>
      </c>
      <c r="K133" s="94" t="s">
        <v>39</v>
      </c>
      <c r="L133" s="94" t="s">
        <v>6211</v>
      </c>
      <c r="M133" s="94" t="s">
        <v>6211</v>
      </c>
      <c r="N133" s="94" t="s">
        <v>6211</v>
      </c>
      <c r="O133" s="94" t="s">
        <v>6211</v>
      </c>
      <c r="P133" s="94" t="s">
        <v>39</v>
      </c>
      <c r="Q133" s="94" t="s">
        <v>5578</v>
      </c>
      <c r="R133" s="94" t="s">
        <v>5578</v>
      </c>
      <c r="S133" s="94" t="s">
        <v>5578</v>
      </c>
      <c r="T133" s="94" t="s">
        <v>5578</v>
      </c>
      <c r="U133" s="94"/>
      <c r="X133" s="19"/>
      <c r="Y133" s="20"/>
      <c r="Z133" s="11"/>
      <c r="AA133" s="19"/>
      <c r="AB133" s="2"/>
      <c r="AG133" s="286"/>
    </row>
    <row r="134" spans="1:33" s="2" customFormat="1" ht="30" customHeight="1">
      <c r="A134" s="53" t="s">
        <v>5216</v>
      </c>
      <c r="B134" s="212"/>
      <c r="C134" s="54" t="s">
        <v>41</v>
      </c>
      <c r="D134" s="54" t="s">
        <v>41</v>
      </c>
      <c r="E134" s="54" t="s">
        <v>41</v>
      </c>
      <c r="F134" s="54" t="s">
        <v>41</v>
      </c>
      <c r="G134" s="54" t="s">
        <v>41</v>
      </c>
      <c r="H134" s="54" t="s">
        <v>41</v>
      </c>
      <c r="I134" s="54" t="s">
        <v>41</v>
      </c>
      <c r="J134" s="54" t="s">
        <v>41</v>
      </c>
      <c r="K134" s="54" t="s">
        <v>39</v>
      </c>
      <c r="L134" s="54" t="s">
        <v>41</v>
      </c>
      <c r="M134" s="54" t="s">
        <v>41</v>
      </c>
      <c r="N134" s="54" t="s">
        <v>41</v>
      </c>
      <c r="O134" s="54" t="s">
        <v>41</v>
      </c>
      <c r="P134" s="54" t="s">
        <v>39</v>
      </c>
      <c r="Q134" s="54" t="s">
        <v>41</v>
      </c>
      <c r="R134" s="54" t="s">
        <v>41</v>
      </c>
      <c r="S134" s="54" t="s">
        <v>41</v>
      </c>
      <c r="T134" s="54" t="s">
        <v>41</v>
      </c>
      <c r="U134" s="54"/>
      <c r="X134" s="14"/>
      <c r="Y134" s="14"/>
      <c r="Z134" s="14"/>
      <c r="AA134" s="14"/>
      <c r="AB134" s="14"/>
      <c r="AC134" s="19"/>
      <c r="AG134" s="239"/>
    </row>
    <row r="135" spans="1:33" s="14" customFormat="1" ht="9" customHeight="1">
      <c r="A135" s="95" t="s">
        <v>688</v>
      </c>
      <c r="B135" s="238"/>
      <c r="C135" s="94" t="s">
        <v>4918</v>
      </c>
      <c r="D135" s="94" t="s">
        <v>4918</v>
      </c>
      <c r="E135" s="94" t="s">
        <v>4918</v>
      </c>
      <c r="F135" s="94" t="s">
        <v>4918</v>
      </c>
      <c r="G135" s="94" t="s">
        <v>4918</v>
      </c>
      <c r="H135" s="94" t="s">
        <v>4918</v>
      </c>
      <c r="I135" s="94" t="s">
        <v>5123</v>
      </c>
      <c r="J135" s="94" t="s">
        <v>5123</v>
      </c>
      <c r="K135" s="94" t="s">
        <v>39</v>
      </c>
      <c r="L135" s="94" t="s">
        <v>6213</v>
      </c>
      <c r="M135" s="94" t="s">
        <v>6213</v>
      </c>
      <c r="N135" s="94" t="s">
        <v>6213</v>
      </c>
      <c r="O135" s="94" t="s">
        <v>6213</v>
      </c>
      <c r="P135" s="94" t="s">
        <v>39</v>
      </c>
      <c r="Q135" s="94" t="s">
        <v>5595</v>
      </c>
      <c r="R135" s="94" t="s">
        <v>5595</v>
      </c>
      <c r="S135" s="94" t="s">
        <v>5595</v>
      </c>
      <c r="T135" s="94" t="s">
        <v>5595</v>
      </c>
      <c r="U135" s="94"/>
      <c r="X135" s="19"/>
      <c r="Y135" s="20"/>
      <c r="Z135" s="11"/>
      <c r="AA135" s="19"/>
      <c r="AB135" s="19"/>
      <c r="AG135" s="286"/>
    </row>
    <row r="136" spans="1:33" s="2" customFormat="1" ht="50.1" customHeight="1">
      <c r="A136" s="53" t="s">
        <v>4787</v>
      </c>
      <c r="B136" s="212" t="s">
        <v>4962</v>
      </c>
      <c r="C136" s="48" t="s">
        <v>5289</v>
      </c>
      <c r="D136" s="48" t="s">
        <v>6125</v>
      </c>
      <c r="E136" s="48" t="s">
        <v>39</v>
      </c>
      <c r="F136" s="54" t="s">
        <v>39</v>
      </c>
      <c r="G136" s="54" t="s">
        <v>39</v>
      </c>
      <c r="H136" s="54" t="s">
        <v>5970</v>
      </c>
      <c r="I136" s="48" t="s">
        <v>39</v>
      </c>
      <c r="J136" s="48" t="s">
        <v>39</v>
      </c>
      <c r="K136" s="48" t="s">
        <v>39</v>
      </c>
      <c r="L136" s="48" t="s">
        <v>39</v>
      </c>
      <c r="M136" s="48" t="s">
        <v>39</v>
      </c>
      <c r="N136" s="48" t="s">
        <v>39</v>
      </c>
      <c r="O136" s="48" t="s">
        <v>39</v>
      </c>
      <c r="P136" s="48" t="s">
        <v>39</v>
      </c>
      <c r="Q136" s="48" t="s">
        <v>39</v>
      </c>
      <c r="R136" s="48" t="s">
        <v>5579</v>
      </c>
      <c r="S136" s="48" t="s">
        <v>5579</v>
      </c>
      <c r="T136" s="48" t="s">
        <v>39</v>
      </c>
      <c r="U136" s="54"/>
      <c r="X136" s="14"/>
      <c r="Y136" s="14"/>
      <c r="Z136" s="14"/>
      <c r="AA136" s="14"/>
      <c r="AB136" s="14"/>
      <c r="AC136" s="19"/>
      <c r="AG136" s="239"/>
    </row>
    <row r="137" spans="1:33" s="14" customFormat="1" ht="9" customHeight="1">
      <c r="A137" s="95" t="s">
        <v>688</v>
      </c>
      <c r="B137" s="238"/>
      <c r="C137" s="94" t="s">
        <v>5290</v>
      </c>
      <c r="D137" s="94" t="s">
        <v>5386</v>
      </c>
      <c r="E137" s="94" t="s">
        <v>39</v>
      </c>
      <c r="F137" s="94" t="s">
        <v>5738</v>
      </c>
      <c r="G137" s="94" t="s">
        <v>5738</v>
      </c>
      <c r="H137" s="91" t="s">
        <v>5919</v>
      </c>
      <c r="I137" s="94" t="s">
        <v>4960</v>
      </c>
      <c r="J137" s="94" t="s">
        <v>4960</v>
      </c>
      <c r="K137" s="94" t="s">
        <v>4901</v>
      </c>
      <c r="L137" s="94" t="s">
        <v>6176</v>
      </c>
      <c r="M137" s="94" t="s">
        <v>6176</v>
      </c>
      <c r="N137" s="94" t="s">
        <v>6176</v>
      </c>
      <c r="O137" s="94" t="s">
        <v>6176</v>
      </c>
      <c r="P137" s="94" t="s">
        <v>39</v>
      </c>
      <c r="Q137" s="94" t="s">
        <v>5527</v>
      </c>
      <c r="R137" s="94" t="s">
        <v>5580</v>
      </c>
      <c r="S137" s="94" t="s">
        <v>5580</v>
      </c>
      <c r="T137" s="94" t="s">
        <v>5527</v>
      </c>
      <c r="U137" s="94"/>
      <c r="X137" s="19"/>
      <c r="Y137" s="20"/>
      <c r="Z137" s="11"/>
      <c r="AA137" s="19"/>
      <c r="AB137" s="19"/>
      <c r="AG137" s="286"/>
    </row>
    <row r="138" spans="1:33" s="2" customFormat="1" ht="60" customHeight="1">
      <c r="A138" s="53" t="s">
        <v>4788</v>
      </c>
      <c r="B138" s="212" t="s">
        <v>5125</v>
      </c>
      <c r="C138" s="48" t="s">
        <v>39</v>
      </c>
      <c r="D138" s="48" t="s">
        <v>39</v>
      </c>
      <c r="E138" s="48">
        <v>0.5</v>
      </c>
      <c r="F138" s="48">
        <v>0.5</v>
      </c>
      <c r="G138" s="48">
        <v>0.25</v>
      </c>
      <c r="H138" s="54" t="s">
        <v>39</v>
      </c>
      <c r="I138" s="48" t="s">
        <v>4961</v>
      </c>
      <c r="J138" s="48" t="s">
        <v>4961</v>
      </c>
      <c r="K138" s="48" t="s">
        <v>260</v>
      </c>
      <c r="L138" s="48" t="s">
        <v>6303</v>
      </c>
      <c r="M138" s="48" t="s">
        <v>6303</v>
      </c>
      <c r="N138" s="48" t="s">
        <v>6303</v>
      </c>
      <c r="O138" s="48" t="s">
        <v>6253</v>
      </c>
      <c r="P138" s="48" t="s">
        <v>39</v>
      </c>
      <c r="Q138" s="48" t="s">
        <v>5528</v>
      </c>
      <c r="R138" s="48" t="s">
        <v>39</v>
      </c>
      <c r="S138" s="48" t="s">
        <v>39</v>
      </c>
      <c r="T138" s="48" t="s">
        <v>3771</v>
      </c>
      <c r="U138" s="54"/>
      <c r="X138" s="14"/>
      <c r="Y138" s="14"/>
      <c r="Z138" s="14"/>
      <c r="AA138" s="19"/>
      <c r="AB138" s="14"/>
      <c r="AC138" s="19"/>
      <c r="AG138" s="239"/>
    </row>
    <row r="139" spans="1:33" s="14" customFormat="1" ht="9" customHeight="1">
      <c r="A139" s="95" t="s">
        <v>688</v>
      </c>
      <c r="B139" s="238"/>
      <c r="C139" s="94" t="s">
        <v>5233</v>
      </c>
      <c r="D139" s="94" t="s">
        <v>5233</v>
      </c>
      <c r="E139" s="94" t="s">
        <v>5233</v>
      </c>
      <c r="F139" s="91" t="s">
        <v>5788</v>
      </c>
      <c r="G139" s="94" t="s">
        <v>5738</v>
      </c>
      <c r="H139" s="91" t="s">
        <v>5919</v>
      </c>
      <c r="I139" s="94" t="s">
        <v>4960</v>
      </c>
      <c r="J139" s="94" t="s">
        <v>4960</v>
      </c>
      <c r="K139" s="94" t="s">
        <v>4901</v>
      </c>
      <c r="L139" s="94" t="s">
        <v>6177</v>
      </c>
      <c r="M139" s="94" t="s">
        <v>6177</v>
      </c>
      <c r="N139" s="94" t="s">
        <v>6177</v>
      </c>
      <c r="O139" s="94" t="s">
        <v>6177</v>
      </c>
      <c r="P139" s="94" t="s">
        <v>39</v>
      </c>
      <c r="Q139" s="94" t="s">
        <v>5527</v>
      </c>
      <c r="R139" s="94" t="s">
        <v>5580</v>
      </c>
      <c r="S139" s="94" t="s">
        <v>5580</v>
      </c>
      <c r="T139" s="94" t="s">
        <v>5527</v>
      </c>
      <c r="U139" s="94"/>
      <c r="X139" s="19"/>
      <c r="Y139" s="20"/>
      <c r="Z139" s="2"/>
      <c r="AA139" s="19"/>
      <c r="AB139" s="19"/>
      <c r="AG139" s="286"/>
    </row>
    <row r="140" spans="1:33" s="2" customFormat="1" ht="50.1" customHeight="1">
      <c r="A140" s="53" t="s">
        <v>4321</v>
      </c>
      <c r="B140" s="212"/>
      <c r="C140" s="54" t="s">
        <v>5291</v>
      </c>
      <c r="D140" s="54" t="s">
        <v>5291</v>
      </c>
      <c r="E140" s="54" t="s">
        <v>5292</v>
      </c>
      <c r="F140" s="54" t="s">
        <v>5840</v>
      </c>
      <c r="G140" s="54" t="s">
        <v>5725</v>
      </c>
      <c r="H140" s="54" t="s">
        <v>5946</v>
      </c>
      <c r="I140" s="54" t="s">
        <v>5126</v>
      </c>
      <c r="J140" s="54" t="s">
        <v>5126</v>
      </c>
      <c r="K140" s="54" t="s">
        <v>39</v>
      </c>
      <c r="L140" s="54" t="s">
        <v>6178</v>
      </c>
      <c r="M140" s="54" t="s">
        <v>6178</v>
      </c>
      <c r="N140" s="54" t="s">
        <v>6178</v>
      </c>
      <c r="O140" s="54" t="s">
        <v>6178</v>
      </c>
      <c r="P140" s="54" t="s">
        <v>39</v>
      </c>
      <c r="Q140" s="54" t="s">
        <v>5633</v>
      </c>
      <c r="R140" s="54" t="s">
        <v>5633</v>
      </c>
      <c r="S140" s="54" t="s">
        <v>5633</v>
      </c>
      <c r="T140" s="54" t="s">
        <v>4919</v>
      </c>
      <c r="U140" s="54"/>
      <c r="X140" s="14"/>
      <c r="Y140" s="14"/>
      <c r="Z140" s="14"/>
      <c r="AA140" s="14"/>
      <c r="AB140" s="14"/>
      <c r="AC140" s="19"/>
      <c r="AG140" s="239"/>
    </row>
    <row r="141" spans="1:33" s="14" customFormat="1" ht="9" customHeight="1">
      <c r="A141" s="95" t="s">
        <v>688</v>
      </c>
      <c r="B141" s="238"/>
      <c r="C141" s="94" t="s">
        <v>4920</v>
      </c>
      <c r="D141" s="94" t="s">
        <v>4920</v>
      </c>
      <c r="E141" s="94" t="s">
        <v>4920</v>
      </c>
      <c r="F141" s="94" t="s">
        <v>5841</v>
      </c>
      <c r="G141" s="94" t="s">
        <v>5726</v>
      </c>
      <c r="H141" s="94" t="s">
        <v>5947</v>
      </c>
      <c r="I141" s="94" t="s">
        <v>5028</v>
      </c>
      <c r="J141" s="94" t="s">
        <v>5028</v>
      </c>
      <c r="K141" s="94" t="s">
        <v>39</v>
      </c>
      <c r="L141" s="94" t="s">
        <v>6179</v>
      </c>
      <c r="M141" s="94" t="s">
        <v>6179</v>
      </c>
      <c r="N141" s="94" t="s">
        <v>6179</v>
      </c>
      <c r="O141" s="94" t="s">
        <v>6179</v>
      </c>
      <c r="P141" s="94" t="s">
        <v>39</v>
      </c>
      <c r="Q141" s="94" t="s">
        <v>5634</v>
      </c>
      <c r="R141" s="94" t="s">
        <v>5635</v>
      </c>
      <c r="S141" s="94" t="s">
        <v>5635</v>
      </c>
      <c r="T141" s="94" t="s">
        <v>5632</v>
      </c>
      <c r="U141" s="94"/>
      <c r="X141" s="2"/>
      <c r="Y141" s="2"/>
      <c r="Z141" s="11"/>
      <c r="AA141" s="19"/>
      <c r="AB141" s="19"/>
      <c r="AG141" s="286"/>
    </row>
    <row r="142" spans="1:33" s="2" customFormat="1" ht="39.950000000000003" customHeight="1">
      <c r="A142" s="53" t="s">
        <v>96</v>
      </c>
      <c r="B142" s="212"/>
      <c r="C142" s="54" t="s">
        <v>5294</v>
      </c>
      <c r="D142" s="54" t="s">
        <v>5294</v>
      </c>
      <c r="E142" s="54" t="s">
        <v>39</v>
      </c>
      <c r="F142" s="54" t="s">
        <v>39</v>
      </c>
      <c r="G142" s="54" t="s">
        <v>39</v>
      </c>
      <c r="H142" s="54" t="s">
        <v>5869</v>
      </c>
      <c r="I142" s="54" t="s">
        <v>5016</v>
      </c>
      <c r="J142" s="54" t="s">
        <v>5016</v>
      </c>
      <c r="K142" s="54" t="s">
        <v>39</v>
      </c>
      <c r="L142" s="54" t="s">
        <v>6284</v>
      </c>
      <c r="M142" s="54" t="s">
        <v>6284</v>
      </c>
      <c r="N142" s="54" t="s">
        <v>6284</v>
      </c>
      <c r="O142" s="254" t="s">
        <v>39</v>
      </c>
      <c r="P142" s="254" t="s">
        <v>39</v>
      </c>
      <c r="Q142" s="254" t="s">
        <v>39</v>
      </c>
      <c r="R142" s="254" t="s">
        <v>39</v>
      </c>
      <c r="S142" s="254" t="s">
        <v>39</v>
      </c>
      <c r="T142" s="254" t="s">
        <v>39</v>
      </c>
      <c r="U142" s="54"/>
      <c r="X142" s="14"/>
      <c r="Y142" s="14"/>
      <c r="Z142" s="14"/>
      <c r="AA142" s="14"/>
      <c r="AB142" s="14"/>
      <c r="AC142" s="19"/>
      <c r="AG142" s="239"/>
    </row>
    <row r="143" spans="1:33" s="14" customFormat="1" ht="9" customHeight="1">
      <c r="A143" s="95" t="s">
        <v>688</v>
      </c>
      <c r="B143" s="238"/>
      <c r="C143" s="94" t="s">
        <v>5293</v>
      </c>
      <c r="D143" s="94" t="s">
        <v>5293</v>
      </c>
      <c r="E143" s="94" t="s">
        <v>39</v>
      </c>
      <c r="F143" s="94" t="s">
        <v>39</v>
      </c>
      <c r="G143" s="94" t="s">
        <v>39</v>
      </c>
      <c r="H143" s="94" t="s">
        <v>5870</v>
      </c>
      <c r="I143" s="94" t="s">
        <v>5018</v>
      </c>
      <c r="J143" s="94" t="s">
        <v>5018</v>
      </c>
      <c r="K143" s="94" t="s">
        <v>39</v>
      </c>
      <c r="L143" s="255" t="s">
        <v>6156</v>
      </c>
      <c r="M143" s="255" t="s">
        <v>6156</v>
      </c>
      <c r="N143" s="255" t="s">
        <v>6156</v>
      </c>
      <c r="O143" s="255" t="s">
        <v>39</v>
      </c>
      <c r="P143" s="255" t="s">
        <v>39</v>
      </c>
      <c r="Q143" s="255" t="s">
        <v>39</v>
      </c>
      <c r="R143" s="255" t="s">
        <v>39</v>
      </c>
      <c r="S143" s="255" t="s">
        <v>39</v>
      </c>
      <c r="T143" s="255" t="s">
        <v>39</v>
      </c>
      <c r="U143" s="94"/>
      <c r="X143" s="19"/>
      <c r="Y143" s="20"/>
      <c r="Z143" s="11"/>
      <c r="AA143" s="19"/>
      <c r="AB143" s="19"/>
      <c r="AG143" s="286"/>
    </row>
    <row r="144" spans="1:33" s="2" customFormat="1" ht="50.1" customHeight="1">
      <c r="A144" s="53" t="s">
        <v>144</v>
      </c>
      <c r="B144" s="212"/>
      <c r="C144" s="54" t="s">
        <v>5295</v>
      </c>
      <c r="D144" s="54" t="s">
        <v>5295</v>
      </c>
      <c r="E144" s="54" t="s">
        <v>39</v>
      </c>
      <c r="F144" s="54" t="s">
        <v>39</v>
      </c>
      <c r="G144" s="54" t="s">
        <v>39</v>
      </c>
      <c r="H144" s="54" t="s">
        <v>5867</v>
      </c>
      <c r="I144" s="54" t="s">
        <v>5016</v>
      </c>
      <c r="J144" s="54" t="s">
        <v>5016</v>
      </c>
      <c r="K144" s="54" t="s">
        <v>39</v>
      </c>
      <c r="L144" s="54" t="s">
        <v>6285</v>
      </c>
      <c r="M144" s="54" t="s">
        <v>6285</v>
      </c>
      <c r="N144" s="54" t="s">
        <v>6285</v>
      </c>
      <c r="O144" s="54" t="s">
        <v>39</v>
      </c>
      <c r="P144" s="254" t="s">
        <v>39</v>
      </c>
      <c r="Q144" s="254" t="s">
        <v>39</v>
      </c>
      <c r="R144" s="254" t="s">
        <v>39</v>
      </c>
      <c r="S144" s="254" t="s">
        <v>39</v>
      </c>
      <c r="T144" s="254" t="s">
        <v>39</v>
      </c>
      <c r="U144" s="54"/>
      <c r="X144" s="14"/>
      <c r="Y144" s="14"/>
      <c r="Z144" s="14"/>
      <c r="AA144" s="14"/>
      <c r="AB144" s="14"/>
      <c r="AC144" s="19"/>
      <c r="AG144" s="239"/>
    </row>
    <row r="145" spans="1:33" s="14" customFormat="1" ht="9" customHeight="1">
      <c r="A145" s="95" t="s">
        <v>688</v>
      </c>
      <c r="B145" s="238"/>
      <c r="C145" s="94" t="s">
        <v>5293</v>
      </c>
      <c r="D145" s="94" t="s">
        <v>5293</v>
      </c>
      <c r="E145" s="94" t="s">
        <v>39</v>
      </c>
      <c r="F145" s="94" t="s">
        <v>39</v>
      </c>
      <c r="G145" s="94" t="s">
        <v>39</v>
      </c>
      <c r="H145" s="94" t="s">
        <v>5870</v>
      </c>
      <c r="I145" s="94" t="s">
        <v>5018</v>
      </c>
      <c r="J145" s="94" t="s">
        <v>5018</v>
      </c>
      <c r="K145" s="94" t="s">
        <v>39</v>
      </c>
      <c r="L145" s="255" t="s">
        <v>6156</v>
      </c>
      <c r="M145" s="255" t="s">
        <v>6156</v>
      </c>
      <c r="N145" s="255" t="s">
        <v>6156</v>
      </c>
      <c r="O145" s="255" t="s">
        <v>39</v>
      </c>
      <c r="P145" s="255" t="s">
        <v>39</v>
      </c>
      <c r="Q145" s="255" t="s">
        <v>39</v>
      </c>
      <c r="R145" s="255" t="s">
        <v>39</v>
      </c>
      <c r="S145" s="255" t="s">
        <v>39</v>
      </c>
      <c r="T145" s="255" t="s">
        <v>39</v>
      </c>
      <c r="U145" s="94"/>
      <c r="X145" s="19"/>
      <c r="Y145" s="20"/>
      <c r="Z145" s="11"/>
      <c r="AA145" s="19"/>
      <c r="AB145" s="19"/>
      <c r="AG145" s="286"/>
    </row>
    <row r="146" spans="1:33" s="2" customFormat="1" ht="39.950000000000003" customHeight="1">
      <c r="A146" s="53" t="s">
        <v>143</v>
      </c>
      <c r="B146" s="212"/>
      <c r="C146" s="54" t="s">
        <v>5294</v>
      </c>
      <c r="D146" s="54" t="s">
        <v>5294</v>
      </c>
      <c r="E146" s="54" t="s">
        <v>39</v>
      </c>
      <c r="F146" s="54" t="s">
        <v>39</v>
      </c>
      <c r="G146" s="54" t="s">
        <v>39</v>
      </c>
      <c r="H146" s="54" t="s">
        <v>5868</v>
      </c>
      <c r="I146" s="54" t="s">
        <v>39</v>
      </c>
      <c r="J146" s="54" t="s">
        <v>39</v>
      </c>
      <c r="K146" s="54" t="s">
        <v>39</v>
      </c>
      <c r="L146" s="54" t="s">
        <v>6284</v>
      </c>
      <c r="M146" s="54" t="s">
        <v>6284</v>
      </c>
      <c r="N146" s="54" t="s">
        <v>6284</v>
      </c>
      <c r="O146" s="254" t="s">
        <v>39</v>
      </c>
      <c r="P146" s="254" t="s">
        <v>39</v>
      </c>
      <c r="Q146" s="254" t="s">
        <v>39</v>
      </c>
      <c r="R146" s="254" t="s">
        <v>39</v>
      </c>
      <c r="S146" s="254" t="s">
        <v>39</v>
      </c>
      <c r="T146" s="254" t="s">
        <v>39</v>
      </c>
      <c r="U146" s="54"/>
      <c r="X146" s="14"/>
      <c r="Y146" s="14"/>
      <c r="Z146" s="14"/>
      <c r="AA146" s="14"/>
      <c r="AB146" s="14"/>
      <c r="AC146" s="19"/>
      <c r="AG146" s="239"/>
    </row>
    <row r="147" spans="1:33" s="14" customFormat="1" ht="9" customHeight="1">
      <c r="A147" s="95" t="s">
        <v>688</v>
      </c>
      <c r="B147" s="238"/>
      <c r="C147" s="94" t="s">
        <v>5293</v>
      </c>
      <c r="D147" s="94" t="s">
        <v>5293</v>
      </c>
      <c r="E147" s="94" t="s">
        <v>39</v>
      </c>
      <c r="F147" s="94" t="s">
        <v>39</v>
      </c>
      <c r="G147" s="94" t="s">
        <v>39</v>
      </c>
      <c r="H147" s="94" t="s">
        <v>5870</v>
      </c>
      <c r="I147" s="94" t="s">
        <v>39</v>
      </c>
      <c r="J147" s="94" t="s">
        <v>39</v>
      </c>
      <c r="K147" s="94" t="s">
        <v>39</v>
      </c>
      <c r="L147" s="255" t="s">
        <v>6156</v>
      </c>
      <c r="M147" s="255" t="s">
        <v>6156</v>
      </c>
      <c r="N147" s="255" t="s">
        <v>6156</v>
      </c>
      <c r="O147" s="255" t="s">
        <v>39</v>
      </c>
      <c r="P147" s="255" t="s">
        <v>39</v>
      </c>
      <c r="Q147" s="255" t="s">
        <v>39</v>
      </c>
      <c r="R147" s="255" t="s">
        <v>39</v>
      </c>
      <c r="S147" s="255" t="s">
        <v>39</v>
      </c>
      <c r="T147" s="255" t="s">
        <v>39</v>
      </c>
      <c r="U147" s="94"/>
      <c r="X147" s="19"/>
      <c r="Y147" s="20"/>
      <c r="Z147" s="11"/>
      <c r="AA147" s="19"/>
      <c r="AB147" s="19"/>
      <c r="AG147" s="286"/>
    </row>
    <row r="148" spans="1:33" s="2" customFormat="1" ht="30" customHeight="1">
      <c r="A148" s="53" t="s">
        <v>182</v>
      </c>
      <c r="B148" s="212" t="s">
        <v>5020</v>
      </c>
      <c r="C148" s="54" t="s">
        <v>39</v>
      </c>
      <c r="D148" s="54" t="s">
        <v>39</v>
      </c>
      <c r="E148" s="54" t="s">
        <v>39</v>
      </c>
      <c r="F148" s="54" t="s">
        <v>39</v>
      </c>
      <c r="G148" s="54" t="s">
        <v>39</v>
      </c>
      <c r="H148" s="54" t="s">
        <v>39</v>
      </c>
      <c r="I148" s="54" t="s">
        <v>5017</v>
      </c>
      <c r="J148" s="54" t="s">
        <v>5017</v>
      </c>
      <c r="K148" s="54" t="s">
        <v>39</v>
      </c>
      <c r="L148" s="54" t="s">
        <v>6286</v>
      </c>
      <c r="M148" s="54" t="s">
        <v>6286</v>
      </c>
      <c r="N148" s="54" t="s">
        <v>6286</v>
      </c>
      <c r="O148" s="254" t="s">
        <v>39</v>
      </c>
      <c r="P148" s="254" t="s">
        <v>39</v>
      </c>
      <c r="Q148" s="254" t="s">
        <v>39</v>
      </c>
      <c r="R148" s="254" t="s">
        <v>39</v>
      </c>
      <c r="S148" s="254" t="s">
        <v>39</v>
      </c>
      <c r="T148" s="254" t="s">
        <v>39</v>
      </c>
      <c r="U148" s="54"/>
      <c r="X148" s="14"/>
      <c r="Y148" s="14"/>
      <c r="AA148" s="14"/>
      <c r="AB148" s="14"/>
      <c r="AC148" s="19"/>
      <c r="AG148" s="239"/>
    </row>
    <row r="149" spans="1:33" s="2" customFormat="1" ht="9" customHeight="1">
      <c r="A149" s="95" t="s">
        <v>688</v>
      </c>
      <c r="B149" s="238"/>
      <c r="C149" s="94" t="s">
        <v>39</v>
      </c>
      <c r="D149" s="94" t="s">
        <v>39</v>
      </c>
      <c r="E149" s="94" t="s">
        <v>39</v>
      </c>
      <c r="F149" s="94" t="s">
        <v>39</v>
      </c>
      <c r="G149" s="94" t="s">
        <v>39</v>
      </c>
      <c r="H149" s="94" t="s">
        <v>39</v>
      </c>
      <c r="I149" s="94" t="s">
        <v>5019</v>
      </c>
      <c r="J149" s="94" t="s">
        <v>5019</v>
      </c>
      <c r="K149" s="94" t="s">
        <v>39</v>
      </c>
      <c r="L149" s="255" t="s">
        <v>6155</v>
      </c>
      <c r="M149" s="255" t="s">
        <v>6155</v>
      </c>
      <c r="N149" s="255" t="s">
        <v>6155</v>
      </c>
      <c r="O149" s="255" t="s">
        <v>39</v>
      </c>
      <c r="P149" s="255" t="s">
        <v>39</v>
      </c>
      <c r="Q149" s="255" t="s">
        <v>39</v>
      </c>
      <c r="R149" s="255" t="s">
        <v>39</v>
      </c>
      <c r="S149" s="255" t="s">
        <v>39</v>
      </c>
      <c r="T149" s="255" t="s">
        <v>39</v>
      </c>
      <c r="U149" s="94"/>
      <c r="X149" s="19"/>
      <c r="Y149" s="20"/>
      <c r="Z149" s="14"/>
      <c r="AA149" s="14"/>
      <c r="AB149" s="19"/>
      <c r="AG149" s="239"/>
    </row>
    <row r="150" spans="1:33" s="2" customFormat="1" ht="22.5" customHeight="1">
      <c r="A150" s="154"/>
      <c r="B150" s="240"/>
      <c r="C150" s="204"/>
      <c r="D150" s="246"/>
      <c r="E150" s="204"/>
      <c r="F150" s="246"/>
      <c r="G150" s="246"/>
      <c r="H150" s="246"/>
      <c r="I150" s="204"/>
      <c r="J150" s="204"/>
      <c r="K150" s="204"/>
      <c r="L150" s="246"/>
      <c r="M150" s="246"/>
      <c r="N150" s="246"/>
      <c r="O150" s="246"/>
      <c r="P150" s="246"/>
      <c r="Q150" s="246"/>
      <c r="R150"/>
      <c r="S150"/>
      <c r="T150" s="246"/>
      <c r="U150" s="204"/>
      <c r="Z150" s="11"/>
      <c r="AA150" s="19"/>
      <c r="AG150" s="239"/>
    </row>
    <row r="151" spans="1:33" s="14" customFormat="1" ht="20.100000000000001" customHeight="1">
      <c r="A151" s="176" t="s">
        <v>4795</v>
      </c>
      <c r="B151" s="202" t="str">
        <f t="shared" ref="B151:T151" si="6">B1</f>
        <v>Erläuterungen</v>
      </c>
      <c r="C151" s="202" t="str">
        <f t="shared" si="6"/>
        <v>Baloise Gold</v>
      </c>
      <c r="D151" s="202" t="str">
        <f t="shared" si="6"/>
        <v>Baloise Gold 100</v>
      </c>
      <c r="E151" s="202" t="str">
        <f t="shared" si="6"/>
        <v>Baloise Silber</v>
      </c>
      <c r="F151" s="202" t="str">
        <f t="shared" si="6"/>
        <v>HK Einfach Besser</v>
      </c>
      <c r="G151" s="202" t="str">
        <f t="shared" si="6"/>
        <v>HK Einfach Gut</v>
      </c>
      <c r="H151" s="202" t="str">
        <f t="shared" si="6"/>
        <v>HK Einfach Komplett</v>
      </c>
      <c r="I151" s="202" t="str">
        <f t="shared" si="6"/>
        <v>Interlloyd Premium</v>
      </c>
      <c r="J151" s="202" t="str">
        <f t="shared" si="6"/>
        <v>Interlloyd Premium HB</v>
      </c>
      <c r="K151" s="202" t="str">
        <f t="shared" si="6"/>
        <v>Interllyod Protect UR</v>
      </c>
      <c r="L151" s="202" t="str">
        <f t="shared" si="6"/>
        <v xml:space="preserve">ITL Eurosecure Plus </v>
      </c>
      <c r="M151" s="202" t="str">
        <f t="shared" si="6"/>
        <v>ITL Infinitus</v>
      </c>
      <c r="N151" s="202" t="str">
        <f t="shared" si="6"/>
        <v>ITL Infinitus HB</v>
      </c>
      <c r="O151" s="202" t="str">
        <f t="shared" si="6"/>
        <v>ITL Protect Plus</v>
      </c>
      <c r="P151" s="202" t="str">
        <f t="shared" si="6"/>
        <v>keine</v>
      </c>
      <c r="Q151" s="202" t="str">
        <f t="shared" si="6"/>
        <v>VHV Klassik Garant</v>
      </c>
      <c r="R151" s="202" t="str">
        <f t="shared" si="6"/>
        <v>VHV Klassik Garant Exklusiv</v>
      </c>
      <c r="S151" s="202" t="str">
        <f t="shared" si="6"/>
        <v>VHV Klassik Garant Exklusiv HB</v>
      </c>
      <c r="T151" s="202" t="str">
        <f t="shared" si="6"/>
        <v>VHV Smart</v>
      </c>
      <c r="U151" s="202"/>
      <c r="AB151" s="2"/>
      <c r="AG151" s="286"/>
    </row>
    <row r="152" spans="1:33" s="2" customFormat="1" ht="60" customHeight="1">
      <c r="A152" s="53" t="s">
        <v>6075</v>
      </c>
      <c r="B152" s="212"/>
      <c r="C152" s="54" t="s">
        <v>6072</v>
      </c>
      <c r="D152" s="54" t="s">
        <v>6072</v>
      </c>
      <c r="E152" s="54" t="s">
        <v>6072</v>
      </c>
      <c r="F152" s="48">
        <v>0.5</v>
      </c>
      <c r="G152" s="48">
        <v>0.5</v>
      </c>
      <c r="H152" s="48">
        <v>0.5</v>
      </c>
      <c r="I152" s="54" t="s">
        <v>6076</v>
      </c>
      <c r="J152" s="54" t="s">
        <v>6076</v>
      </c>
      <c r="K152" s="48">
        <v>0.5</v>
      </c>
      <c r="L152" s="48">
        <v>0.5</v>
      </c>
      <c r="M152" s="48">
        <v>0.5</v>
      </c>
      <c r="N152" s="48">
        <v>0.5</v>
      </c>
      <c r="O152" s="48">
        <v>0.5</v>
      </c>
      <c r="P152" s="48" t="s">
        <v>39</v>
      </c>
      <c r="Q152" s="48">
        <v>0.5</v>
      </c>
      <c r="R152" s="48">
        <v>0.5</v>
      </c>
      <c r="S152" s="48">
        <v>0.5</v>
      </c>
      <c r="T152" s="48">
        <v>0.5</v>
      </c>
      <c r="U152" s="54"/>
      <c r="X152" s="19"/>
      <c r="Y152" s="20"/>
      <c r="Z152" s="11"/>
      <c r="AA152" s="19"/>
      <c r="AB152" s="14"/>
      <c r="AC152" s="19"/>
      <c r="AG152" s="239"/>
    </row>
    <row r="153" spans="1:33" s="14" customFormat="1" ht="27" customHeight="1">
      <c r="A153" s="95" t="s">
        <v>688</v>
      </c>
      <c r="B153" s="238"/>
      <c r="C153" s="91" t="s">
        <v>5308</v>
      </c>
      <c r="D153" s="91" t="s">
        <v>5308</v>
      </c>
      <c r="E153" s="91" t="s">
        <v>5307</v>
      </c>
      <c r="F153" s="94" t="s">
        <v>5690</v>
      </c>
      <c r="G153" s="94" t="s">
        <v>5690</v>
      </c>
      <c r="H153" s="94" t="s">
        <v>5690</v>
      </c>
      <c r="I153" s="91" t="s">
        <v>5689</v>
      </c>
      <c r="J153" s="91" t="s">
        <v>5689</v>
      </c>
      <c r="K153" s="91" t="s">
        <v>5378</v>
      </c>
      <c r="L153" s="91" t="s">
        <v>6157</v>
      </c>
      <c r="M153" s="91" t="s">
        <v>6157</v>
      </c>
      <c r="N153" s="91" t="s">
        <v>6157</v>
      </c>
      <c r="O153" s="91" t="s">
        <v>6157</v>
      </c>
      <c r="P153" s="91" t="s">
        <v>39</v>
      </c>
      <c r="Q153" s="91" t="s">
        <v>5469</v>
      </c>
      <c r="R153" s="91" t="s">
        <v>5469</v>
      </c>
      <c r="S153" s="91" t="s">
        <v>5469</v>
      </c>
      <c r="T153" s="91" t="s">
        <v>5469</v>
      </c>
      <c r="U153" s="95"/>
      <c r="AB153" s="19"/>
      <c r="AG153" s="286"/>
    </row>
    <row r="154" spans="1:33" ht="30" customHeight="1">
      <c r="A154" s="220" t="s">
        <v>6077</v>
      </c>
      <c r="B154" s="212"/>
      <c r="C154" s="266" t="s">
        <v>6074</v>
      </c>
      <c r="D154" s="266" t="s">
        <v>6074</v>
      </c>
      <c r="E154" s="266" t="s">
        <v>6074</v>
      </c>
      <c r="F154" s="266">
        <v>2500</v>
      </c>
      <c r="G154" s="266">
        <v>2500</v>
      </c>
      <c r="H154" s="266">
        <v>2500</v>
      </c>
      <c r="I154" s="65" t="s">
        <v>5152</v>
      </c>
      <c r="J154" s="65" t="s">
        <v>5152</v>
      </c>
      <c r="K154" s="65" t="s">
        <v>5152</v>
      </c>
      <c r="L154" s="267">
        <v>1500</v>
      </c>
      <c r="M154" s="267">
        <v>1500</v>
      </c>
      <c r="N154" s="267">
        <v>1500</v>
      </c>
      <c r="O154" s="267">
        <v>1500</v>
      </c>
      <c r="P154" s="65" t="s">
        <v>39</v>
      </c>
      <c r="Q154" s="267">
        <v>2000</v>
      </c>
      <c r="R154" s="267">
        <v>2000</v>
      </c>
      <c r="S154" s="267">
        <v>2000</v>
      </c>
      <c r="T154" s="267">
        <v>2000</v>
      </c>
      <c r="U154" s="65"/>
      <c r="X154" s="19"/>
      <c r="Y154" s="20"/>
      <c r="Z154" s="248"/>
      <c r="AA154" s="19"/>
      <c r="AB154" s="14"/>
    </row>
    <row r="155" spans="1:33" s="14" customFormat="1" ht="18" customHeight="1">
      <c r="A155" s="95" t="s">
        <v>688</v>
      </c>
      <c r="B155" s="238"/>
      <c r="C155" s="91" t="s">
        <v>1136</v>
      </c>
      <c r="D155" s="91" t="s">
        <v>1136</v>
      </c>
      <c r="E155" s="91" t="s">
        <v>1136</v>
      </c>
      <c r="F155" s="91" t="s">
        <v>1136</v>
      </c>
      <c r="G155" s="91" t="s">
        <v>1136</v>
      </c>
      <c r="H155" s="91" t="s">
        <v>1136</v>
      </c>
      <c r="I155" s="91" t="s">
        <v>1136</v>
      </c>
      <c r="J155" s="91" t="s">
        <v>1136</v>
      </c>
      <c r="K155" s="91" t="s">
        <v>1136</v>
      </c>
      <c r="L155" s="94" t="s">
        <v>6240</v>
      </c>
      <c r="M155" s="94" t="s">
        <v>6240</v>
      </c>
      <c r="N155" s="94" t="s">
        <v>6240</v>
      </c>
      <c r="O155" s="94" t="s">
        <v>6240</v>
      </c>
      <c r="P155" s="91" t="s">
        <v>39</v>
      </c>
      <c r="Q155" s="91" t="s">
        <v>1136</v>
      </c>
      <c r="R155" s="91" t="s">
        <v>1136</v>
      </c>
      <c r="S155" s="91" t="s">
        <v>1136</v>
      </c>
      <c r="T155" s="91" t="s">
        <v>1136</v>
      </c>
      <c r="U155" s="95"/>
      <c r="Z155" s="11"/>
      <c r="AB155"/>
      <c r="AG155" s="286"/>
    </row>
    <row r="156" spans="1:33" s="2" customFormat="1" ht="39.950000000000003" customHeight="1">
      <c r="A156" s="53" t="s">
        <v>5297</v>
      </c>
      <c r="B156" s="212" t="s">
        <v>5299</v>
      </c>
      <c r="C156" s="54" t="s">
        <v>5298</v>
      </c>
      <c r="D156" s="54" t="s">
        <v>5298</v>
      </c>
      <c r="E156" s="54" t="s">
        <v>5300</v>
      </c>
      <c r="F156" s="54" t="s">
        <v>5691</v>
      </c>
      <c r="G156" s="54" t="s">
        <v>5691</v>
      </c>
      <c r="H156" s="54" t="s">
        <v>5691</v>
      </c>
      <c r="I156" s="54" t="s">
        <v>5377</v>
      </c>
      <c r="J156" s="54" t="s">
        <v>5377</v>
      </c>
      <c r="K156" s="54" t="s">
        <v>5377</v>
      </c>
      <c r="L156" s="54" t="s">
        <v>5377</v>
      </c>
      <c r="M156" s="54" t="s">
        <v>5377</v>
      </c>
      <c r="N156" s="54" t="s">
        <v>5377</v>
      </c>
      <c r="O156" s="54" t="s">
        <v>5377</v>
      </c>
      <c r="P156" s="54" t="s">
        <v>39</v>
      </c>
      <c r="Q156" s="54" t="s">
        <v>39</v>
      </c>
      <c r="R156" s="54" t="s">
        <v>39</v>
      </c>
      <c r="S156" s="54" t="s">
        <v>39</v>
      </c>
      <c r="T156" s="54" t="s">
        <v>39</v>
      </c>
      <c r="U156" s="54"/>
      <c r="X156" s="248"/>
      <c r="Y156" s="248"/>
      <c r="Z156" s="14"/>
      <c r="AA156" s="19"/>
      <c r="AB156" s="14"/>
      <c r="AC156" s="19"/>
      <c r="AG156" s="239"/>
    </row>
    <row r="157" spans="1:33" s="14" customFormat="1" ht="18" customHeight="1">
      <c r="A157" s="95" t="s">
        <v>688</v>
      </c>
      <c r="B157" s="238"/>
      <c r="C157" s="91" t="s">
        <v>5296</v>
      </c>
      <c r="D157" s="91" t="s">
        <v>5296</v>
      </c>
      <c r="E157" s="91" t="s">
        <v>5245</v>
      </c>
      <c r="F157" s="91" t="s">
        <v>5756</v>
      </c>
      <c r="G157" s="91" t="s">
        <v>5757</v>
      </c>
      <c r="H157" s="91" t="s">
        <v>5879</v>
      </c>
      <c r="I157" s="91" t="s">
        <v>5378</v>
      </c>
      <c r="J157" s="91" t="s">
        <v>5378</v>
      </c>
      <c r="K157" s="91" t="s">
        <v>5378</v>
      </c>
      <c r="L157" s="91" t="s">
        <v>6158</v>
      </c>
      <c r="M157" s="91" t="s">
        <v>6158</v>
      </c>
      <c r="N157" s="91" t="s">
        <v>6158</v>
      </c>
      <c r="O157" s="91" t="s">
        <v>6158</v>
      </c>
      <c r="P157" s="91" t="s">
        <v>39</v>
      </c>
      <c r="Q157" s="91" t="s">
        <v>5470</v>
      </c>
      <c r="R157" s="91" t="s">
        <v>5470</v>
      </c>
      <c r="S157" s="91" t="s">
        <v>5470</v>
      </c>
      <c r="T157" s="91" t="s">
        <v>5470</v>
      </c>
      <c r="U157" s="95"/>
      <c r="X157" s="19"/>
      <c r="Y157" s="20"/>
      <c r="Z157" s="11"/>
      <c r="AB157" s="19"/>
      <c r="AG157" s="286"/>
    </row>
    <row r="158" spans="1:33" s="2" customFormat="1" ht="30" customHeight="1">
      <c r="A158" s="53" t="s">
        <v>5301</v>
      </c>
      <c r="B158" s="212" t="s">
        <v>5303</v>
      </c>
      <c r="C158" s="54" t="s">
        <v>5302</v>
      </c>
      <c r="D158" s="54" t="s">
        <v>5302</v>
      </c>
      <c r="E158" s="54" t="s">
        <v>39</v>
      </c>
      <c r="F158" s="54" t="s">
        <v>39</v>
      </c>
      <c r="G158" s="54" t="s">
        <v>39</v>
      </c>
      <c r="H158" s="54" t="s">
        <v>39</v>
      </c>
      <c r="I158" s="54" t="s">
        <v>39</v>
      </c>
      <c r="J158" s="54" t="s">
        <v>39</v>
      </c>
      <c r="K158" s="54" t="s">
        <v>39</v>
      </c>
      <c r="L158" s="54" t="s">
        <v>39</v>
      </c>
      <c r="M158" s="54" t="s">
        <v>39</v>
      </c>
      <c r="N158" s="54" t="s">
        <v>39</v>
      </c>
      <c r="O158" s="54" t="s">
        <v>39</v>
      </c>
      <c r="P158" s="54" t="s">
        <v>39</v>
      </c>
      <c r="Q158" s="54" t="s">
        <v>39</v>
      </c>
      <c r="R158" s="54" t="s">
        <v>39</v>
      </c>
      <c r="S158" s="54" t="s">
        <v>39</v>
      </c>
      <c r="T158" s="54" t="s">
        <v>39</v>
      </c>
      <c r="U158" s="54"/>
      <c r="X158" s="14"/>
      <c r="Y158" s="14"/>
      <c r="Z158" s="14"/>
      <c r="AA158" s="19"/>
      <c r="AB158" s="14"/>
      <c r="AC158" s="19"/>
      <c r="AG158" s="239"/>
    </row>
    <row r="159" spans="1:33" s="14" customFormat="1" ht="18" customHeight="1">
      <c r="A159" s="95" t="s">
        <v>688</v>
      </c>
      <c r="B159" s="238"/>
      <c r="C159" s="91" t="s">
        <v>5296</v>
      </c>
      <c r="D159" s="91" t="s">
        <v>5296</v>
      </c>
      <c r="E159" s="91" t="s">
        <v>39</v>
      </c>
      <c r="F159" s="91" t="s">
        <v>39</v>
      </c>
      <c r="G159" s="91" t="s">
        <v>39</v>
      </c>
      <c r="H159" s="91" t="s">
        <v>39</v>
      </c>
      <c r="I159" s="91" t="s">
        <v>39</v>
      </c>
      <c r="J159" s="91" t="s">
        <v>39</v>
      </c>
      <c r="K159" s="91" t="s">
        <v>39</v>
      </c>
      <c r="L159" s="91" t="s">
        <v>39</v>
      </c>
      <c r="M159" s="91" t="s">
        <v>39</v>
      </c>
      <c r="N159" s="91" t="s">
        <v>39</v>
      </c>
      <c r="O159" s="91" t="s">
        <v>39</v>
      </c>
      <c r="P159" s="91" t="s">
        <v>39</v>
      </c>
      <c r="Q159" s="91" t="s">
        <v>5470</v>
      </c>
      <c r="R159" s="91" t="s">
        <v>5470</v>
      </c>
      <c r="S159" s="91" t="s">
        <v>5470</v>
      </c>
      <c r="T159" s="91" t="s">
        <v>5470</v>
      </c>
      <c r="U159" s="95"/>
      <c r="X159" s="19"/>
      <c r="Y159" s="20"/>
      <c r="Z159" s="11"/>
      <c r="AB159" s="19"/>
      <c r="AG159" s="286"/>
    </row>
    <row r="160" spans="1:33" s="2" customFormat="1" ht="11.25" customHeight="1">
      <c r="A160" s="154"/>
      <c r="B160" s="240"/>
      <c r="C160" s="204"/>
      <c r="D160" s="246"/>
      <c r="E160" s="204"/>
      <c r="F160" s="246"/>
      <c r="G160" s="246"/>
      <c r="H160" s="246"/>
      <c r="I160" s="204"/>
      <c r="J160" s="204"/>
      <c r="K160" s="204"/>
      <c r="L160" s="246"/>
      <c r="M160" s="246"/>
      <c r="N160" s="246"/>
      <c r="O160" s="246"/>
      <c r="P160" s="246"/>
      <c r="Q160" s="246"/>
      <c r="R160"/>
      <c r="S160"/>
      <c r="T160" s="246"/>
      <c r="U160" s="204"/>
      <c r="X160" s="14"/>
      <c r="Y160" s="14"/>
      <c r="Z160" s="14"/>
      <c r="AA160" s="19"/>
      <c r="AB160" s="14"/>
      <c r="AC160" s="19"/>
      <c r="AG160" s="239"/>
    </row>
    <row r="161" spans="1:33" s="2" customFormat="1" ht="20.100000000000001" customHeight="1">
      <c r="A161" s="176" t="s">
        <v>4882</v>
      </c>
      <c r="B161" s="202" t="str">
        <f t="shared" ref="B161:T161" si="7">B1</f>
        <v>Erläuterungen</v>
      </c>
      <c r="C161" s="202" t="str">
        <f t="shared" si="7"/>
        <v>Baloise Gold</v>
      </c>
      <c r="D161" s="202" t="str">
        <f t="shared" si="7"/>
        <v>Baloise Gold 100</v>
      </c>
      <c r="E161" s="202" t="str">
        <f t="shared" si="7"/>
        <v>Baloise Silber</v>
      </c>
      <c r="F161" s="202" t="str">
        <f t="shared" si="7"/>
        <v>HK Einfach Besser</v>
      </c>
      <c r="G161" s="202" t="str">
        <f t="shared" si="7"/>
        <v>HK Einfach Gut</v>
      </c>
      <c r="H161" s="202" t="str">
        <f t="shared" si="7"/>
        <v>HK Einfach Komplett</v>
      </c>
      <c r="I161" s="202" t="str">
        <f t="shared" si="7"/>
        <v>Interlloyd Premium</v>
      </c>
      <c r="J161" s="202" t="str">
        <f t="shared" si="7"/>
        <v>Interlloyd Premium HB</v>
      </c>
      <c r="K161" s="202" t="str">
        <f t="shared" si="7"/>
        <v>Interllyod Protect UR</v>
      </c>
      <c r="L161" s="202" t="str">
        <f t="shared" si="7"/>
        <v xml:space="preserve">ITL Eurosecure Plus </v>
      </c>
      <c r="M161" s="202" t="str">
        <f t="shared" si="7"/>
        <v>ITL Infinitus</v>
      </c>
      <c r="N161" s="202" t="str">
        <f t="shared" si="7"/>
        <v>ITL Infinitus HB</v>
      </c>
      <c r="O161" s="202" t="str">
        <f t="shared" si="7"/>
        <v>ITL Protect Plus</v>
      </c>
      <c r="P161" s="202" t="str">
        <f t="shared" si="7"/>
        <v>keine</v>
      </c>
      <c r="Q161" s="202" t="str">
        <f t="shared" si="7"/>
        <v>VHV Klassik Garant</v>
      </c>
      <c r="R161" s="202" t="str">
        <f t="shared" si="7"/>
        <v>VHV Klassik Garant Exklusiv</v>
      </c>
      <c r="S161" s="202" t="str">
        <f t="shared" si="7"/>
        <v>VHV Klassik Garant Exklusiv HB</v>
      </c>
      <c r="T161" s="202" t="str">
        <f t="shared" si="7"/>
        <v>VHV Smart</v>
      </c>
      <c r="U161" s="202"/>
      <c r="X161" s="19"/>
      <c r="Y161" s="20"/>
      <c r="Z161" s="11"/>
      <c r="AA161" s="14"/>
      <c r="AB161" s="19"/>
      <c r="AC161" s="19"/>
      <c r="AG161" s="239"/>
    </row>
    <row r="162" spans="1:33" s="2" customFormat="1" ht="39.950000000000003" customHeight="1">
      <c r="A162" s="53" t="s">
        <v>6080</v>
      </c>
      <c r="B162" s="212"/>
      <c r="C162" s="54" t="s">
        <v>6090</v>
      </c>
      <c r="D162" s="54" t="s">
        <v>6090</v>
      </c>
      <c r="E162" s="54" t="s">
        <v>6090</v>
      </c>
      <c r="F162" s="54" t="s">
        <v>6089</v>
      </c>
      <c r="G162" s="54" t="s">
        <v>6089</v>
      </c>
      <c r="H162" s="54" t="s">
        <v>6089</v>
      </c>
      <c r="I162" s="54" t="s">
        <v>5150</v>
      </c>
      <c r="J162" s="54" t="s">
        <v>5150</v>
      </c>
      <c r="K162" s="54" t="s">
        <v>39</v>
      </c>
      <c r="L162" s="54" t="s">
        <v>5150</v>
      </c>
      <c r="M162" s="54" t="s">
        <v>5150</v>
      </c>
      <c r="N162" s="54" t="s">
        <v>5150</v>
      </c>
      <c r="O162" s="54" t="s">
        <v>5150</v>
      </c>
      <c r="P162" s="54" t="s">
        <v>39</v>
      </c>
      <c r="Q162" s="54" t="s">
        <v>6082</v>
      </c>
      <c r="R162" s="54" t="s">
        <v>6082</v>
      </c>
      <c r="S162" s="54" t="s">
        <v>6082</v>
      </c>
      <c r="T162" s="54" t="s">
        <v>6082</v>
      </c>
      <c r="U162" s="203"/>
      <c r="X162" s="14"/>
      <c r="Y162" s="14"/>
      <c r="Z162" s="14"/>
      <c r="AA162" s="19"/>
      <c r="AB162" s="19"/>
      <c r="AC162" s="19"/>
      <c r="AG162" s="239"/>
    </row>
    <row r="163" spans="1:33" s="14" customFormat="1" ht="18" customHeight="1">
      <c r="A163" s="95" t="s">
        <v>688</v>
      </c>
      <c r="B163" s="238"/>
      <c r="C163" s="91" t="s">
        <v>6079</v>
      </c>
      <c r="D163" s="91" t="s">
        <v>6079</v>
      </c>
      <c r="E163" s="91" t="s">
        <v>6079</v>
      </c>
      <c r="F163" s="94" t="s">
        <v>1136</v>
      </c>
      <c r="G163" s="94" t="s">
        <v>1136</v>
      </c>
      <c r="H163" s="94" t="s">
        <v>1136</v>
      </c>
      <c r="I163" s="91" t="s">
        <v>5309</v>
      </c>
      <c r="J163" s="91" t="s">
        <v>5309</v>
      </c>
      <c r="K163" s="94" t="s">
        <v>39</v>
      </c>
      <c r="L163" s="94" t="s">
        <v>6240</v>
      </c>
      <c r="M163" s="94" t="s">
        <v>6240</v>
      </c>
      <c r="N163" s="94" t="s">
        <v>6240</v>
      </c>
      <c r="O163" s="94" t="s">
        <v>6240</v>
      </c>
      <c r="P163" s="91" t="s">
        <v>39</v>
      </c>
      <c r="Q163" s="91" t="s">
        <v>1136</v>
      </c>
      <c r="R163" s="91" t="s">
        <v>1136</v>
      </c>
      <c r="S163" s="91" t="s">
        <v>1136</v>
      </c>
      <c r="T163" s="91" t="s">
        <v>1136</v>
      </c>
      <c r="U163" s="95"/>
      <c r="X163" s="19"/>
      <c r="Y163" s="20"/>
      <c r="Z163" s="11"/>
      <c r="AB163" s="19"/>
      <c r="AG163" s="286"/>
    </row>
    <row r="164" spans="1:33" s="2" customFormat="1" ht="30" customHeight="1">
      <c r="A164" s="53" t="s">
        <v>6084</v>
      </c>
      <c r="B164" s="212"/>
      <c r="C164" s="54" t="s">
        <v>4953</v>
      </c>
      <c r="D164" s="54" t="s">
        <v>4953</v>
      </c>
      <c r="E164" s="54" t="s">
        <v>4953</v>
      </c>
      <c r="F164" s="54" t="s">
        <v>4953</v>
      </c>
      <c r="G164" s="54" t="s">
        <v>39</v>
      </c>
      <c r="H164" s="54" t="s">
        <v>4953</v>
      </c>
      <c r="I164" s="54" t="s">
        <v>4953</v>
      </c>
      <c r="J164" s="54" t="s">
        <v>4953</v>
      </c>
      <c r="K164" s="54" t="s">
        <v>39</v>
      </c>
      <c r="L164" s="54" t="s">
        <v>6287</v>
      </c>
      <c r="M164" s="54" t="s">
        <v>6287</v>
      </c>
      <c r="N164" s="54" t="s">
        <v>6287</v>
      </c>
      <c r="O164" s="54" t="s">
        <v>4953</v>
      </c>
      <c r="P164" s="54" t="s">
        <v>39</v>
      </c>
      <c r="Q164" s="54" t="s">
        <v>39</v>
      </c>
      <c r="R164" s="54" t="s">
        <v>4953</v>
      </c>
      <c r="S164" s="54" t="s">
        <v>4953</v>
      </c>
      <c r="T164" s="54" t="s">
        <v>39</v>
      </c>
      <c r="U164" s="203"/>
      <c r="X164" s="14"/>
      <c r="Y164" s="14"/>
      <c r="Z164" s="11"/>
      <c r="AA164" s="19"/>
      <c r="AB164" s="14"/>
      <c r="AC164" s="19"/>
      <c r="AG164" s="239"/>
    </row>
    <row r="165" spans="1:33" s="14" customFormat="1" ht="18" customHeight="1">
      <c r="A165" s="95" t="s">
        <v>688</v>
      </c>
      <c r="B165" s="238"/>
      <c r="C165" s="91" t="s">
        <v>6078</v>
      </c>
      <c r="D165" s="91" t="s">
        <v>6078</v>
      </c>
      <c r="E165" s="91" t="s">
        <v>6078</v>
      </c>
      <c r="F165" s="94" t="s">
        <v>5767</v>
      </c>
      <c r="G165" s="94" t="s">
        <v>39</v>
      </c>
      <c r="H165" s="94" t="s">
        <v>5889</v>
      </c>
      <c r="I165" s="91" t="s">
        <v>6081</v>
      </c>
      <c r="J165" s="91" t="s">
        <v>6081</v>
      </c>
      <c r="K165" s="94" t="s">
        <v>39</v>
      </c>
      <c r="L165" s="94" t="s">
        <v>6165</v>
      </c>
      <c r="M165" s="94" t="s">
        <v>6165</v>
      </c>
      <c r="N165" s="94" t="s">
        <v>6165</v>
      </c>
      <c r="O165" s="94" t="s">
        <v>6165</v>
      </c>
      <c r="P165" s="91" t="s">
        <v>39</v>
      </c>
      <c r="Q165" s="91" t="s">
        <v>5487</v>
      </c>
      <c r="R165" s="91" t="s">
        <v>5577</v>
      </c>
      <c r="S165" s="91" t="s">
        <v>5577</v>
      </c>
      <c r="T165" s="91" t="s">
        <v>5636</v>
      </c>
      <c r="U165" s="95"/>
      <c r="X165" s="19"/>
      <c r="Y165" s="20"/>
      <c r="AB165" s="19"/>
      <c r="AG165" s="286"/>
    </row>
    <row r="166" spans="1:33" s="2" customFormat="1" ht="30" customHeight="1">
      <c r="A166" s="53" t="s">
        <v>6085</v>
      </c>
      <c r="B166" s="212"/>
      <c r="C166" s="54" t="s">
        <v>39</v>
      </c>
      <c r="D166" s="54" t="s">
        <v>39</v>
      </c>
      <c r="E166" s="54" t="s">
        <v>39</v>
      </c>
      <c r="F166" s="54" t="s">
        <v>6086</v>
      </c>
      <c r="G166" s="54" t="s">
        <v>39</v>
      </c>
      <c r="H166" s="54" t="s">
        <v>6086</v>
      </c>
      <c r="I166" s="54" t="s">
        <v>39</v>
      </c>
      <c r="J166" s="54" t="s">
        <v>39</v>
      </c>
      <c r="K166" s="54" t="s">
        <v>39</v>
      </c>
      <c r="L166" s="54" t="s">
        <v>39</v>
      </c>
      <c r="M166" s="54" t="s">
        <v>39</v>
      </c>
      <c r="N166" s="54" t="s">
        <v>39</v>
      </c>
      <c r="O166" s="54" t="s">
        <v>39</v>
      </c>
      <c r="P166" s="54" t="s">
        <v>39</v>
      </c>
      <c r="Q166" s="54" t="s">
        <v>39</v>
      </c>
      <c r="R166" s="54" t="s">
        <v>39</v>
      </c>
      <c r="S166" s="54" t="s">
        <v>39</v>
      </c>
      <c r="T166" s="54" t="s">
        <v>39</v>
      </c>
      <c r="U166" s="203"/>
      <c r="X166" s="19"/>
      <c r="Y166" s="20"/>
      <c r="Z166" s="14"/>
      <c r="AA166" s="19"/>
      <c r="AB166" s="14"/>
      <c r="AC166" s="19"/>
      <c r="AG166" s="239"/>
    </row>
    <row r="167" spans="1:33" s="14" customFormat="1" ht="18" customHeight="1">
      <c r="A167" s="95" t="s">
        <v>688</v>
      </c>
      <c r="B167" s="238"/>
      <c r="C167" s="91" t="s">
        <v>39</v>
      </c>
      <c r="D167" s="91" t="s">
        <v>39</v>
      </c>
      <c r="E167" s="91" t="s">
        <v>39</v>
      </c>
      <c r="F167" s="94" t="s">
        <v>5767</v>
      </c>
      <c r="G167" s="94" t="s">
        <v>39</v>
      </c>
      <c r="H167" s="94" t="s">
        <v>5889</v>
      </c>
      <c r="I167" s="91" t="s">
        <v>39</v>
      </c>
      <c r="J167" s="91" t="s">
        <v>39</v>
      </c>
      <c r="K167" s="94" t="s">
        <v>39</v>
      </c>
      <c r="L167" s="94" t="s">
        <v>39</v>
      </c>
      <c r="M167" s="94" t="s">
        <v>39</v>
      </c>
      <c r="N167" s="94" t="s">
        <v>39</v>
      </c>
      <c r="O167" s="94" t="s">
        <v>39</v>
      </c>
      <c r="P167" s="91" t="s">
        <v>39</v>
      </c>
      <c r="Q167" s="91" t="s">
        <v>39</v>
      </c>
      <c r="R167" s="91" t="s">
        <v>39</v>
      </c>
      <c r="S167" s="91" t="s">
        <v>39</v>
      </c>
      <c r="T167" s="91" t="s">
        <v>39</v>
      </c>
      <c r="U167" s="95"/>
      <c r="Z167" s="11"/>
      <c r="AB167" s="19"/>
      <c r="AG167" s="286"/>
    </row>
    <row r="168" spans="1:33" s="2" customFormat="1" ht="30" customHeight="1">
      <c r="A168" s="53" t="s">
        <v>5322</v>
      </c>
      <c r="B168" s="212"/>
      <c r="C168" s="54" t="s">
        <v>41</v>
      </c>
      <c r="D168" s="54" t="s">
        <v>41</v>
      </c>
      <c r="E168" s="54" t="s">
        <v>39</v>
      </c>
      <c r="F168" s="54" t="s">
        <v>41</v>
      </c>
      <c r="G168" s="54" t="s">
        <v>41</v>
      </c>
      <c r="H168" s="54" t="s">
        <v>41</v>
      </c>
      <c r="I168" s="54" t="s">
        <v>41</v>
      </c>
      <c r="J168" s="54" t="s">
        <v>41</v>
      </c>
      <c r="K168" s="54" t="s">
        <v>39</v>
      </c>
      <c r="L168" s="54" t="s">
        <v>41</v>
      </c>
      <c r="M168" s="54" t="s">
        <v>41</v>
      </c>
      <c r="N168" s="54" t="s">
        <v>41</v>
      </c>
      <c r="O168" s="54" t="s">
        <v>41</v>
      </c>
      <c r="P168" s="54" t="s">
        <v>39</v>
      </c>
      <c r="Q168" s="54" t="s">
        <v>41</v>
      </c>
      <c r="R168" s="54" t="s">
        <v>41</v>
      </c>
      <c r="S168" s="54" t="s">
        <v>41</v>
      </c>
      <c r="T168" s="54" t="s">
        <v>39</v>
      </c>
      <c r="U168" s="54"/>
      <c r="X168" s="14"/>
      <c r="Y168" s="14"/>
      <c r="Z168" s="14"/>
      <c r="AA168" s="19"/>
      <c r="AB168" s="14"/>
      <c r="AC168" s="19"/>
      <c r="AG168" s="239"/>
    </row>
    <row r="169" spans="1:33" s="14" customFormat="1" ht="9" customHeight="1">
      <c r="A169" s="95" t="s">
        <v>688</v>
      </c>
      <c r="B169" s="238"/>
      <c r="C169" s="94" t="s">
        <v>5323</v>
      </c>
      <c r="D169" s="94" t="s">
        <v>5323</v>
      </c>
      <c r="E169" s="94" t="s">
        <v>5327</v>
      </c>
      <c r="F169" s="94" t="s">
        <v>5767</v>
      </c>
      <c r="G169" s="94" t="s">
        <v>5766</v>
      </c>
      <c r="H169" s="94" t="s">
        <v>5889</v>
      </c>
      <c r="I169" s="94" t="s">
        <v>5326</v>
      </c>
      <c r="J169" s="94" t="s">
        <v>5326</v>
      </c>
      <c r="K169" s="94" t="s">
        <v>39</v>
      </c>
      <c r="L169" s="94" t="s">
        <v>6165</v>
      </c>
      <c r="M169" s="94" t="s">
        <v>6165</v>
      </c>
      <c r="N169" s="94" t="s">
        <v>6165</v>
      </c>
      <c r="O169" s="94" t="s">
        <v>6165</v>
      </c>
      <c r="P169" s="94" t="s">
        <v>39</v>
      </c>
      <c r="Q169" s="94" t="s">
        <v>5485</v>
      </c>
      <c r="R169" s="94" t="s">
        <v>5485</v>
      </c>
      <c r="S169" s="94" t="s">
        <v>5485</v>
      </c>
      <c r="T169" s="91" t="s">
        <v>5636</v>
      </c>
      <c r="U169" s="94"/>
      <c r="X169" s="19"/>
      <c r="Y169" s="20"/>
      <c r="Z169" s="11"/>
      <c r="AB169" s="19"/>
      <c r="AG169" s="286"/>
    </row>
    <row r="170" spans="1:33" s="2" customFormat="1" ht="30" customHeight="1">
      <c r="A170" s="53" t="s">
        <v>135</v>
      </c>
      <c r="B170" s="212"/>
      <c r="C170" s="54" t="s">
        <v>5304</v>
      </c>
      <c r="D170" s="54" t="s">
        <v>5304</v>
      </c>
      <c r="E170" s="54" t="s">
        <v>39</v>
      </c>
      <c r="F170" s="54" t="s">
        <v>5768</v>
      </c>
      <c r="G170" s="54" t="s">
        <v>39</v>
      </c>
      <c r="H170" s="54" t="s">
        <v>5768</v>
      </c>
      <c r="I170" s="54" t="s">
        <v>39</v>
      </c>
      <c r="J170" s="54" t="s">
        <v>39</v>
      </c>
      <c r="K170" s="54" t="s">
        <v>39</v>
      </c>
      <c r="L170" s="54" t="s">
        <v>39</v>
      </c>
      <c r="M170" s="54" t="s">
        <v>39</v>
      </c>
      <c r="N170" s="54" t="s">
        <v>39</v>
      </c>
      <c r="O170" s="54" t="s">
        <v>39</v>
      </c>
      <c r="P170" s="54" t="s">
        <v>39</v>
      </c>
      <c r="Q170" s="54" t="s">
        <v>39</v>
      </c>
      <c r="R170" s="54" t="s">
        <v>39</v>
      </c>
      <c r="S170" s="54" t="s">
        <v>39</v>
      </c>
      <c r="T170" s="54" t="s">
        <v>39</v>
      </c>
      <c r="U170" s="54"/>
      <c r="X170" s="14"/>
      <c r="Y170" s="14"/>
      <c r="Z170" s="14"/>
      <c r="AA170" s="19"/>
      <c r="AB170" s="14"/>
      <c r="AC170" s="19"/>
      <c r="AG170" s="239"/>
    </row>
    <row r="171" spans="1:33" s="14" customFormat="1" ht="9" customHeight="1">
      <c r="A171" s="95" t="s">
        <v>688</v>
      </c>
      <c r="B171" s="238"/>
      <c r="C171" s="94" t="s">
        <v>5305</v>
      </c>
      <c r="D171" s="94" t="s">
        <v>5305</v>
      </c>
      <c r="E171" s="94" t="s">
        <v>5327</v>
      </c>
      <c r="F171" s="94" t="s">
        <v>5767</v>
      </c>
      <c r="G171" s="94" t="s">
        <v>39</v>
      </c>
      <c r="H171" s="94" t="s">
        <v>5889</v>
      </c>
      <c r="I171" s="94" t="s">
        <v>39</v>
      </c>
      <c r="J171" s="94" t="s">
        <v>39</v>
      </c>
      <c r="K171" s="94" t="s">
        <v>39</v>
      </c>
      <c r="L171" s="94" t="s">
        <v>39</v>
      </c>
      <c r="M171" s="94" t="s">
        <v>39</v>
      </c>
      <c r="N171" s="94" t="s">
        <v>39</v>
      </c>
      <c r="O171" s="94" t="s">
        <v>39</v>
      </c>
      <c r="P171" s="94" t="s">
        <v>39</v>
      </c>
      <c r="Q171" s="94" t="s">
        <v>39</v>
      </c>
      <c r="R171" s="94" t="s">
        <v>39</v>
      </c>
      <c r="S171" s="94" t="s">
        <v>39</v>
      </c>
      <c r="T171" s="94" t="s">
        <v>39</v>
      </c>
      <c r="U171" s="94"/>
      <c r="X171" s="19"/>
      <c r="Y171" s="20"/>
      <c r="Z171" s="11"/>
      <c r="AB171" s="19"/>
      <c r="AG171" s="286"/>
    </row>
    <row r="172" spans="1:33" s="14" customFormat="1" ht="22.5" customHeight="1">
      <c r="A172" s="11"/>
      <c r="B172" s="239"/>
      <c r="C172" s="204"/>
      <c r="D172" s="246"/>
      <c r="E172" s="204"/>
      <c r="F172" s="246"/>
      <c r="G172" s="246"/>
      <c r="H172" s="246"/>
      <c r="I172" s="204"/>
      <c r="J172" s="204"/>
      <c r="K172" s="204"/>
      <c r="L172" s="246"/>
      <c r="M172" s="246"/>
      <c r="N172" s="246"/>
      <c r="O172" s="246"/>
      <c r="P172" s="246"/>
      <c r="Q172" s="246"/>
      <c r="R172"/>
      <c r="S172"/>
      <c r="T172" s="246"/>
      <c r="U172" s="204"/>
      <c r="AA172" s="19"/>
      <c r="AG172" s="286"/>
    </row>
    <row r="173" spans="1:33" s="2" customFormat="1" ht="20.100000000000001" customHeight="1">
      <c r="A173" s="176" t="s">
        <v>72</v>
      </c>
      <c r="B173" s="202" t="str">
        <f t="shared" ref="B173:T173" si="8">B1</f>
        <v>Erläuterungen</v>
      </c>
      <c r="C173" s="202" t="str">
        <f t="shared" si="8"/>
        <v>Baloise Gold</v>
      </c>
      <c r="D173" s="202" t="str">
        <f t="shared" si="8"/>
        <v>Baloise Gold 100</v>
      </c>
      <c r="E173" s="202" t="str">
        <f t="shared" si="8"/>
        <v>Baloise Silber</v>
      </c>
      <c r="F173" s="202" t="str">
        <f t="shared" si="8"/>
        <v>HK Einfach Besser</v>
      </c>
      <c r="G173" s="202" t="str">
        <f t="shared" si="8"/>
        <v>HK Einfach Gut</v>
      </c>
      <c r="H173" s="202" t="str">
        <f t="shared" si="8"/>
        <v>HK Einfach Komplett</v>
      </c>
      <c r="I173" s="202" t="str">
        <f t="shared" si="8"/>
        <v>Interlloyd Premium</v>
      </c>
      <c r="J173" s="202" t="str">
        <f t="shared" si="8"/>
        <v>Interlloyd Premium HB</v>
      </c>
      <c r="K173" s="202" t="str">
        <f t="shared" si="8"/>
        <v>Interllyod Protect UR</v>
      </c>
      <c r="L173" s="202" t="str">
        <f t="shared" si="8"/>
        <v xml:space="preserve">ITL Eurosecure Plus </v>
      </c>
      <c r="M173" s="202" t="str">
        <f t="shared" si="8"/>
        <v>ITL Infinitus</v>
      </c>
      <c r="N173" s="202" t="str">
        <f t="shared" si="8"/>
        <v>ITL Infinitus HB</v>
      </c>
      <c r="O173" s="202" t="str">
        <f t="shared" si="8"/>
        <v>ITL Protect Plus</v>
      </c>
      <c r="P173" s="202" t="str">
        <f t="shared" si="8"/>
        <v>keine</v>
      </c>
      <c r="Q173" s="202" t="str">
        <f t="shared" si="8"/>
        <v>VHV Klassik Garant</v>
      </c>
      <c r="R173" s="202" t="str">
        <f t="shared" si="8"/>
        <v>VHV Klassik Garant Exklusiv</v>
      </c>
      <c r="S173" s="202" t="str">
        <f t="shared" si="8"/>
        <v>VHV Klassik Garant Exklusiv HB</v>
      </c>
      <c r="T173" s="202" t="str">
        <f t="shared" si="8"/>
        <v>VHV Smart</v>
      </c>
      <c r="U173" s="202"/>
      <c r="X173" s="19"/>
      <c r="Y173" s="20"/>
      <c r="Z173" s="11"/>
      <c r="AA173" s="14"/>
      <c r="AB173" s="14"/>
      <c r="AC173" s="19"/>
      <c r="AG173" s="239"/>
    </row>
    <row r="174" spans="1:33" s="14" customFormat="1" ht="30" customHeight="1">
      <c r="A174" s="53" t="s">
        <v>4869</v>
      </c>
      <c r="B174" s="212"/>
      <c r="C174" s="54" t="s">
        <v>5318</v>
      </c>
      <c r="D174" s="54" t="s">
        <v>5318</v>
      </c>
      <c r="E174" s="54" t="s">
        <v>4953</v>
      </c>
      <c r="F174" s="54" t="s">
        <v>5474</v>
      </c>
      <c r="G174" s="54" t="s">
        <v>5693</v>
      </c>
      <c r="H174" s="54" t="s">
        <v>4983</v>
      </c>
      <c r="I174" s="54" t="s">
        <v>4983</v>
      </c>
      <c r="J174" s="54" t="s">
        <v>4983</v>
      </c>
      <c r="K174" s="54" t="s">
        <v>39</v>
      </c>
      <c r="L174" s="54" t="s">
        <v>6160</v>
      </c>
      <c r="M174" s="54" t="s">
        <v>6160</v>
      </c>
      <c r="N174" s="54" t="s">
        <v>6160</v>
      </c>
      <c r="O174" s="54" t="s">
        <v>6160</v>
      </c>
      <c r="P174" s="54" t="s">
        <v>39</v>
      </c>
      <c r="Q174" s="54" t="s">
        <v>5474</v>
      </c>
      <c r="R174" s="54" t="s">
        <v>5571</v>
      </c>
      <c r="S174" s="54" t="s">
        <v>5571</v>
      </c>
      <c r="T174" s="54" t="s">
        <v>5637</v>
      </c>
      <c r="U174" s="54"/>
      <c r="AA174" s="19"/>
      <c r="AB174" s="19"/>
      <c r="AG174" s="286"/>
    </row>
    <row r="175" spans="1:33" s="2" customFormat="1" ht="9" customHeight="1">
      <c r="A175" s="95" t="s">
        <v>688</v>
      </c>
      <c r="B175" s="238"/>
      <c r="C175" s="94" t="s">
        <v>5219</v>
      </c>
      <c r="D175" s="94" t="s">
        <v>5219</v>
      </c>
      <c r="E175" s="94" t="s">
        <v>5219</v>
      </c>
      <c r="F175" s="94" t="s">
        <v>5762</v>
      </c>
      <c r="G175" s="94" t="s">
        <v>5763</v>
      </c>
      <c r="H175" s="94" t="s">
        <v>5881</v>
      </c>
      <c r="I175" s="94" t="s">
        <v>4982</v>
      </c>
      <c r="J175" s="94" t="s">
        <v>4982</v>
      </c>
      <c r="K175" s="94" t="s">
        <v>39</v>
      </c>
      <c r="L175" s="94" t="s">
        <v>6161</v>
      </c>
      <c r="M175" s="94" t="s">
        <v>6161</v>
      </c>
      <c r="N175" s="94" t="s">
        <v>6161</v>
      </c>
      <c r="O175" s="94" t="s">
        <v>6161</v>
      </c>
      <c r="P175" s="94" t="s">
        <v>39</v>
      </c>
      <c r="Q175" s="94" t="s">
        <v>5475</v>
      </c>
      <c r="R175" s="94" t="s">
        <v>5572</v>
      </c>
      <c r="S175" s="94" t="s">
        <v>5572</v>
      </c>
      <c r="T175" s="94" t="s">
        <v>5638</v>
      </c>
      <c r="U175" s="94"/>
      <c r="X175" s="19"/>
      <c r="Y175" s="20"/>
      <c r="Z175" s="11"/>
      <c r="AA175" s="14"/>
      <c r="AB175" s="14"/>
      <c r="AC175" s="19"/>
      <c r="AG175" s="239"/>
    </row>
    <row r="176" spans="1:33" s="14" customFormat="1" ht="30" customHeight="1">
      <c r="A176" s="53" t="s">
        <v>4782</v>
      </c>
      <c r="B176" s="212" t="s">
        <v>4876</v>
      </c>
      <c r="C176" s="54" t="s">
        <v>5319</v>
      </c>
      <c r="D176" s="54" t="s">
        <v>5319</v>
      </c>
      <c r="E176" s="54" t="s">
        <v>5221</v>
      </c>
      <c r="F176" s="54" t="s">
        <v>5640</v>
      </c>
      <c r="G176" s="54" t="s">
        <v>4874</v>
      </c>
      <c r="H176" s="54" t="s">
        <v>5319</v>
      </c>
      <c r="I176" s="54" t="s">
        <v>4953</v>
      </c>
      <c r="J176" s="54" t="s">
        <v>4953</v>
      </c>
      <c r="K176" s="54" t="s">
        <v>39</v>
      </c>
      <c r="L176" s="54" t="s">
        <v>6239</v>
      </c>
      <c r="M176" s="54" t="s">
        <v>6239</v>
      </c>
      <c r="N176" s="54" t="s">
        <v>6239</v>
      </c>
      <c r="O176" s="54" t="s">
        <v>6239</v>
      </c>
      <c r="P176" s="54" t="s">
        <v>39</v>
      </c>
      <c r="Q176" s="54" t="s">
        <v>5319</v>
      </c>
      <c r="R176" s="54" t="s">
        <v>5573</v>
      </c>
      <c r="S176" s="54" t="s">
        <v>5573</v>
      </c>
      <c r="T176" s="54" t="s">
        <v>5640</v>
      </c>
      <c r="U176" s="54"/>
      <c r="AA176" s="19"/>
      <c r="AB176" s="19"/>
      <c r="AG176" s="286"/>
    </row>
    <row r="177" spans="1:33" s="2" customFormat="1" ht="9" customHeight="1">
      <c r="A177" s="95" t="s">
        <v>688</v>
      </c>
      <c r="B177" s="238"/>
      <c r="C177" s="94" t="s">
        <v>4929</v>
      </c>
      <c r="D177" s="94" t="s">
        <v>4929</v>
      </c>
      <c r="E177" s="94" t="s">
        <v>4929</v>
      </c>
      <c r="F177" s="94" t="s">
        <v>5765</v>
      </c>
      <c r="G177" s="94" t="s">
        <v>5764</v>
      </c>
      <c r="H177" s="94" t="s">
        <v>5882</v>
      </c>
      <c r="I177" s="94" t="s">
        <v>4954</v>
      </c>
      <c r="J177" s="94" t="s">
        <v>4954</v>
      </c>
      <c r="K177" s="94" t="s">
        <v>39</v>
      </c>
      <c r="L177" s="94" t="s">
        <v>6163</v>
      </c>
      <c r="M177" s="94" t="s">
        <v>6163</v>
      </c>
      <c r="N177" s="94" t="s">
        <v>6163</v>
      </c>
      <c r="O177" s="94" t="s">
        <v>6163</v>
      </c>
      <c r="P177" s="94" t="s">
        <v>39</v>
      </c>
      <c r="Q177" s="94" t="s">
        <v>5476</v>
      </c>
      <c r="R177" s="94" t="s">
        <v>5574</v>
      </c>
      <c r="S177" s="94" t="s">
        <v>5574</v>
      </c>
      <c r="T177" s="94" t="s">
        <v>5639</v>
      </c>
      <c r="U177" s="94"/>
      <c r="X177" s="19"/>
      <c r="Y177" s="20"/>
      <c r="Z177" s="11"/>
      <c r="AA177" s="14"/>
      <c r="AB177" s="14"/>
      <c r="AC177" s="19"/>
      <c r="AG177" s="239"/>
    </row>
    <row r="178" spans="1:33" s="14" customFormat="1" ht="30" customHeight="1">
      <c r="A178" s="53" t="s">
        <v>6204</v>
      </c>
      <c r="B178" s="212"/>
      <c r="C178" s="54" t="s">
        <v>5481</v>
      </c>
      <c r="D178" s="54" t="s">
        <v>5481</v>
      </c>
      <c r="E178" s="54" t="s">
        <v>5481</v>
      </c>
      <c r="F178" s="54" t="s">
        <v>41</v>
      </c>
      <c r="G178" s="54" t="s">
        <v>384</v>
      </c>
      <c r="H178" s="54" t="s">
        <v>5884</v>
      </c>
      <c r="I178" s="54" t="s">
        <v>5483</v>
      </c>
      <c r="J178" s="54" t="s">
        <v>5483</v>
      </c>
      <c r="K178" s="54" t="s">
        <v>39</v>
      </c>
      <c r="L178" s="54" t="s">
        <v>39</v>
      </c>
      <c r="M178" s="54" t="s">
        <v>39</v>
      </c>
      <c r="N178" s="54" t="s">
        <v>39</v>
      </c>
      <c r="O178" s="54" t="s">
        <v>39</v>
      </c>
      <c r="P178" s="54" t="s">
        <v>39</v>
      </c>
      <c r="Q178" s="54" t="s">
        <v>41</v>
      </c>
      <c r="R178" s="54" t="s">
        <v>41</v>
      </c>
      <c r="S178" s="54" t="s">
        <v>41</v>
      </c>
      <c r="T178" s="54" t="s">
        <v>5483</v>
      </c>
      <c r="U178" s="54"/>
      <c r="AA178" s="19"/>
      <c r="AB178" s="19"/>
      <c r="AG178" s="286"/>
    </row>
    <row r="179" spans="1:33" s="2" customFormat="1" ht="9" customHeight="1">
      <c r="A179" s="95" t="s">
        <v>688</v>
      </c>
      <c r="B179" s="238"/>
      <c r="C179" s="94" t="s">
        <v>5222</v>
      </c>
      <c r="D179" s="94" t="s">
        <v>5222</v>
      </c>
      <c r="E179" s="94" t="s">
        <v>5222</v>
      </c>
      <c r="F179" s="94" t="s">
        <v>5765</v>
      </c>
      <c r="G179" s="94" t="s">
        <v>5694</v>
      </c>
      <c r="H179" s="94" t="s">
        <v>5882</v>
      </c>
      <c r="I179" s="94" t="s">
        <v>4985</v>
      </c>
      <c r="J179" s="94" t="s">
        <v>4985</v>
      </c>
      <c r="K179" s="94" t="s">
        <v>39</v>
      </c>
      <c r="L179" s="94" t="s">
        <v>6170</v>
      </c>
      <c r="M179" s="94" t="s">
        <v>6170</v>
      </c>
      <c r="N179" s="94" t="s">
        <v>6170</v>
      </c>
      <c r="O179" s="94" t="s">
        <v>6170</v>
      </c>
      <c r="P179" s="94" t="s">
        <v>39</v>
      </c>
      <c r="Q179" s="94" t="s">
        <v>5484</v>
      </c>
      <c r="R179" s="94" t="s">
        <v>2155</v>
      </c>
      <c r="S179" s="94" t="s">
        <v>2155</v>
      </c>
      <c r="T179" s="94" t="s">
        <v>5641</v>
      </c>
      <c r="U179" s="94"/>
      <c r="X179" s="19"/>
      <c r="Y179" s="20"/>
      <c r="Z179" s="11"/>
      <c r="AA179" s="14"/>
      <c r="AB179" s="14"/>
      <c r="AC179" s="19"/>
      <c r="AG179" s="239"/>
    </row>
    <row r="180" spans="1:33" s="14" customFormat="1" ht="30" customHeight="1">
      <c r="A180" s="58" t="s">
        <v>2836</v>
      </c>
      <c r="B180" s="212" t="s">
        <v>4872</v>
      </c>
      <c r="C180" s="54" t="s">
        <v>5320</v>
      </c>
      <c r="D180" s="54" t="s">
        <v>5320</v>
      </c>
      <c r="E180" s="54" t="s">
        <v>5321</v>
      </c>
      <c r="F180" s="54" t="s">
        <v>750</v>
      </c>
      <c r="G180" s="54" t="s">
        <v>750</v>
      </c>
      <c r="H180" s="54" t="s">
        <v>5883</v>
      </c>
      <c r="I180" s="54" t="s">
        <v>4955</v>
      </c>
      <c r="J180" s="54" t="s">
        <v>4955</v>
      </c>
      <c r="K180" s="54" t="s">
        <v>39</v>
      </c>
      <c r="L180" s="54" t="s">
        <v>6238</v>
      </c>
      <c r="M180" s="54" t="s">
        <v>6238</v>
      </c>
      <c r="N180" s="54" t="s">
        <v>6238</v>
      </c>
      <c r="O180" s="54" t="s">
        <v>6238</v>
      </c>
      <c r="P180" s="54" t="s">
        <v>39</v>
      </c>
      <c r="Q180" s="54" t="s">
        <v>4955</v>
      </c>
      <c r="R180" s="54" t="s">
        <v>750</v>
      </c>
      <c r="S180" s="54" t="s">
        <v>750</v>
      </c>
      <c r="T180" s="54" t="s">
        <v>4955</v>
      </c>
      <c r="U180" s="54"/>
      <c r="Z180"/>
      <c r="AA180" s="2"/>
      <c r="AB180" s="19"/>
      <c r="AG180" s="286"/>
    </row>
    <row r="181" spans="1:33" s="2" customFormat="1" ht="9" customHeight="1">
      <c r="A181" s="95"/>
      <c r="B181" s="238"/>
      <c r="C181" s="94" t="s">
        <v>5219</v>
      </c>
      <c r="D181" s="94" t="s">
        <v>5219</v>
      </c>
      <c r="E181" s="94" t="s">
        <v>5218</v>
      </c>
      <c r="F181" s="94" t="s">
        <v>5762</v>
      </c>
      <c r="G181" s="94" t="s">
        <v>5695</v>
      </c>
      <c r="H181" s="94" t="s">
        <v>5881</v>
      </c>
      <c r="I181" s="94" t="s">
        <v>4956</v>
      </c>
      <c r="J181" s="94" t="s">
        <v>4956</v>
      </c>
      <c r="K181" s="94" t="s">
        <v>39</v>
      </c>
      <c r="L181" s="94" t="s">
        <v>6169</v>
      </c>
      <c r="M181" s="94" t="s">
        <v>6169</v>
      </c>
      <c r="N181" s="94" t="s">
        <v>6169</v>
      </c>
      <c r="O181" s="94" t="s">
        <v>6169</v>
      </c>
      <c r="P181" s="94" t="s">
        <v>39</v>
      </c>
      <c r="Q181" s="94" t="s">
        <v>5477</v>
      </c>
      <c r="R181" s="94" t="s">
        <v>1384</v>
      </c>
      <c r="S181" s="94" t="s">
        <v>1384</v>
      </c>
      <c r="T181" s="94" t="s">
        <v>5642</v>
      </c>
      <c r="U181" s="94"/>
      <c r="X181" s="19"/>
      <c r="Y181" s="20"/>
      <c r="AA181" s="14"/>
      <c r="AB181" s="14"/>
      <c r="AC181" s="19"/>
      <c r="AG181" s="239"/>
    </row>
    <row r="182" spans="1:33" s="14" customFormat="1" ht="30" customHeight="1">
      <c r="A182" s="53" t="s">
        <v>63</v>
      </c>
      <c r="B182" s="212"/>
      <c r="C182" s="54" t="s">
        <v>39</v>
      </c>
      <c r="D182" s="54" t="s">
        <v>39</v>
      </c>
      <c r="E182" s="54" t="s">
        <v>39</v>
      </c>
      <c r="F182" s="54" t="s">
        <v>39</v>
      </c>
      <c r="G182" s="54" t="s">
        <v>39</v>
      </c>
      <c r="H182" s="54" t="s">
        <v>2257</v>
      </c>
      <c r="I182" s="54" t="s">
        <v>39</v>
      </c>
      <c r="J182" s="54" t="s">
        <v>39</v>
      </c>
      <c r="K182" s="54" t="s">
        <v>39</v>
      </c>
      <c r="L182" s="54" t="s">
        <v>39</v>
      </c>
      <c r="M182" s="54" t="s">
        <v>41</v>
      </c>
      <c r="N182" s="54" t="s">
        <v>41</v>
      </c>
      <c r="O182" s="54" t="s">
        <v>39</v>
      </c>
      <c r="P182" s="54" t="s">
        <v>39</v>
      </c>
      <c r="Q182" s="54" t="s">
        <v>39</v>
      </c>
      <c r="R182" s="54" t="s">
        <v>39</v>
      </c>
      <c r="S182" s="54" t="s">
        <v>39</v>
      </c>
      <c r="T182" s="54" t="s">
        <v>39</v>
      </c>
      <c r="U182" s="54"/>
      <c r="X182"/>
      <c r="Y182"/>
      <c r="Z182" s="119"/>
      <c r="AA182" s="19"/>
      <c r="AB182" s="19"/>
      <c r="AG182" s="286"/>
    </row>
    <row r="183" spans="1:33" s="2" customFormat="1" ht="9" customHeight="1">
      <c r="A183" s="95" t="s">
        <v>688</v>
      </c>
      <c r="B183" s="238"/>
      <c r="C183" s="94" t="s">
        <v>39</v>
      </c>
      <c r="D183" s="94" t="s">
        <v>39</v>
      </c>
      <c r="E183" s="94" t="s">
        <v>39</v>
      </c>
      <c r="F183" s="94" t="s">
        <v>39</v>
      </c>
      <c r="G183" s="94" t="s">
        <v>39</v>
      </c>
      <c r="H183" s="94" t="s">
        <v>5882</v>
      </c>
      <c r="I183" s="94" t="s">
        <v>39</v>
      </c>
      <c r="J183" s="94" t="s">
        <v>39</v>
      </c>
      <c r="K183" s="94" t="s">
        <v>39</v>
      </c>
      <c r="L183" s="94" t="s">
        <v>39</v>
      </c>
      <c r="M183" s="94" t="s">
        <v>6326</v>
      </c>
      <c r="N183" s="94" t="s">
        <v>6326</v>
      </c>
      <c r="O183" s="94" t="s">
        <v>39</v>
      </c>
      <c r="P183" s="94" t="s">
        <v>39</v>
      </c>
      <c r="Q183" s="94" t="s">
        <v>39</v>
      </c>
      <c r="R183" s="94" t="s">
        <v>39</v>
      </c>
      <c r="S183" s="94" t="s">
        <v>39</v>
      </c>
      <c r="T183" s="94" t="s">
        <v>39</v>
      </c>
      <c r="U183" s="94"/>
      <c r="Z183" s="14"/>
      <c r="AA183" s="14"/>
      <c r="AB183" s="14"/>
      <c r="AC183" s="19"/>
      <c r="AG183" s="239"/>
    </row>
    <row r="184" spans="1:33" s="14" customFormat="1" ht="30" customHeight="1">
      <c r="A184" s="53" t="s">
        <v>6205</v>
      </c>
      <c r="B184" s="212"/>
      <c r="C184" s="54" t="s">
        <v>5317</v>
      </c>
      <c r="D184" s="54" t="s">
        <v>5317</v>
      </c>
      <c r="E184" s="54" t="s">
        <v>5220</v>
      </c>
      <c r="F184" s="54" t="s">
        <v>41</v>
      </c>
      <c r="G184" s="54" t="s">
        <v>39</v>
      </c>
      <c r="H184" s="54" t="s">
        <v>41</v>
      </c>
      <c r="I184" s="54" t="s">
        <v>194</v>
      </c>
      <c r="J184" s="54" t="s">
        <v>194</v>
      </c>
      <c r="K184" s="54" t="s">
        <v>39</v>
      </c>
      <c r="L184" s="54" t="s">
        <v>41</v>
      </c>
      <c r="M184" s="54" t="s">
        <v>41</v>
      </c>
      <c r="N184" s="54" t="s">
        <v>41</v>
      </c>
      <c r="O184" s="54" t="s">
        <v>41</v>
      </c>
      <c r="P184" s="54" t="s">
        <v>39</v>
      </c>
      <c r="Q184" s="54" t="s">
        <v>616</v>
      </c>
      <c r="R184" s="54" t="s">
        <v>616</v>
      </c>
      <c r="S184" s="54" t="s">
        <v>616</v>
      </c>
      <c r="T184" s="54" t="s">
        <v>39</v>
      </c>
      <c r="U184" s="54"/>
      <c r="X184" s="119"/>
      <c r="Y184" s="119"/>
      <c r="Z184" s="11"/>
      <c r="AA184" s="19"/>
      <c r="AB184" s="19"/>
      <c r="AG184" s="286"/>
    </row>
    <row r="185" spans="1:33" s="2" customFormat="1" ht="9" customHeight="1">
      <c r="A185" s="95" t="s">
        <v>688</v>
      </c>
      <c r="B185" s="238"/>
      <c r="C185" s="94" t="s">
        <v>5219</v>
      </c>
      <c r="D185" s="94" t="s">
        <v>5219</v>
      </c>
      <c r="E185" s="94" t="s">
        <v>5219</v>
      </c>
      <c r="F185" s="94" t="s">
        <v>5765</v>
      </c>
      <c r="G185" s="94" t="s">
        <v>39</v>
      </c>
      <c r="H185" s="94" t="s">
        <v>5882</v>
      </c>
      <c r="I185" s="94" t="s">
        <v>4984</v>
      </c>
      <c r="J185" s="94" t="s">
        <v>4984</v>
      </c>
      <c r="K185" s="94" t="s">
        <v>39</v>
      </c>
      <c r="L185" s="94" t="s">
        <v>6162</v>
      </c>
      <c r="M185" s="94" t="s">
        <v>6162</v>
      </c>
      <c r="N185" s="94" t="s">
        <v>6162</v>
      </c>
      <c r="O185" s="94" t="s">
        <v>6162</v>
      </c>
      <c r="P185" s="94" t="s">
        <v>39</v>
      </c>
      <c r="Q185" s="94" t="s">
        <v>5480</v>
      </c>
      <c r="R185" s="94" t="s">
        <v>2132</v>
      </c>
      <c r="S185" s="94" t="s">
        <v>2132</v>
      </c>
      <c r="T185" s="94" t="s">
        <v>39</v>
      </c>
      <c r="U185" s="94"/>
      <c r="X185" s="14"/>
      <c r="Y185" s="14"/>
      <c r="Z185" s="11"/>
      <c r="AA185" s="14"/>
      <c r="AB185" s="14"/>
      <c r="AC185" s="19"/>
      <c r="AG185" s="239"/>
    </row>
    <row r="186" spans="1:33" s="14" customFormat="1" ht="30" customHeight="1">
      <c r="A186" s="53" t="s">
        <v>131</v>
      </c>
      <c r="B186" s="212"/>
      <c r="C186" s="54" t="s">
        <v>5334</v>
      </c>
      <c r="D186" s="54" t="s">
        <v>5334</v>
      </c>
      <c r="E186" s="54" t="s">
        <v>39</v>
      </c>
      <c r="F186" s="54" t="s">
        <v>5696</v>
      </c>
      <c r="G186" s="54" t="s">
        <v>5696</v>
      </c>
      <c r="H186" s="54" t="s">
        <v>5886</v>
      </c>
      <c r="I186" s="54" t="s">
        <v>5005</v>
      </c>
      <c r="J186" s="54" t="s">
        <v>5005</v>
      </c>
      <c r="K186" s="54" t="s">
        <v>39</v>
      </c>
      <c r="L186" s="54" t="s">
        <v>5005</v>
      </c>
      <c r="M186" s="54" t="s">
        <v>5005</v>
      </c>
      <c r="N186" s="54" t="s">
        <v>5005</v>
      </c>
      <c r="O186" s="54" t="s">
        <v>39</v>
      </c>
      <c r="P186" s="54" t="s">
        <v>39</v>
      </c>
      <c r="Q186" s="54" t="s">
        <v>5478</v>
      </c>
      <c r="R186" s="54" t="s">
        <v>39</v>
      </c>
      <c r="S186" s="54" t="s">
        <v>39</v>
      </c>
      <c r="T186" s="54" t="s">
        <v>39</v>
      </c>
      <c r="U186" s="54"/>
      <c r="X186" s="19"/>
      <c r="Y186" s="20"/>
      <c r="Z186" s="11"/>
      <c r="AA186" s="19"/>
      <c r="AB186" s="19"/>
      <c r="AG186" s="286"/>
    </row>
    <row r="187" spans="1:33" s="2" customFormat="1" ht="9" customHeight="1">
      <c r="A187" s="95" t="s">
        <v>688</v>
      </c>
      <c r="B187" s="238"/>
      <c r="C187" s="94" t="s">
        <v>5335</v>
      </c>
      <c r="D187" s="94" t="s">
        <v>5335</v>
      </c>
      <c r="E187" s="94" t="s">
        <v>39</v>
      </c>
      <c r="F187" s="94" t="s">
        <v>5765</v>
      </c>
      <c r="G187" s="94" t="s">
        <v>5697</v>
      </c>
      <c r="H187" s="94" t="s">
        <v>5885</v>
      </c>
      <c r="I187" s="94" t="s">
        <v>5006</v>
      </c>
      <c r="J187" s="94" t="s">
        <v>5006</v>
      </c>
      <c r="K187" s="94" t="s">
        <v>39</v>
      </c>
      <c r="L187" s="94" t="s">
        <v>6164</v>
      </c>
      <c r="M187" s="94" t="s">
        <v>6164</v>
      </c>
      <c r="N187" s="94" t="s">
        <v>6164</v>
      </c>
      <c r="O187" s="94" t="s">
        <v>39</v>
      </c>
      <c r="P187" s="94" t="s">
        <v>39</v>
      </c>
      <c r="Q187" s="94" t="s">
        <v>5479</v>
      </c>
      <c r="R187" s="94" t="s">
        <v>39</v>
      </c>
      <c r="S187" s="94" t="s">
        <v>39</v>
      </c>
      <c r="T187" s="94" t="s">
        <v>39</v>
      </c>
      <c r="U187" s="94"/>
      <c r="X187" s="19"/>
      <c r="Y187" s="20"/>
      <c r="Z187" s="11"/>
      <c r="AA187" s="14"/>
      <c r="AB187" s="14"/>
      <c r="AC187" s="19"/>
      <c r="AG187" s="239"/>
    </row>
    <row r="188" spans="1:33" s="14" customFormat="1" ht="30" customHeight="1">
      <c r="A188" s="53" t="s">
        <v>132</v>
      </c>
      <c r="B188" s="212"/>
      <c r="C188" s="54" t="s">
        <v>5336</v>
      </c>
      <c r="D188" s="54" t="s">
        <v>5336</v>
      </c>
      <c r="E188" s="54" t="s">
        <v>39</v>
      </c>
      <c r="F188" s="54" t="s">
        <v>39</v>
      </c>
      <c r="G188" s="54" t="s">
        <v>39</v>
      </c>
      <c r="H188" s="54" t="s">
        <v>5887</v>
      </c>
      <c r="I188" s="54" t="s">
        <v>5007</v>
      </c>
      <c r="J188" s="54" t="s">
        <v>5007</v>
      </c>
      <c r="K188" s="54" t="s">
        <v>39</v>
      </c>
      <c r="L188" s="54" t="s">
        <v>5007</v>
      </c>
      <c r="M188" s="54" t="s">
        <v>5007</v>
      </c>
      <c r="N188" s="54" t="s">
        <v>5007</v>
      </c>
      <c r="O188" s="54" t="s">
        <v>39</v>
      </c>
      <c r="P188" s="54" t="s">
        <v>39</v>
      </c>
      <c r="Q188" s="54" t="s">
        <v>39</v>
      </c>
      <c r="R188" s="54" t="s">
        <v>39</v>
      </c>
      <c r="S188" s="54" t="s">
        <v>39</v>
      </c>
      <c r="T188" s="54" t="s">
        <v>39</v>
      </c>
      <c r="U188" s="54"/>
      <c r="X188" s="19"/>
      <c r="Y188" s="20"/>
      <c r="Z188" s="11"/>
      <c r="AA188" s="19"/>
      <c r="AB188" s="19"/>
      <c r="AG188" s="286"/>
    </row>
    <row r="189" spans="1:33" s="2" customFormat="1" ht="9" customHeight="1">
      <c r="A189" s="95" t="s">
        <v>688</v>
      </c>
      <c r="B189" s="238"/>
      <c r="C189" s="94" t="s">
        <v>5337</v>
      </c>
      <c r="D189" s="94" t="s">
        <v>5337</v>
      </c>
      <c r="E189" s="94" t="s">
        <v>39</v>
      </c>
      <c r="F189" s="94" t="s">
        <v>39</v>
      </c>
      <c r="G189" s="94" t="s">
        <v>39</v>
      </c>
      <c r="H189" s="94" t="s">
        <v>5888</v>
      </c>
      <c r="I189" s="94" t="s">
        <v>5008</v>
      </c>
      <c r="J189" s="94" t="s">
        <v>5008</v>
      </c>
      <c r="K189" s="94" t="s">
        <v>39</v>
      </c>
      <c r="L189" s="94" t="s">
        <v>6164</v>
      </c>
      <c r="M189" s="94" t="s">
        <v>6164</v>
      </c>
      <c r="N189" s="94" t="s">
        <v>6164</v>
      </c>
      <c r="O189" s="94" t="s">
        <v>39</v>
      </c>
      <c r="P189" s="94" t="s">
        <v>39</v>
      </c>
      <c r="Q189" s="94" t="s">
        <v>39</v>
      </c>
      <c r="R189" s="94" t="s">
        <v>39</v>
      </c>
      <c r="S189" s="94" t="s">
        <v>39</v>
      </c>
      <c r="T189" s="94" t="s">
        <v>39</v>
      </c>
      <c r="U189" s="94"/>
      <c r="X189" s="19"/>
      <c r="Y189" s="20"/>
      <c r="Z189" s="11"/>
      <c r="AB189" s="14"/>
      <c r="AC189" s="19"/>
      <c r="AG189" s="239"/>
    </row>
    <row r="190" spans="1:33" s="14" customFormat="1" ht="22.5" customHeight="1">
      <c r="A190" s="154"/>
      <c r="B190" s="240"/>
      <c r="C190" s="204"/>
      <c r="D190" s="246"/>
      <c r="E190" s="204"/>
      <c r="F190" s="246"/>
      <c r="G190" s="246"/>
      <c r="H190" s="246"/>
      <c r="I190" s="204"/>
      <c r="J190" s="204"/>
      <c r="K190" s="204"/>
      <c r="L190" s="246"/>
      <c r="M190" s="246"/>
      <c r="N190" s="246"/>
      <c r="O190" s="246"/>
      <c r="P190" s="246"/>
      <c r="Q190" s="246"/>
      <c r="R190"/>
      <c r="S190"/>
      <c r="T190" s="246"/>
      <c r="U190" s="204"/>
      <c r="X190" s="19"/>
      <c r="Y190" s="20"/>
      <c r="Z190" s="11"/>
      <c r="AB190" s="19"/>
      <c r="AG190" s="286"/>
    </row>
    <row r="191" spans="1:33" s="2" customFormat="1" ht="20.100000000000001" customHeight="1">
      <c r="A191" s="176" t="s">
        <v>4830</v>
      </c>
      <c r="B191" s="209" t="str">
        <f t="shared" ref="B191:T191" si="9">B1</f>
        <v>Erläuterungen</v>
      </c>
      <c r="C191" s="209" t="str">
        <f t="shared" si="9"/>
        <v>Baloise Gold</v>
      </c>
      <c r="D191" s="209" t="str">
        <f t="shared" si="9"/>
        <v>Baloise Gold 100</v>
      </c>
      <c r="E191" s="209" t="str">
        <f t="shared" si="9"/>
        <v>Baloise Silber</v>
      </c>
      <c r="F191" s="209" t="str">
        <f t="shared" si="9"/>
        <v>HK Einfach Besser</v>
      </c>
      <c r="G191" s="209" t="str">
        <f t="shared" si="9"/>
        <v>HK Einfach Gut</v>
      </c>
      <c r="H191" s="209" t="str">
        <f t="shared" si="9"/>
        <v>HK Einfach Komplett</v>
      </c>
      <c r="I191" s="209" t="str">
        <f t="shared" si="9"/>
        <v>Interlloyd Premium</v>
      </c>
      <c r="J191" s="209" t="str">
        <f t="shared" si="9"/>
        <v>Interlloyd Premium HB</v>
      </c>
      <c r="K191" s="209" t="str">
        <f t="shared" si="9"/>
        <v>Interllyod Protect UR</v>
      </c>
      <c r="L191" s="209" t="str">
        <f t="shared" si="9"/>
        <v xml:space="preserve">ITL Eurosecure Plus </v>
      </c>
      <c r="M191" s="209" t="str">
        <f t="shared" si="9"/>
        <v>ITL Infinitus</v>
      </c>
      <c r="N191" s="209" t="str">
        <f t="shared" si="9"/>
        <v>ITL Infinitus HB</v>
      </c>
      <c r="O191" s="209" t="str">
        <f t="shared" si="9"/>
        <v>ITL Protect Plus</v>
      </c>
      <c r="P191" s="209" t="str">
        <f t="shared" si="9"/>
        <v>keine</v>
      </c>
      <c r="Q191" s="209" t="str">
        <f t="shared" si="9"/>
        <v>VHV Klassik Garant</v>
      </c>
      <c r="R191" s="202" t="str">
        <f t="shared" si="9"/>
        <v>VHV Klassik Garant Exklusiv</v>
      </c>
      <c r="S191" s="202" t="str">
        <f t="shared" si="9"/>
        <v>VHV Klassik Garant Exklusiv HB</v>
      </c>
      <c r="T191" s="209" t="str">
        <f t="shared" si="9"/>
        <v>VHV Smart</v>
      </c>
      <c r="U191" s="209"/>
      <c r="X191" s="19"/>
      <c r="Y191" s="20"/>
      <c r="Z191" s="11"/>
      <c r="AA191" s="19"/>
      <c r="AB191" s="14"/>
      <c r="AC191" s="19"/>
      <c r="AG191" s="239"/>
    </row>
    <row r="192" spans="1:33" s="14" customFormat="1" ht="30" customHeight="1">
      <c r="A192" s="53" t="s">
        <v>5473</v>
      </c>
      <c r="B192" s="212"/>
      <c r="C192" s="54" t="s">
        <v>5472</v>
      </c>
      <c r="D192" s="54" t="s">
        <v>5472</v>
      </c>
      <c r="E192" s="54" t="s">
        <v>5472</v>
      </c>
      <c r="F192" s="54" t="s">
        <v>5472</v>
      </c>
      <c r="G192" s="54" t="s">
        <v>5472</v>
      </c>
      <c r="H192" s="54" t="s">
        <v>5472</v>
      </c>
      <c r="I192" s="54" t="s">
        <v>5472</v>
      </c>
      <c r="J192" s="54" t="s">
        <v>5472</v>
      </c>
      <c r="K192" s="54" t="s">
        <v>39</v>
      </c>
      <c r="L192" s="54" t="s">
        <v>5472</v>
      </c>
      <c r="M192" s="54" t="s">
        <v>5472</v>
      </c>
      <c r="N192" s="54" t="s">
        <v>5472</v>
      </c>
      <c r="O192" s="54" t="s">
        <v>5472</v>
      </c>
      <c r="P192" s="54" t="s">
        <v>39</v>
      </c>
      <c r="Q192" s="54" t="s">
        <v>5472</v>
      </c>
      <c r="R192" s="54" t="s">
        <v>5472</v>
      </c>
      <c r="S192" s="54" t="s">
        <v>5472</v>
      </c>
      <c r="T192" s="54" t="s">
        <v>39</v>
      </c>
      <c r="U192" s="54"/>
      <c r="X192" s="19"/>
      <c r="Y192" s="20"/>
      <c r="Z192" s="11"/>
      <c r="AB192" s="19"/>
      <c r="AG192" s="286"/>
    </row>
    <row r="193" spans="1:33" s="2" customFormat="1" ht="9" customHeight="1">
      <c r="A193" s="95" t="s">
        <v>688</v>
      </c>
      <c r="B193" s="238"/>
      <c r="C193" s="94" t="s">
        <v>4952</v>
      </c>
      <c r="D193" s="94" t="s">
        <v>4952</v>
      </c>
      <c r="E193" s="94" t="s">
        <v>4952</v>
      </c>
      <c r="F193" s="94" t="s">
        <v>5692</v>
      </c>
      <c r="G193" s="94" t="s">
        <v>5692</v>
      </c>
      <c r="H193" s="94" t="s">
        <v>5692</v>
      </c>
      <c r="I193" s="94" t="s">
        <v>4952</v>
      </c>
      <c r="J193" s="94" t="s">
        <v>4952</v>
      </c>
      <c r="K193" s="94" t="s">
        <v>39</v>
      </c>
      <c r="L193" s="94" t="s">
        <v>6159</v>
      </c>
      <c r="M193" s="94" t="s">
        <v>6159</v>
      </c>
      <c r="N193" s="94" t="s">
        <v>6159</v>
      </c>
      <c r="O193" s="94" t="s">
        <v>6159</v>
      </c>
      <c r="P193" s="94" t="s">
        <v>39</v>
      </c>
      <c r="Q193" s="94" t="s">
        <v>5219</v>
      </c>
      <c r="R193" s="94" t="s">
        <v>5219</v>
      </c>
      <c r="S193" s="94" t="s">
        <v>5219</v>
      </c>
      <c r="T193" s="94" t="s">
        <v>39</v>
      </c>
      <c r="U193" s="94"/>
      <c r="X193" s="19"/>
      <c r="Y193" s="20"/>
      <c r="Z193" s="11"/>
      <c r="AA193" s="19"/>
      <c r="AB193" s="14"/>
      <c r="AC193" s="19"/>
      <c r="AG193" s="239"/>
    </row>
    <row r="194" spans="1:33" s="14" customFormat="1" ht="30" customHeight="1">
      <c r="A194" s="53" t="s">
        <v>4832</v>
      </c>
      <c r="B194" s="212"/>
      <c r="C194" s="54" t="s">
        <v>39</v>
      </c>
      <c r="D194" s="54" t="s">
        <v>39</v>
      </c>
      <c r="E194" s="54" t="s">
        <v>39</v>
      </c>
      <c r="F194" s="54" t="s">
        <v>39</v>
      </c>
      <c r="G194" s="54" t="s">
        <v>39</v>
      </c>
      <c r="H194" s="54" t="s">
        <v>39</v>
      </c>
      <c r="I194" s="54" t="s">
        <v>39</v>
      </c>
      <c r="J194" s="54" t="s">
        <v>39</v>
      </c>
      <c r="K194" s="54" t="s">
        <v>39</v>
      </c>
      <c r="L194" s="54" t="s">
        <v>39</v>
      </c>
      <c r="M194" s="54" t="s">
        <v>39</v>
      </c>
      <c r="N194" s="54" t="s">
        <v>39</v>
      </c>
      <c r="O194" s="54" t="s">
        <v>39</v>
      </c>
      <c r="P194" s="54" t="s">
        <v>39</v>
      </c>
      <c r="Q194" s="54" t="s">
        <v>39</v>
      </c>
      <c r="R194" s="54" t="s">
        <v>39</v>
      </c>
      <c r="S194" s="54" t="s">
        <v>39</v>
      </c>
      <c r="T194" s="54" t="s">
        <v>39</v>
      </c>
      <c r="U194" s="54"/>
      <c r="X194" s="19"/>
      <c r="Y194" s="20"/>
      <c r="Z194" s="11"/>
      <c r="AB194" s="19"/>
      <c r="AG194" s="286"/>
    </row>
    <row r="195" spans="1:33" s="2" customFormat="1" ht="9" customHeight="1">
      <c r="A195" s="95" t="s">
        <v>688</v>
      </c>
      <c r="B195" s="238"/>
      <c r="C195" s="94" t="s">
        <v>39</v>
      </c>
      <c r="D195" s="94" t="s">
        <v>39</v>
      </c>
      <c r="E195" s="94" t="s">
        <v>39</v>
      </c>
      <c r="F195" s="94" t="s">
        <v>39</v>
      </c>
      <c r="G195" s="94" t="s">
        <v>39</v>
      </c>
      <c r="H195" s="94" t="s">
        <v>39</v>
      </c>
      <c r="I195" s="94" t="s">
        <v>39</v>
      </c>
      <c r="J195" s="94" t="s">
        <v>39</v>
      </c>
      <c r="K195" s="94" t="s">
        <v>39</v>
      </c>
      <c r="L195" s="94" t="s">
        <v>39</v>
      </c>
      <c r="M195" s="94" t="s">
        <v>39</v>
      </c>
      <c r="N195" s="94" t="s">
        <v>39</v>
      </c>
      <c r="O195" s="94" t="s">
        <v>39</v>
      </c>
      <c r="P195" s="94" t="s">
        <v>39</v>
      </c>
      <c r="Q195" s="94" t="s">
        <v>39</v>
      </c>
      <c r="R195" s="94" t="s">
        <v>39</v>
      </c>
      <c r="S195" s="94" t="s">
        <v>39</v>
      </c>
      <c r="T195" s="94" t="s">
        <v>39</v>
      </c>
      <c r="U195" s="94"/>
      <c r="X195" s="19"/>
      <c r="Y195" s="20"/>
      <c r="Z195" s="11"/>
      <c r="AA195" s="248"/>
      <c r="AB195" s="14"/>
      <c r="AC195" s="19"/>
      <c r="AG195" s="239"/>
    </row>
    <row r="196" spans="1:33" s="14" customFormat="1" ht="22.5" customHeight="1">
      <c r="A196" s="11"/>
      <c r="B196" s="239"/>
      <c r="C196" s="204"/>
      <c r="D196" s="246"/>
      <c r="E196" s="204"/>
      <c r="F196" s="246"/>
      <c r="G196" s="246"/>
      <c r="H196" s="246"/>
      <c r="I196" s="204"/>
      <c r="J196" s="204"/>
      <c r="K196" s="204"/>
      <c r="L196" s="246"/>
      <c r="M196" s="246"/>
      <c r="N196" s="246"/>
      <c r="O196" s="246"/>
      <c r="P196" s="283"/>
      <c r="Q196" s="246"/>
      <c r="R196"/>
      <c r="S196"/>
      <c r="T196" s="246"/>
      <c r="U196" s="204"/>
      <c r="X196" s="19"/>
      <c r="Y196" s="20"/>
      <c r="Z196" s="11"/>
      <c r="AA196" s="19"/>
      <c r="AB196" s="19"/>
      <c r="AG196" s="286"/>
    </row>
    <row r="197" spans="1:33" s="2" customFormat="1" ht="20.100000000000001" customHeight="1">
      <c r="A197" s="176" t="s">
        <v>4821</v>
      </c>
      <c r="B197" s="209" t="str">
        <f t="shared" ref="B197:T197" si="10">B1</f>
        <v>Erläuterungen</v>
      </c>
      <c r="C197" s="209" t="str">
        <f t="shared" si="10"/>
        <v>Baloise Gold</v>
      </c>
      <c r="D197" s="209" t="str">
        <f t="shared" si="10"/>
        <v>Baloise Gold 100</v>
      </c>
      <c r="E197" s="209" t="str">
        <f t="shared" si="10"/>
        <v>Baloise Silber</v>
      </c>
      <c r="F197" s="209" t="str">
        <f t="shared" si="10"/>
        <v>HK Einfach Besser</v>
      </c>
      <c r="G197" s="209" t="str">
        <f t="shared" si="10"/>
        <v>HK Einfach Gut</v>
      </c>
      <c r="H197" s="209" t="str">
        <f t="shared" si="10"/>
        <v>HK Einfach Komplett</v>
      </c>
      <c r="I197" s="209" t="str">
        <f t="shared" si="10"/>
        <v>Interlloyd Premium</v>
      </c>
      <c r="J197" s="209" t="str">
        <f t="shared" si="10"/>
        <v>Interlloyd Premium HB</v>
      </c>
      <c r="K197" s="209" t="str">
        <f t="shared" si="10"/>
        <v>Interllyod Protect UR</v>
      </c>
      <c r="L197" s="209" t="str">
        <f t="shared" si="10"/>
        <v xml:space="preserve">ITL Eurosecure Plus </v>
      </c>
      <c r="M197" s="209" t="str">
        <f t="shared" si="10"/>
        <v>ITL Infinitus</v>
      </c>
      <c r="N197" s="209" t="str">
        <f t="shared" si="10"/>
        <v>ITL Infinitus HB</v>
      </c>
      <c r="O197" s="209" t="str">
        <f t="shared" si="10"/>
        <v>ITL Protect Plus</v>
      </c>
      <c r="P197" s="209" t="str">
        <f t="shared" si="10"/>
        <v>keine</v>
      </c>
      <c r="Q197" s="209" t="str">
        <f t="shared" si="10"/>
        <v>VHV Klassik Garant</v>
      </c>
      <c r="R197" s="202" t="str">
        <f t="shared" si="10"/>
        <v>VHV Klassik Garant Exklusiv</v>
      </c>
      <c r="S197" s="202" t="str">
        <f t="shared" si="10"/>
        <v>VHV Klassik Garant Exklusiv HB</v>
      </c>
      <c r="T197" s="209" t="str">
        <f t="shared" si="10"/>
        <v>VHV Smart</v>
      </c>
      <c r="U197" s="209"/>
      <c r="X197" s="19"/>
      <c r="Y197" s="20"/>
      <c r="Z197" s="11"/>
      <c r="AA197" s="14"/>
      <c r="AB197" s="14"/>
      <c r="AC197" s="19"/>
      <c r="AG197" s="239"/>
    </row>
    <row r="198" spans="1:33" s="14" customFormat="1" ht="50.1" customHeight="1">
      <c r="A198" s="53" t="s">
        <v>5013</v>
      </c>
      <c r="B198" s="212"/>
      <c r="C198" s="54" t="s">
        <v>5339</v>
      </c>
      <c r="D198" s="54" t="s">
        <v>5339</v>
      </c>
      <c r="E198" s="54" t="s">
        <v>5229</v>
      </c>
      <c r="F198" s="54" t="s">
        <v>5843</v>
      </c>
      <c r="G198" s="54" t="s">
        <v>39</v>
      </c>
      <c r="H198" s="54" t="s">
        <v>5958</v>
      </c>
      <c r="I198" s="54" t="s">
        <v>5095</v>
      </c>
      <c r="J198" s="54" t="s">
        <v>5095</v>
      </c>
      <c r="K198" s="54" t="s">
        <v>4854</v>
      </c>
      <c r="L198" s="54" t="s">
        <v>6257</v>
      </c>
      <c r="M198" s="54" t="s">
        <v>6257</v>
      </c>
      <c r="N198" s="54" t="s">
        <v>6257</v>
      </c>
      <c r="O198" s="54" t="s">
        <v>6257</v>
      </c>
      <c r="P198" s="54" t="s">
        <v>39</v>
      </c>
      <c r="Q198" s="54" t="s">
        <v>5520</v>
      </c>
      <c r="R198" s="54" t="s">
        <v>5590</v>
      </c>
      <c r="S198" s="54" t="s">
        <v>5590</v>
      </c>
      <c r="T198" s="54" t="s">
        <v>39</v>
      </c>
      <c r="U198" s="54"/>
      <c r="X198" s="19"/>
      <c r="Y198" s="20"/>
      <c r="Z198" s="11"/>
      <c r="AA198" s="19"/>
      <c r="AB198" s="19"/>
      <c r="AG198" s="286"/>
    </row>
    <row r="199" spans="1:33" s="2" customFormat="1" ht="9" customHeight="1">
      <c r="A199" s="95" t="s">
        <v>688</v>
      </c>
      <c r="B199" s="238"/>
      <c r="C199" s="94" t="s">
        <v>5338</v>
      </c>
      <c r="D199" s="94" t="s">
        <v>5338</v>
      </c>
      <c r="E199" s="94" t="s">
        <v>5228</v>
      </c>
      <c r="F199" s="94" t="s">
        <v>5842</v>
      </c>
      <c r="G199" s="94" t="s">
        <v>39</v>
      </c>
      <c r="H199" s="94" t="s">
        <v>5957</v>
      </c>
      <c r="I199" s="94" t="s">
        <v>5010</v>
      </c>
      <c r="J199" s="94" t="s">
        <v>5010</v>
      </c>
      <c r="K199" s="94" t="s">
        <v>4855</v>
      </c>
      <c r="L199" s="94" t="s">
        <v>6180</v>
      </c>
      <c r="M199" s="94" t="s">
        <v>6180</v>
      </c>
      <c r="N199" s="94" t="s">
        <v>6180</v>
      </c>
      <c r="O199" s="94" t="s">
        <v>6180</v>
      </c>
      <c r="P199" s="94" t="s">
        <v>39</v>
      </c>
      <c r="Q199" s="94" t="s">
        <v>5519</v>
      </c>
      <c r="R199" s="94" t="s">
        <v>5591</v>
      </c>
      <c r="S199" s="94" t="s">
        <v>5591</v>
      </c>
      <c r="T199" s="94" t="s">
        <v>39</v>
      </c>
      <c r="U199" s="94"/>
      <c r="X199" s="19"/>
      <c r="Y199" s="20"/>
      <c r="Z199" s="11"/>
      <c r="AA199" s="14"/>
      <c r="AB199" s="14"/>
      <c r="AC199" s="19"/>
      <c r="AG199" s="239"/>
    </row>
    <row r="200" spans="1:33" s="14" customFormat="1" ht="50.1" customHeight="1">
      <c r="A200" s="53" t="s">
        <v>5097</v>
      </c>
      <c r="B200" s="212" t="s">
        <v>5014</v>
      </c>
      <c r="C200" s="54" t="s">
        <v>5521</v>
      </c>
      <c r="D200" s="54" t="s">
        <v>5521</v>
      </c>
      <c r="E200" s="54" t="s">
        <v>5230</v>
      </c>
      <c r="F200" s="54" t="s">
        <v>5844</v>
      </c>
      <c r="G200" s="54" t="s">
        <v>39</v>
      </c>
      <c r="H200" s="54" t="s">
        <v>5955</v>
      </c>
      <c r="I200" s="54" t="s">
        <v>5098</v>
      </c>
      <c r="J200" s="54" t="s">
        <v>5098</v>
      </c>
      <c r="K200" s="54" t="s">
        <v>39</v>
      </c>
      <c r="L200" s="54" t="s">
        <v>6258</v>
      </c>
      <c r="M200" s="54" t="s">
        <v>6258</v>
      </c>
      <c r="N200" s="54" t="s">
        <v>6258</v>
      </c>
      <c r="O200" s="54" t="s">
        <v>6258</v>
      </c>
      <c r="P200" s="54" t="s">
        <v>39</v>
      </c>
      <c r="Q200" s="54" t="s">
        <v>5522</v>
      </c>
      <c r="R200" s="54" t="s">
        <v>5592</v>
      </c>
      <c r="S200" s="54" t="s">
        <v>5592</v>
      </c>
      <c r="T200" s="54" t="s">
        <v>39</v>
      </c>
      <c r="U200" s="54"/>
      <c r="X200" s="19"/>
      <c r="Y200" s="20"/>
      <c r="Z200" s="11"/>
      <c r="AA200" s="19"/>
      <c r="AB200" s="19"/>
      <c r="AG200" s="286"/>
    </row>
    <row r="201" spans="1:33" s="2" customFormat="1" ht="9" customHeight="1">
      <c r="A201" s="95" t="s">
        <v>688</v>
      </c>
      <c r="B201" s="238"/>
      <c r="C201" s="94" t="s">
        <v>5338</v>
      </c>
      <c r="D201" s="94" t="s">
        <v>5338</v>
      </c>
      <c r="E201" s="94" t="s">
        <v>5228</v>
      </c>
      <c r="F201" s="94" t="s">
        <v>5845</v>
      </c>
      <c r="G201" s="94" t="s">
        <v>39</v>
      </c>
      <c r="H201" s="94" t="s">
        <v>5956</v>
      </c>
      <c r="I201" s="94" t="s">
        <v>5015</v>
      </c>
      <c r="J201" s="94" t="s">
        <v>5015</v>
      </c>
      <c r="K201" s="94" t="s">
        <v>39</v>
      </c>
      <c r="L201" s="94" t="s">
        <v>6180</v>
      </c>
      <c r="M201" s="94" t="s">
        <v>6180</v>
      </c>
      <c r="N201" s="94" t="s">
        <v>6180</v>
      </c>
      <c r="O201" s="94" t="s">
        <v>6180</v>
      </c>
      <c r="P201" s="94" t="s">
        <v>39</v>
      </c>
      <c r="Q201" s="94" t="s">
        <v>5523</v>
      </c>
      <c r="R201" s="94" t="s">
        <v>5523</v>
      </c>
      <c r="S201" s="94" t="s">
        <v>5523</v>
      </c>
      <c r="T201" s="94" t="s">
        <v>39</v>
      </c>
      <c r="U201" s="94"/>
      <c r="X201" s="19"/>
      <c r="Y201" s="20"/>
      <c r="Z201" s="11"/>
      <c r="AA201" s="14"/>
      <c r="AB201" s="14"/>
      <c r="AC201" s="19"/>
      <c r="AG201" s="239"/>
    </row>
    <row r="202" spans="1:33" s="14" customFormat="1" ht="22.5" customHeight="1">
      <c r="A202" s="11"/>
      <c r="B202" s="239"/>
      <c r="C202" s="204"/>
      <c r="D202" s="246"/>
      <c r="E202" s="204"/>
      <c r="F202" s="246"/>
      <c r="G202" s="246"/>
      <c r="H202" s="246"/>
      <c r="I202" s="204"/>
      <c r="J202" s="204"/>
      <c r="K202" s="204"/>
      <c r="L202" s="246"/>
      <c r="M202" s="246"/>
      <c r="N202" s="246"/>
      <c r="O202" s="246"/>
      <c r="P202" s="283"/>
      <c r="Q202" s="246"/>
      <c r="R202"/>
      <c r="S202"/>
      <c r="T202" s="246"/>
      <c r="U202" s="204"/>
      <c r="X202" s="19"/>
      <c r="Y202" s="20"/>
      <c r="Z202" s="11"/>
      <c r="AA202" s="19"/>
      <c r="AB202" s="19"/>
      <c r="AG202" s="286"/>
    </row>
    <row r="203" spans="1:33" s="2" customFormat="1" ht="20.100000000000001" customHeight="1">
      <c r="A203" s="176" t="s">
        <v>4829</v>
      </c>
      <c r="B203" s="202" t="str">
        <f t="shared" ref="B203:T203" si="11">B1</f>
        <v>Erläuterungen</v>
      </c>
      <c r="C203" s="202" t="str">
        <f t="shared" si="11"/>
        <v>Baloise Gold</v>
      </c>
      <c r="D203" s="202" t="str">
        <f t="shared" si="11"/>
        <v>Baloise Gold 100</v>
      </c>
      <c r="E203" s="202" t="str">
        <f t="shared" si="11"/>
        <v>Baloise Silber</v>
      </c>
      <c r="F203" s="202" t="str">
        <f t="shared" si="11"/>
        <v>HK Einfach Besser</v>
      </c>
      <c r="G203" s="202" t="str">
        <f t="shared" si="11"/>
        <v>HK Einfach Gut</v>
      </c>
      <c r="H203" s="202" t="str">
        <f t="shared" si="11"/>
        <v>HK Einfach Komplett</v>
      </c>
      <c r="I203" s="202" t="str">
        <f t="shared" si="11"/>
        <v>Interlloyd Premium</v>
      </c>
      <c r="J203" s="202" t="str">
        <f t="shared" si="11"/>
        <v>Interlloyd Premium HB</v>
      </c>
      <c r="K203" s="202" t="str">
        <f t="shared" si="11"/>
        <v>Interllyod Protect UR</v>
      </c>
      <c r="L203" s="202" t="str">
        <f t="shared" si="11"/>
        <v xml:space="preserve">ITL Eurosecure Plus </v>
      </c>
      <c r="M203" s="202" t="str">
        <f t="shared" si="11"/>
        <v>ITL Infinitus</v>
      </c>
      <c r="N203" s="202" t="str">
        <f t="shared" si="11"/>
        <v>ITL Infinitus HB</v>
      </c>
      <c r="O203" s="202" t="str">
        <f t="shared" si="11"/>
        <v>ITL Protect Plus</v>
      </c>
      <c r="P203" s="202" t="str">
        <f t="shared" si="11"/>
        <v>keine</v>
      </c>
      <c r="Q203" s="202" t="str">
        <f t="shared" si="11"/>
        <v>VHV Klassik Garant</v>
      </c>
      <c r="R203" s="202" t="str">
        <f t="shared" si="11"/>
        <v>VHV Klassik Garant Exklusiv</v>
      </c>
      <c r="S203" s="202" t="str">
        <f t="shared" si="11"/>
        <v>VHV Klassik Garant Exklusiv HB</v>
      </c>
      <c r="T203" s="202" t="str">
        <f t="shared" si="11"/>
        <v>VHV Smart</v>
      </c>
      <c r="U203" s="202"/>
      <c r="X203" s="19"/>
      <c r="Y203" s="20"/>
      <c r="Z203" s="11"/>
      <c r="AA203" s="14"/>
      <c r="AB203" s="14"/>
      <c r="AG203" s="239"/>
    </row>
    <row r="204" spans="1:33" s="14" customFormat="1" ht="30" customHeight="1">
      <c r="A204" s="53" t="s">
        <v>180</v>
      </c>
      <c r="B204" s="212" t="s">
        <v>5012</v>
      </c>
      <c r="C204" s="114" t="s">
        <v>39</v>
      </c>
      <c r="D204" s="114" t="s">
        <v>39</v>
      </c>
      <c r="E204" s="114" t="s">
        <v>39</v>
      </c>
      <c r="F204" s="114" t="s">
        <v>39</v>
      </c>
      <c r="G204" s="114" t="s">
        <v>39</v>
      </c>
      <c r="H204" s="114" t="s">
        <v>39</v>
      </c>
      <c r="I204" s="114" t="s">
        <v>5011</v>
      </c>
      <c r="J204" s="114" t="s">
        <v>5011</v>
      </c>
      <c r="K204" s="114" t="s">
        <v>39</v>
      </c>
      <c r="L204" s="114" t="s">
        <v>328</v>
      </c>
      <c r="M204" s="114" t="s">
        <v>328</v>
      </c>
      <c r="N204" s="114" t="s">
        <v>328</v>
      </c>
      <c r="O204" s="114" t="s">
        <v>39</v>
      </c>
      <c r="P204" s="114" t="s">
        <v>39</v>
      </c>
      <c r="Q204" s="114" t="s">
        <v>39</v>
      </c>
      <c r="R204" s="114" t="s">
        <v>39</v>
      </c>
      <c r="S204" s="114" t="s">
        <v>39</v>
      </c>
      <c r="T204" s="114" t="s">
        <v>39</v>
      </c>
      <c r="U204" s="114"/>
      <c r="X204" s="19"/>
      <c r="Y204" s="20"/>
      <c r="Z204" s="11"/>
      <c r="AA204" s="19"/>
      <c r="AB204" s="2"/>
      <c r="AG204" s="286"/>
    </row>
    <row r="205" spans="1:33" s="2" customFormat="1" ht="9" customHeight="1">
      <c r="A205" s="95" t="s">
        <v>688</v>
      </c>
      <c r="B205" s="238"/>
      <c r="C205" s="94" t="s">
        <v>39</v>
      </c>
      <c r="D205" s="94" t="s">
        <v>39</v>
      </c>
      <c r="E205" s="94" t="s">
        <v>39</v>
      </c>
      <c r="F205" s="94" t="s">
        <v>39</v>
      </c>
      <c r="G205" s="94" t="s">
        <v>39</v>
      </c>
      <c r="H205" s="94" t="s">
        <v>39</v>
      </c>
      <c r="I205" s="94" t="s">
        <v>5009</v>
      </c>
      <c r="J205" s="94" t="s">
        <v>5009</v>
      </c>
      <c r="K205" s="94" t="s">
        <v>39</v>
      </c>
      <c r="L205" s="94" t="s">
        <v>6166</v>
      </c>
      <c r="M205" s="94" t="s">
        <v>6166</v>
      </c>
      <c r="N205" s="94" t="s">
        <v>6166</v>
      </c>
      <c r="O205" s="94" t="s">
        <v>39</v>
      </c>
      <c r="P205" s="94" t="s">
        <v>39</v>
      </c>
      <c r="Q205" s="94" t="s">
        <v>39</v>
      </c>
      <c r="R205" s="94" t="s">
        <v>39</v>
      </c>
      <c r="S205" s="94" t="s">
        <v>39</v>
      </c>
      <c r="T205" s="94" t="s">
        <v>39</v>
      </c>
      <c r="U205" s="94"/>
      <c r="X205" s="19"/>
      <c r="Y205" s="20"/>
      <c r="Z205" s="11"/>
      <c r="AA205" s="19"/>
      <c r="AB205" s="14"/>
      <c r="AC205" s="19"/>
      <c r="AG205" s="239"/>
    </row>
    <row r="206" spans="1:33" s="14" customFormat="1" ht="50.1" customHeight="1">
      <c r="A206" s="53" t="s">
        <v>6063</v>
      </c>
      <c r="B206" s="212"/>
      <c r="C206" s="54" t="s">
        <v>5278</v>
      </c>
      <c r="D206" s="54" t="s">
        <v>5278</v>
      </c>
      <c r="E206" s="114" t="s">
        <v>39</v>
      </c>
      <c r="F206" s="54" t="s">
        <v>6062</v>
      </c>
      <c r="G206" s="54" t="s">
        <v>6061</v>
      </c>
      <c r="H206" s="54" t="s">
        <v>5836</v>
      </c>
      <c r="I206" s="54" t="s">
        <v>6064</v>
      </c>
      <c r="J206" s="54" t="s">
        <v>6064</v>
      </c>
      <c r="K206" s="54" t="s">
        <v>39</v>
      </c>
      <c r="L206" s="54" t="s">
        <v>6304</v>
      </c>
      <c r="M206" s="54" t="s">
        <v>6304</v>
      </c>
      <c r="N206" s="54" t="s">
        <v>6304</v>
      </c>
      <c r="O206" s="54" t="s">
        <v>39</v>
      </c>
      <c r="P206" s="54" t="s">
        <v>39</v>
      </c>
      <c r="Q206" s="54" t="s">
        <v>5510</v>
      </c>
      <c r="R206" s="54" t="s">
        <v>5510</v>
      </c>
      <c r="S206" s="54" t="s">
        <v>5510</v>
      </c>
      <c r="T206" s="54" t="s">
        <v>39</v>
      </c>
      <c r="U206" s="54"/>
      <c r="X206" s="19"/>
      <c r="Y206" s="20"/>
      <c r="Z206" s="11"/>
      <c r="AB206" s="19"/>
      <c r="AG206" s="286"/>
    </row>
    <row r="207" spans="1:33" s="2" customFormat="1" ht="9" customHeight="1">
      <c r="A207" s="95" t="s">
        <v>688</v>
      </c>
      <c r="B207" s="238"/>
      <c r="C207" s="94" t="s">
        <v>5279</v>
      </c>
      <c r="D207" s="94" t="s">
        <v>5279</v>
      </c>
      <c r="E207" s="94" t="s">
        <v>39</v>
      </c>
      <c r="F207" s="94" t="s">
        <v>5835</v>
      </c>
      <c r="G207" s="94" t="s">
        <v>5834</v>
      </c>
      <c r="H207" s="94" t="s">
        <v>5964</v>
      </c>
      <c r="I207" s="94" t="s">
        <v>6065</v>
      </c>
      <c r="J207" s="94" t="s">
        <v>6065</v>
      </c>
      <c r="K207" s="94" t="s">
        <v>39</v>
      </c>
      <c r="L207" s="94" t="s">
        <v>6189</v>
      </c>
      <c r="M207" s="94" t="s">
        <v>6189</v>
      </c>
      <c r="N207" s="94" t="s">
        <v>6189</v>
      </c>
      <c r="O207" s="94" t="s">
        <v>39</v>
      </c>
      <c r="P207" s="94" t="s">
        <v>39</v>
      </c>
      <c r="Q207" s="94" t="s">
        <v>5511</v>
      </c>
      <c r="R207" s="94" t="s">
        <v>5511</v>
      </c>
      <c r="S207" s="94" t="s">
        <v>5511</v>
      </c>
      <c r="T207" s="94" t="s">
        <v>39</v>
      </c>
      <c r="U207" s="94"/>
      <c r="X207" s="19"/>
      <c r="Y207" s="20"/>
      <c r="Z207" s="11"/>
      <c r="AA207" s="14"/>
      <c r="AB207" s="14"/>
      <c r="AC207" s="19"/>
      <c r="AG207" s="239"/>
    </row>
    <row r="208" spans="1:33" s="14" customFormat="1" ht="30" customHeight="1">
      <c r="A208" s="53" t="s">
        <v>142</v>
      </c>
      <c r="B208" s="212"/>
      <c r="C208" s="54" t="s">
        <v>39</v>
      </c>
      <c r="D208" s="54" t="s">
        <v>39</v>
      </c>
      <c r="E208" s="114" t="s">
        <v>39</v>
      </c>
      <c r="F208" s="54" t="s">
        <v>39</v>
      </c>
      <c r="G208" s="54" t="s">
        <v>39</v>
      </c>
      <c r="H208" s="54" t="s">
        <v>39</v>
      </c>
      <c r="I208" s="54" t="s">
        <v>5003</v>
      </c>
      <c r="J208" s="54" t="s">
        <v>5003</v>
      </c>
      <c r="K208" s="54" t="s">
        <v>39</v>
      </c>
      <c r="L208" s="54" t="s">
        <v>39</v>
      </c>
      <c r="M208" s="54" t="s">
        <v>39</v>
      </c>
      <c r="N208" s="54" t="s">
        <v>39</v>
      </c>
      <c r="O208" s="54" t="s">
        <v>39</v>
      </c>
      <c r="P208" s="54" t="s">
        <v>39</v>
      </c>
      <c r="Q208" s="114" t="s">
        <v>39</v>
      </c>
      <c r="R208" s="54" t="s">
        <v>39</v>
      </c>
      <c r="S208" s="54" t="s">
        <v>39</v>
      </c>
      <c r="T208" s="54" t="s">
        <v>39</v>
      </c>
      <c r="U208" s="54"/>
      <c r="X208" s="19"/>
      <c r="Y208" s="20"/>
      <c r="Z208" s="11"/>
      <c r="AA208" s="19"/>
      <c r="AB208" s="19"/>
      <c r="AG208" s="286"/>
    </row>
    <row r="209" spans="1:33" s="2" customFormat="1" ht="9" customHeight="1">
      <c r="A209" s="95" t="s">
        <v>688</v>
      </c>
      <c r="B209" s="238"/>
      <c r="C209" s="94" t="s">
        <v>39</v>
      </c>
      <c r="D209" s="94" t="s">
        <v>39</v>
      </c>
      <c r="E209" s="94" t="s">
        <v>39</v>
      </c>
      <c r="F209" s="94" t="s">
        <v>39</v>
      </c>
      <c r="G209" s="94" t="s">
        <v>39</v>
      </c>
      <c r="H209" s="94" t="s">
        <v>39</v>
      </c>
      <c r="I209" s="94" t="s">
        <v>5004</v>
      </c>
      <c r="J209" s="94" t="s">
        <v>5004</v>
      </c>
      <c r="K209" s="94" t="s">
        <v>39</v>
      </c>
      <c r="L209" s="94" t="s">
        <v>39</v>
      </c>
      <c r="M209" s="94" t="s">
        <v>39</v>
      </c>
      <c r="N209" s="94" t="s">
        <v>39</v>
      </c>
      <c r="O209" s="94" t="s">
        <v>39</v>
      </c>
      <c r="P209" s="94" t="s">
        <v>39</v>
      </c>
      <c r="Q209" s="94" t="s">
        <v>39</v>
      </c>
      <c r="R209" s="94" t="s">
        <v>39</v>
      </c>
      <c r="S209" s="94" t="s">
        <v>39</v>
      </c>
      <c r="T209" s="94" t="s">
        <v>39</v>
      </c>
      <c r="U209" s="94"/>
      <c r="X209" s="19"/>
      <c r="Y209" s="20"/>
      <c r="Z209" s="11"/>
      <c r="AA209" s="14"/>
      <c r="AB209" s="14"/>
      <c r="AC209" s="19"/>
      <c r="AG209" s="239"/>
    </row>
    <row r="210" spans="1:33" s="14" customFormat="1" ht="54.95" customHeight="1">
      <c r="A210" s="187" t="s">
        <v>5504</v>
      </c>
      <c r="B210" s="212"/>
      <c r="C210" s="114" t="s">
        <v>39</v>
      </c>
      <c r="D210" s="114" t="s">
        <v>39</v>
      </c>
      <c r="E210" s="114" t="s">
        <v>39</v>
      </c>
      <c r="F210" s="114" t="s">
        <v>39</v>
      </c>
      <c r="G210" s="114" t="s">
        <v>39</v>
      </c>
      <c r="H210" s="114" t="s">
        <v>39</v>
      </c>
      <c r="I210" s="54" t="s">
        <v>39</v>
      </c>
      <c r="J210" s="54" t="s">
        <v>39</v>
      </c>
      <c r="K210" s="54" t="s">
        <v>39</v>
      </c>
      <c r="L210" s="54" t="s">
        <v>6208</v>
      </c>
      <c r="M210" s="54" t="s">
        <v>6208</v>
      </c>
      <c r="N210" s="54" t="s">
        <v>6208</v>
      </c>
      <c r="O210" s="54" t="s">
        <v>39</v>
      </c>
      <c r="P210" s="54" t="s">
        <v>39</v>
      </c>
      <c r="Q210" s="54" t="s">
        <v>5507</v>
      </c>
      <c r="R210" s="54" t="s">
        <v>5565</v>
      </c>
      <c r="S210" s="54" t="s">
        <v>5565</v>
      </c>
      <c r="T210" s="54" t="s">
        <v>39</v>
      </c>
      <c r="U210" s="54"/>
      <c r="X210" s="19"/>
      <c r="Y210" s="20"/>
      <c r="Z210" s="11"/>
      <c r="AA210" s="19"/>
      <c r="AB210" s="19"/>
      <c r="AG210" s="286"/>
    </row>
    <row r="211" spans="1:33" s="2" customFormat="1" ht="9" customHeight="1">
      <c r="A211" s="95" t="s">
        <v>688</v>
      </c>
      <c r="B211" s="238"/>
      <c r="C211" s="94" t="s">
        <v>39</v>
      </c>
      <c r="D211" s="94" t="s">
        <v>39</v>
      </c>
      <c r="E211" s="94" t="s">
        <v>39</v>
      </c>
      <c r="F211" s="94" t="s">
        <v>39</v>
      </c>
      <c r="G211" s="94" t="s">
        <v>39</v>
      </c>
      <c r="H211" s="94" t="s">
        <v>39</v>
      </c>
      <c r="I211" s="94" t="s">
        <v>39</v>
      </c>
      <c r="J211" s="94" t="s">
        <v>39</v>
      </c>
      <c r="K211" s="94" t="s">
        <v>39</v>
      </c>
      <c r="L211" s="94" t="s">
        <v>6294</v>
      </c>
      <c r="M211" s="94" t="s">
        <v>6294</v>
      </c>
      <c r="N211" s="94" t="s">
        <v>6294</v>
      </c>
      <c r="O211" s="94" t="s">
        <v>39</v>
      </c>
      <c r="P211" s="94" t="s">
        <v>39</v>
      </c>
      <c r="Q211" s="94" t="s">
        <v>5506</v>
      </c>
      <c r="R211" s="94" t="s">
        <v>5566</v>
      </c>
      <c r="S211" s="94" t="s">
        <v>5566</v>
      </c>
      <c r="T211" s="94" t="s">
        <v>39</v>
      </c>
      <c r="U211" s="94"/>
      <c r="X211" s="19"/>
      <c r="Y211" s="20"/>
      <c r="Z211" s="11"/>
      <c r="AA211" s="14"/>
      <c r="AB211" s="14"/>
      <c r="AC211" s="19"/>
      <c r="AG211" s="239"/>
    </row>
    <row r="212" spans="1:33" s="2" customFormat="1" ht="30" customHeight="1">
      <c r="A212" s="53" t="s">
        <v>4896</v>
      </c>
      <c r="B212" s="212" t="s">
        <v>4895</v>
      </c>
      <c r="C212" s="54" t="s">
        <v>5283</v>
      </c>
      <c r="D212" s="54" t="s">
        <v>5283</v>
      </c>
      <c r="E212" s="54" t="s">
        <v>39</v>
      </c>
      <c r="F212" s="54" t="s">
        <v>5831</v>
      </c>
      <c r="G212" s="54" t="s">
        <v>5736</v>
      </c>
      <c r="H212" s="54" t="s">
        <v>5965</v>
      </c>
      <c r="I212" s="54" t="s">
        <v>186</v>
      </c>
      <c r="J212" s="54" t="s">
        <v>186</v>
      </c>
      <c r="K212" s="54" t="s">
        <v>24</v>
      </c>
      <c r="L212" s="54" t="s">
        <v>6188</v>
      </c>
      <c r="M212" s="54" t="s">
        <v>6188</v>
      </c>
      <c r="N212" s="54" t="s">
        <v>6188</v>
      </c>
      <c r="O212" s="54"/>
      <c r="P212" s="54" t="s">
        <v>39</v>
      </c>
      <c r="Q212" s="54" t="s">
        <v>5499</v>
      </c>
      <c r="R212" s="54" t="s">
        <v>5499</v>
      </c>
      <c r="S212" s="54" t="s">
        <v>5499</v>
      </c>
      <c r="T212" s="54" t="s">
        <v>5629</v>
      </c>
      <c r="U212" s="54"/>
      <c r="X212" s="19"/>
      <c r="Y212" s="20"/>
      <c r="Z212" s="11"/>
      <c r="AA212" s="19"/>
      <c r="AB212" s="19"/>
      <c r="AG212" s="239"/>
    </row>
    <row r="213" spans="1:33" s="14" customFormat="1" ht="9" customHeight="1">
      <c r="A213" s="95" t="s">
        <v>688</v>
      </c>
      <c r="B213" s="238"/>
      <c r="C213" s="94" t="s">
        <v>5284</v>
      </c>
      <c r="D213" s="94" t="s">
        <v>5284</v>
      </c>
      <c r="E213" s="94" t="s">
        <v>39</v>
      </c>
      <c r="F213" s="94" t="s">
        <v>5832</v>
      </c>
      <c r="G213" s="94" t="s">
        <v>5833</v>
      </c>
      <c r="H213" s="94" t="s">
        <v>5832</v>
      </c>
      <c r="I213" s="94" t="s">
        <v>4996</v>
      </c>
      <c r="J213" s="94" t="s">
        <v>4996</v>
      </c>
      <c r="K213" s="94" t="s">
        <v>4934</v>
      </c>
      <c r="L213" s="94" t="s">
        <v>6189</v>
      </c>
      <c r="M213" s="94" t="s">
        <v>6189</v>
      </c>
      <c r="N213" s="94" t="s">
        <v>6189</v>
      </c>
      <c r="O213" s="94"/>
      <c r="P213" s="94" t="s">
        <v>39</v>
      </c>
      <c r="Q213" s="94" t="s">
        <v>5500</v>
      </c>
      <c r="R213" s="94" t="s">
        <v>5500</v>
      </c>
      <c r="S213" s="94" t="s">
        <v>5500</v>
      </c>
      <c r="T213" s="94" t="s">
        <v>5630</v>
      </c>
      <c r="U213" s="94"/>
      <c r="X213" s="19"/>
      <c r="Y213" s="20"/>
      <c r="Z213" s="11"/>
      <c r="AB213" s="2"/>
      <c r="AG213" s="286"/>
    </row>
    <row r="214" spans="1:33" s="2" customFormat="1" ht="30" customHeight="1">
      <c r="A214" s="197" t="s">
        <v>5328</v>
      </c>
      <c r="B214" s="212" t="s">
        <v>4880</v>
      </c>
      <c r="C214" s="54" t="s">
        <v>5329</v>
      </c>
      <c r="D214" s="54" t="s">
        <v>5329</v>
      </c>
      <c r="E214" s="54"/>
      <c r="F214" s="54" t="s">
        <v>39</v>
      </c>
      <c r="G214" s="54" t="s">
        <v>39</v>
      </c>
      <c r="H214" s="54" t="s">
        <v>5890</v>
      </c>
      <c r="I214" s="54" t="s">
        <v>5330</v>
      </c>
      <c r="J214" s="54" t="s">
        <v>5330</v>
      </c>
      <c r="K214" s="54" t="s">
        <v>39</v>
      </c>
      <c r="L214" s="54" t="s">
        <v>6289</v>
      </c>
      <c r="M214" s="54" t="s">
        <v>6317</v>
      </c>
      <c r="N214" s="54" t="s">
        <v>6317</v>
      </c>
      <c r="O214" s="54" t="s">
        <v>39</v>
      </c>
      <c r="P214" s="54" t="s">
        <v>39</v>
      </c>
      <c r="Q214" s="54" t="s">
        <v>5330</v>
      </c>
      <c r="R214" s="54" t="s">
        <v>5330</v>
      </c>
      <c r="S214" s="54" t="s">
        <v>5330</v>
      </c>
      <c r="T214" s="54" t="s">
        <v>39</v>
      </c>
      <c r="U214" s="73"/>
      <c r="X214" s="19"/>
      <c r="Y214" s="20"/>
      <c r="Z214" s="11"/>
      <c r="AA214" s="19"/>
      <c r="AB214" s="14"/>
      <c r="AC214" s="19"/>
      <c r="AG214" s="239"/>
    </row>
    <row r="215" spans="1:33" s="14" customFormat="1" ht="9" customHeight="1">
      <c r="A215" s="95" t="s">
        <v>688</v>
      </c>
      <c r="B215" s="238"/>
      <c r="C215" s="94" t="s">
        <v>5332</v>
      </c>
      <c r="D215" s="94" t="s">
        <v>5332</v>
      </c>
      <c r="E215" s="94"/>
      <c r="F215" s="94" t="s">
        <v>39</v>
      </c>
      <c r="G215" s="94" t="s">
        <v>39</v>
      </c>
      <c r="H215" s="94" t="s">
        <v>5889</v>
      </c>
      <c r="I215" s="94" t="s">
        <v>4959</v>
      </c>
      <c r="J215" s="94" t="s">
        <v>4959</v>
      </c>
      <c r="K215" s="94" t="s">
        <v>39</v>
      </c>
      <c r="L215" s="94" t="s">
        <v>6288</v>
      </c>
      <c r="M215" s="94" t="s">
        <v>6288</v>
      </c>
      <c r="N215" s="94" t="s">
        <v>6288</v>
      </c>
      <c r="O215" s="94" t="s">
        <v>39</v>
      </c>
      <c r="P215" s="94" t="s">
        <v>39</v>
      </c>
      <c r="Q215" s="94" t="s">
        <v>5486</v>
      </c>
      <c r="R215" s="94" t="s">
        <v>5486</v>
      </c>
      <c r="S215" s="94" t="s">
        <v>5486</v>
      </c>
      <c r="T215" s="94" t="s">
        <v>39</v>
      </c>
      <c r="U215" s="94"/>
      <c r="X215" s="19"/>
      <c r="Y215" s="20"/>
      <c r="Z215" s="11"/>
      <c r="AB215" s="19"/>
      <c r="AG215" s="286"/>
    </row>
    <row r="216" spans="1:33" s="2" customFormat="1" ht="30" customHeight="1">
      <c r="A216" s="197" t="s">
        <v>5333</v>
      </c>
      <c r="B216" s="212" t="s">
        <v>4880</v>
      </c>
      <c r="C216" s="54" t="s">
        <v>5838</v>
      </c>
      <c r="D216" s="54" t="s">
        <v>5838</v>
      </c>
      <c r="E216" s="54" t="s">
        <v>39</v>
      </c>
      <c r="F216" s="54" t="s">
        <v>5839</v>
      </c>
      <c r="G216" s="54" t="s">
        <v>39</v>
      </c>
      <c r="H216" s="54" t="s">
        <v>5839</v>
      </c>
      <c r="I216" s="54" t="s">
        <v>39</v>
      </c>
      <c r="J216" s="54" t="s">
        <v>39</v>
      </c>
      <c r="K216" s="54" t="s">
        <v>39</v>
      </c>
      <c r="L216" s="54" t="s">
        <v>39</v>
      </c>
      <c r="M216" s="54" t="s">
        <v>39</v>
      </c>
      <c r="N216" s="54" t="s">
        <v>39</v>
      </c>
      <c r="O216" s="54" t="s">
        <v>39</v>
      </c>
      <c r="P216" s="54" t="s">
        <v>39</v>
      </c>
      <c r="Q216" s="114" t="s">
        <v>39</v>
      </c>
      <c r="R216" s="114" t="s">
        <v>39</v>
      </c>
      <c r="S216" s="114" t="s">
        <v>39</v>
      </c>
      <c r="T216" s="54" t="s">
        <v>39</v>
      </c>
      <c r="U216" s="73"/>
      <c r="X216" s="19"/>
      <c r="Y216" s="20"/>
      <c r="Z216" s="11"/>
      <c r="AA216" s="19"/>
      <c r="AB216" s="14"/>
      <c r="AC216" s="19"/>
      <c r="AG216" s="239"/>
    </row>
    <row r="217" spans="1:33" s="14" customFormat="1" ht="9" customHeight="1">
      <c r="A217" s="95" t="s">
        <v>688</v>
      </c>
      <c r="B217" s="238"/>
      <c r="C217" s="94" t="s">
        <v>5285</v>
      </c>
      <c r="D217" s="94" t="s">
        <v>5285</v>
      </c>
      <c r="E217" s="94" t="s">
        <v>39</v>
      </c>
      <c r="F217" s="94" t="s">
        <v>5837</v>
      </c>
      <c r="G217" s="94" t="s">
        <v>39</v>
      </c>
      <c r="H217" s="94" t="s">
        <v>5964</v>
      </c>
      <c r="I217" s="94" t="s">
        <v>39</v>
      </c>
      <c r="J217" s="94" t="s">
        <v>39</v>
      </c>
      <c r="K217" s="94" t="s">
        <v>39</v>
      </c>
      <c r="L217" s="94" t="s">
        <v>6288</v>
      </c>
      <c r="M217" s="94" t="s">
        <v>6288</v>
      </c>
      <c r="N217" s="94" t="s">
        <v>6288</v>
      </c>
      <c r="O217" s="94" t="s">
        <v>39</v>
      </c>
      <c r="P217" s="94" t="s">
        <v>39</v>
      </c>
      <c r="Q217" s="94" t="s">
        <v>39</v>
      </c>
      <c r="R217" s="94" t="s">
        <v>39</v>
      </c>
      <c r="S217" s="94" t="s">
        <v>39</v>
      </c>
      <c r="T217" s="94" t="s">
        <v>39</v>
      </c>
      <c r="U217" s="94"/>
      <c r="X217" s="19"/>
      <c r="Y217" s="20"/>
      <c r="Z217" s="11"/>
      <c r="AB217" s="19"/>
      <c r="AG217" s="286"/>
    </row>
    <row r="218" spans="1:33" s="248" customFormat="1" ht="11.25" customHeight="1">
      <c r="R218"/>
      <c r="S218"/>
      <c r="X218" s="19"/>
      <c r="Y218" s="20"/>
      <c r="Z218" s="11"/>
      <c r="AA218" s="19"/>
      <c r="AB218" s="14"/>
    </row>
    <row r="219" spans="1:33" s="2" customFormat="1" ht="20.100000000000001" customHeight="1">
      <c r="A219" s="208" t="s">
        <v>4784</v>
      </c>
      <c r="B219" s="209" t="str">
        <f t="shared" ref="B219:T219" si="12">B1</f>
        <v>Erläuterungen</v>
      </c>
      <c r="C219" s="209" t="str">
        <f t="shared" si="12"/>
        <v>Baloise Gold</v>
      </c>
      <c r="D219" s="209" t="str">
        <f t="shared" si="12"/>
        <v>Baloise Gold 100</v>
      </c>
      <c r="E219" s="209" t="str">
        <f t="shared" si="12"/>
        <v>Baloise Silber</v>
      </c>
      <c r="F219" s="209" t="str">
        <f t="shared" si="12"/>
        <v>HK Einfach Besser</v>
      </c>
      <c r="G219" s="209" t="str">
        <f t="shared" si="12"/>
        <v>HK Einfach Gut</v>
      </c>
      <c r="H219" s="209" t="str">
        <f t="shared" si="12"/>
        <v>HK Einfach Komplett</v>
      </c>
      <c r="I219" s="209" t="str">
        <f t="shared" si="12"/>
        <v>Interlloyd Premium</v>
      </c>
      <c r="J219" s="209" t="str">
        <f t="shared" si="12"/>
        <v>Interlloyd Premium HB</v>
      </c>
      <c r="K219" s="209" t="str">
        <f t="shared" si="12"/>
        <v>Interllyod Protect UR</v>
      </c>
      <c r="L219" s="209" t="str">
        <f t="shared" si="12"/>
        <v xml:space="preserve">ITL Eurosecure Plus </v>
      </c>
      <c r="M219" s="209" t="str">
        <f t="shared" si="12"/>
        <v>ITL Infinitus</v>
      </c>
      <c r="N219" s="209" t="str">
        <f t="shared" si="12"/>
        <v>ITL Infinitus HB</v>
      </c>
      <c r="O219" s="209" t="str">
        <f t="shared" si="12"/>
        <v>ITL Protect Plus</v>
      </c>
      <c r="P219" s="209" t="str">
        <f t="shared" si="12"/>
        <v>keine</v>
      </c>
      <c r="Q219" s="209" t="str">
        <f t="shared" si="12"/>
        <v>VHV Klassik Garant</v>
      </c>
      <c r="R219" s="202" t="str">
        <f t="shared" si="12"/>
        <v>VHV Klassik Garant Exklusiv</v>
      </c>
      <c r="S219" s="202" t="str">
        <f t="shared" si="12"/>
        <v>VHV Klassik Garant Exklusiv HB</v>
      </c>
      <c r="T219" s="209" t="str">
        <f t="shared" si="12"/>
        <v>VHV Smart</v>
      </c>
      <c r="U219" s="209"/>
      <c r="X219" s="19"/>
      <c r="Y219" s="20"/>
      <c r="Z219" s="11"/>
      <c r="AA219" s="14"/>
      <c r="AB219" s="248"/>
      <c r="AC219" s="19"/>
      <c r="AG219" s="239"/>
    </row>
    <row r="220" spans="1:33" s="14" customFormat="1" ht="39.950000000000003" customHeight="1">
      <c r="A220" s="53" t="s">
        <v>5237</v>
      </c>
      <c r="B220" s="241" t="s">
        <v>4913</v>
      </c>
      <c r="C220" s="54" t="s">
        <v>5235</v>
      </c>
      <c r="D220" s="54" t="s">
        <v>5235</v>
      </c>
      <c r="E220" s="54" t="s">
        <v>5235</v>
      </c>
      <c r="F220" s="54" t="s">
        <v>5236</v>
      </c>
      <c r="G220" s="54" t="s">
        <v>39</v>
      </c>
      <c r="H220" s="54" t="s">
        <v>5236</v>
      </c>
      <c r="I220" s="54" t="s">
        <v>5236</v>
      </c>
      <c r="J220" s="54" t="s">
        <v>5236</v>
      </c>
      <c r="K220" s="54" t="s">
        <v>5236</v>
      </c>
      <c r="L220" s="54" t="s">
        <v>6255</v>
      </c>
      <c r="M220" s="54" t="s">
        <v>6255</v>
      </c>
      <c r="N220" s="54" t="s">
        <v>6255</v>
      </c>
      <c r="O220" s="54" t="s">
        <v>6255</v>
      </c>
      <c r="P220" s="54" t="s">
        <v>39</v>
      </c>
      <c r="Q220" s="54" t="s">
        <v>5236</v>
      </c>
      <c r="R220" s="54" t="s">
        <v>5236</v>
      </c>
      <c r="S220" s="54" t="s">
        <v>5236</v>
      </c>
      <c r="T220" s="54" t="s">
        <v>39</v>
      </c>
      <c r="U220" s="73"/>
      <c r="X220" s="19"/>
      <c r="Y220" s="20"/>
      <c r="Z220" s="11"/>
      <c r="AA220" s="19"/>
      <c r="AB220" s="19"/>
      <c r="AG220" s="286"/>
    </row>
    <row r="221" spans="1:33" s="2" customFormat="1" ht="9" customHeight="1">
      <c r="A221" s="95" t="s">
        <v>688</v>
      </c>
      <c r="B221" s="94"/>
      <c r="C221" s="94" t="s">
        <v>5238</v>
      </c>
      <c r="D221" s="94" t="s">
        <v>5238</v>
      </c>
      <c r="E221" s="94" t="s">
        <v>5238</v>
      </c>
      <c r="F221" s="91" t="s">
        <v>5800</v>
      </c>
      <c r="G221" s="91" t="s">
        <v>5724</v>
      </c>
      <c r="H221" s="91" t="s">
        <v>5943</v>
      </c>
      <c r="I221" s="94" t="s">
        <v>5027</v>
      </c>
      <c r="J221" s="94" t="s">
        <v>5027</v>
      </c>
      <c r="K221" s="94" t="s">
        <v>4914</v>
      </c>
      <c r="L221" s="94" t="s">
        <v>6256</v>
      </c>
      <c r="M221" s="94" t="s">
        <v>6256</v>
      </c>
      <c r="N221" s="94" t="s">
        <v>6256</v>
      </c>
      <c r="O221" s="94" t="s">
        <v>6256</v>
      </c>
      <c r="P221" s="94" t="s">
        <v>39</v>
      </c>
      <c r="Q221" s="94" t="s">
        <v>5534</v>
      </c>
      <c r="R221" s="94" t="s">
        <v>5534</v>
      </c>
      <c r="S221" s="94" t="s">
        <v>5534</v>
      </c>
      <c r="T221" s="94" t="s">
        <v>5643</v>
      </c>
      <c r="U221" s="94"/>
      <c r="X221" s="19"/>
      <c r="Y221" s="20"/>
      <c r="Z221" s="11"/>
      <c r="AA221"/>
      <c r="AB221" s="14"/>
      <c r="AC221" s="19"/>
      <c r="AG221" s="239"/>
    </row>
    <row r="222" spans="1:33" s="14" customFormat="1" ht="30" customHeight="1">
      <c r="A222" s="187" t="s">
        <v>4791</v>
      </c>
      <c r="B222" s="241" t="s">
        <v>4792</v>
      </c>
      <c r="C222" s="54" t="s">
        <v>41</v>
      </c>
      <c r="D222" s="54" t="s">
        <v>41</v>
      </c>
      <c r="E222" s="54" t="s">
        <v>41</v>
      </c>
      <c r="F222" s="54" t="s">
        <v>41</v>
      </c>
      <c r="G222" s="54" t="s">
        <v>41</v>
      </c>
      <c r="H222" s="54" t="s">
        <v>41</v>
      </c>
      <c r="I222" s="54" t="s">
        <v>41</v>
      </c>
      <c r="J222" s="54" t="s">
        <v>41</v>
      </c>
      <c r="K222" s="54" t="s">
        <v>41</v>
      </c>
      <c r="L222" s="54" t="s">
        <v>4424</v>
      </c>
      <c r="M222" s="54" t="s">
        <v>4424</v>
      </c>
      <c r="N222" s="54" t="s">
        <v>4424</v>
      </c>
      <c r="O222" s="54" t="s">
        <v>4424</v>
      </c>
      <c r="P222" s="54" t="s">
        <v>39</v>
      </c>
      <c r="Q222" s="54" t="s">
        <v>41</v>
      </c>
      <c r="R222" s="54" t="s">
        <v>41</v>
      </c>
      <c r="S222" s="54" t="s">
        <v>41</v>
      </c>
      <c r="T222" s="54" t="s">
        <v>39</v>
      </c>
      <c r="U222" s="54"/>
      <c r="X222" s="19"/>
      <c r="Y222" s="20"/>
      <c r="Z222" s="153"/>
      <c r="AA222" s="2"/>
      <c r="AB222" s="19"/>
      <c r="AG222" s="286"/>
    </row>
    <row r="223" spans="1:33" s="2" customFormat="1" ht="9" customHeight="1">
      <c r="A223" s="95" t="s">
        <v>688</v>
      </c>
      <c r="B223" s="94"/>
      <c r="C223" s="94" t="s">
        <v>4915</v>
      </c>
      <c r="D223" s="94" t="s">
        <v>4915</v>
      </c>
      <c r="E223" s="94" t="s">
        <v>4915</v>
      </c>
      <c r="F223" s="94" t="s">
        <v>5801</v>
      </c>
      <c r="G223" s="94" t="s">
        <v>5721</v>
      </c>
      <c r="H223" s="94" t="s">
        <v>5944</v>
      </c>
      <c r="I223" s="94" t="s">
        <v>4958</v>
      </c>
      <c r="J223" s="94" t="s">
        <v>4958</v>
      </c>
      <c r="K223" s="94" t="s">
        <v>4915</v>
      </c>
      <c r="L223" s="94" t="s">
        <v>6262</v>
      </c>
      <c r="M223" s="94" t="s">
        <v>6262</v>
      </c>
      <c r="N223" s="94" t="s">
        <v>6262</v>
      </c>
      <c r="O223" s="94" t="s">
        <v>6262</v>
      </c>
      <c r="P223" s="94" t="s">
        <v>39</v>
      </c>
      <c r="Q223" s="94" t="s">
        <v>5611</v>
      </c>
      <c r="R223" s="94" t="s">
        <v>5611</v>
      </c>
      <c r="S223" s="94" t="s">
        <v>5611</v>
      </c>
      <c r="T223" s="94" t="s">
        <v>5611</v>
      </c>
      <c r="U223" s="94"/>
      <c r="X223" s="19"/>
      <c r="Y223" s="20"/>
      <c r="Z223" s="11"/>
      <c r="AA223" s="119"/>
      <c r="AB223" s="14"/>
      <c r="AC223" s="19"/>
      <c r="AG223" s="239"/>
    </row>
    <row r="224" spans="1:33" s="14" customFormat="1" ht="30" customHeight="1">
      <c r="A224" s="53" t="s">
        <v>4690</v>
      </c>
      <c r="B224" s="211"/>
      <c r="C224" s="54" t="s">
        <v>48</v>
      </c>
      <c r="D224" s="54" t="s">
        <v>48</v>
      </c>
      <c r="E224" s="54" t="s">
        <v>228</v>
      </c>
      <c r="F224" s="54" t="s">
        <v>47</v>
      </c>
      <c r="G224" s="54" t="s">
        <v>228</v>
      </c>
      <c r="H224" s="54" t="s">
        <v>48</v>
      </c>
      <c r="I224" s="54" t="s">
        <v>48</v>
      </c>
      <c r="J224" s="54" t="s">
        <v>48</v>
      </c>
      <c r="K224" s="54" t="s">
        <v>47</v>
      </c>
      <c r="L224" s="54" t="s">
        <v>48</v>
      </c>
      <c r="M224" s="54" t="s">
        <v>48</v>
      </c>
      <c r="N224" s="54" t="s">
        <v>48</v>
      </c>
      <c r="O224" s="54" t="s">
        <v>48</v>
      </c>
      <c r="P224" s="54" t="s">
        <v>39</v>
      </c>
      <c r="Q224" s="54" t="s">
        <v>47</v>
      </c>
      <c r="R224" s="54" t="s">
        <v>48</v>
      </c>
      <c r="S224" s="54" t="s">
        <v>48</v>
      </c>
      <c r="T224" s="54" t="s">
        <v>228</v>
      </c>
      <c r="U224" s="54"/>
      <c r="X224" s="226"/>
      <c r="Y224" s="228"/>
      <c r="Z224" s="11"/>
      <c r="AB224" s="19"/>
      <c r="AG224" s="286"/>
    </row>
    <row r="225" spans="1:33" s="2" customFormat="1" ht="9" customHeight="1">
      <c r="A225" s="95" t="s">
        <v>688</v>
      </c>
      <c r="B225" s="238"/>
      <c r="C225" s="94" t="s">
        <v>5214</v>
      </c>
      <c r="D225" s="94" t="s">
        <v>5214</v>
      </c>
      <c r="E225" s="94" t="s">
        <v>5214</v>
      </c>
      <c r="F225" s="94" t="s">
        <v>5753</v>
      </c>
      <c r="G225" s="94" t="s">
        <v>5214</v>
      </c>
      <c r="H225" s="94" t="s">
        <v>5865</v>
      </c>
      <c r="I225" s="94" t="s">
        <v>4944</v>
      </c>
      <c r="J225" s="94" t="s">
        <v>4944</v>
      </c>
      <c r="K225" s="94" t="s">
        <v>4856</v>
      </c>
      <c r="L225" s="94" t="s">
        <v>6153</v>
      </c>
      <c r="M225" s="94" t="s">
        <v>6153</v>
      </c>
      <c r="N225" s="94" t="s">
        <v>6153</v>
      </c>
      <c r="O225" s="94" t="s">
        <v>6153</v>
      </c>
      <c r="P225" s="94" t="s">
        <v>39</v>
      </c>
      <c r="Q225" s="94" t="s">
        <v>5464</v>
      </c>
      <c r="R225" s="94" t="s">
        <v>5587</v>
      </c>
      <c r="S225" s="94" t="s">
        <v>5587</v>
      </c>
      <c r="T225" s="94" t="s">
        <v>5464</v>
      </c>
      <c r="U225" s="94"/>
      <c r="X225" s="19"/>
      <c r="Y225" s="20"/>
      <c r="Z225" s="11"/>
      <c r="AA225" s="19"/>
      <c r="AB225" s="14"/>
      <c r="AC225" s="19"/>
      <c r="AG225" s="239"/>
    </row>
    <row r="226" spans="1:33" s="14" customFormat="1" ht="39.75" customHeight="1">
      <c r="A226" s="187" t="s">
        <v>4858</v>
      </c>
      <c r="B226" s="211" t="s">
        <v>49</v>
      </c>
      <c r="C226" s="54" t="s">
        <v>5310</v>
      </c>
      <c r="D226" s="54" t="s">
        <v>5310</v>
      </c>
      <c r="E226" s="54" t="s">
        <v>47</v>
      </c>
      <c r="F226" s="54" t="s">
        <v>48</v>
      </c>
      <c r="G226" s="54" t="s">
        <v>47</v>
      </c>
      <c r="H226" s="54" t="s">
        <v>5310</v>
      </c>
      <c r="I226" s="141" t="s">
        <v>4857</v>
      </c>
      <c r="J226" s="141" t="s">
        <v>4857</v>
      </c>
      <c r="K226" s="141" t="s">
        <v>4857</v>
      </c>
      <c r="L226" s="141" t="s">
        <v>5310</v>
      </c>
      <c r="M226" s="141" t="s">
        <v>5310</v>
      </c>
      <c r="N226" s="141" t="s">
        <v>5310</v>
      </c>
      <c r="O226" s="54" t="s">
        <v>5310</v>
      </c>
      <c r="P226" s="141" t="s">
        <v>39</v>
      </c>
      <c r="Q226" s="54" t="s">
        <v>48</v>
      </c>
      <c r="R226" s="54" t="s">
        <v>5310</v>
      </c>
      <c r="S226" s="54" t="s">
        <v>5310</v>
      </c>
      <c r="T226" s="54" t="s">
        <v>228</v>
      </c>
      <c r="U226" s="54"/>
      <c r="X226" s="19"/>
      <c r="Y226" s="20"/>
      <c r="Z226" s="11"/>
      <c r="AA226" s="19"/>
      <c r="AB226" s="19"/>
      <c r="AG226" s="286"/>
    </row>
    <row r="227" spans="1:33" s="2" customFormat="1" ht="18" customHeight="1">
      <c r="A227" s="95" t="s">
        <v>688</v>
      </c>
      <c r="B227" s="238"/>
      <c r="C227" s="94" t="s">
        <v>5215</v>
      </c>
      <c r="D227" s="94" t="s">
        <v>5215</v>
      </c>
      <c r="E227" s="94" t="s">
        <v>5215</v>
      </c>
      <c r="F227" s="91" t="s">
        <v>5754</v>
      </c>
      <c r="G227" s="91" t="s">
        <v>5683</v>
      </c>
      <c r="H227" s="91" t="s">
        <v>5866</v>
      </c>
      <c r="I227" s="94" t="s">
        <v>4944</v>
      </c>
      <c r="J227" s="94" t="s">
        <v>4944</v>
      </c>
      <c r="K227" s="94" t="s">
        <v>4856</v>
      </c>
      <c r="L227" s="94" t="s">
        <v>6203</v>
      </c>
      <c r="M227" s="94" t="s">
        <v>6203</v>
      </c>
      <c r="N227" s="94" t="s">
        <v>6203</v>
      </c>
      <c r="O227" s="94" t="s">
        <v>6203</v>
      </c>
      <c r="P227" s="94" t="s">
        <v>39</v>
      </c>
      <c r="Q227" s="94" t="s">
        <v>5465</v>
      </c>
      <c r="R227" s="94" t="s">
        <v>5588</v>
      </c>
      <c r="S227" s="94" t="s">
        <v>5588</v>
      </c>
      <c r="T227" s="94" t="s">
        <v>5465</v>
      </c>
      <c r="U227" s="94"/>
      <c r="X227" s="19"/>
      <c r="Y227" s="20"/>
      <c r="Z227" s="11"/>
      <c r="AA227" s="19"/>
      <c r="AB227" s="14"/>
      <c r="AC227" s="19"/>
      <c r="AG227" s="239"/>
    </row>
    <row r="228" spans="1:33" s="2" customFormat="1" ht="30" customHeight="1">
      <c r="A228" s="187" t="s">
        <v>5727</v>
      </c>
      <c r="B228" s="212"/>
      <c r="C228" s="54"/>
      <c r="D228" s="54"/>
      <c r="E228" s="54"/>
      <c r="F228" s="54" t="s">
        <v>6117</v>
      </c>
      <c r="G228" s="54" t="s">
        <v>6117</v>
      </c>
      <c r="H228" s="54" t="s">
        <v>5949</v>
      </c>
      <c r="I228" s="54"/>
      <c r="J228" s="54"/>
      <c r="K228" s="54"/>
      <c r="L228" s="54" t="s">
        <v>6186</v>
      </c>
      <c r="M228" s="54" t="s">
        <v>6186</v>
      </c>
      <c r="N228" s="54" t="s">
        <v>6186</v>
      </c>
      <c r="O228" s="54" t="s">
        <v>6186</v>
      </c>
      <c r="P228" s="54" t="s">
        <v>39</v>
      </c>
      <c r="Q228" s="54"/>
      <c r="R228" s="54"/>
      <c r="S228" s="54"/>
      <c r="T228" s="54"/>
      <c r="U228" s="54"/>
      <c r="X228" s="19"/>
      <c r="Y228" s="20"/>
      <c r="Z228" s="11"/>
      <c r="AA228" s="19"/>
      <c r="AB228" s="19"/>
      <c r="AC228" s="19"/>
      <c r="AG228" s="239"/>
    </row>
    <row r="229" spans="1:33" s="14" customFormat="1" ht="9" customHeight="1">
      <c r="A229" s="95" t="s">
        <v>688</v>
      </c>
      <c r="B229" s="238"/>
      <c r="C229" s="94"/>
      <c r="D229" s="94"/>
      <c r="E229" s="94"/>
      <c r="F229" s="94" t="s">
        <v>5728</v>
      </c>
      <c r="G229" s="94" t="s">
        <v>5728</v>
      </c>
      <c r="H229" s="94" t="s">
        <v>5948</v>
      </c>
      <c r="I229" s="94"/>
      <c r="J229" s="94"/>
      <c r="K229" s="94"/>
      <c r="L229" s="94" t="s">
        <v>6187</v>
      </c>
      <c r="M229" s="94" t="s">
        <v>6187</v>
      </c>
      <c r="N229" s="94" t="s">
        <v>6187</v>
      </c>
      <c r="O229" s="94" t="s">
        <v>6187</v>
      </c>
      <c r="P229" s="94" t="s">
        <v>39</v>
      </c>
      <c r="Q229" s="94"/>
      <c r="R229" s="94"/>
      <c r="S229" s="94"/>
      <c r="T229" s="94"/>
      <c r="U229" s="94"/>
      <c r="X229" s="19"/>
      <c r="Y229" s="20"/>
      <c r="Z229" s="11"/>
      <c r="AA229" s="19"/>
      <c r="AB229" s="19"/>
      <c r="AG229" s="286"/>
    </row>
    <row r="230" spans="1:33" s="14" customFormat="1" ht="30" customHeight="1">
      <c r="A230" s="53" t="s">
        <v>5239</v>
      </c>
      <c r="B230" s="211"/>
      <c r="C230" s="54" t="s">
        <v>5340</v>
      </c>
      <c r="D230" s="54" t="s">
        <v>5340</v>
      </c>
      <c r="E230" s="54" t="s">
        <v>5240</v>
      </c>
      <c r="F230" s="54" t="s">
        <v>5340</v>
      </c>
      <c r="G230" s="54" t="s">
        <v>5722</v>
      </c>
      <c r="H230" s="54" t="s">
        <v>5340</v>
      </c>
      <c r="I230" s="54" t="s">
        <v>652</v>
      </c>
      <c r="J230" s="54" t="s">
        <v>652</v>
      </c>
      <c r="K230" s="54" t="s">
        <v>652</v>
      </c>
      <c r="L230" s="54" t="s">
        <v>5340</v>
      </c>
      <c r="M230" s="54" t="s">
        <v>5340</v>
      </c>
      <c r="N230" s="54" t="s">
        <v>5340</v>
      </c>
      <c r="O230" s="54" t="s">
        <v>6206</v>
      </c>
      <c r="P230" s="54" t="s">
        <v>39</v>
      </c>
      <c r="Q230" s="54" t="s">
        <v>5535</v>
      </c>
      <c r="R230" s="54" t="s">
        <v>5535</v>
      </c>
      <c r="S230" s="54" t="s">
        <v>5535</v>
      </c>
      <c r="T230" s="54" t="s">
        <v>194</v>
      </c>
      <c r="U230" s="54"/>
      <c r="X230" s="19"/>
      <c r="Y230" s="20"/>
      <c r="Z230" s="11"/>
      <c r="AA230" s="19"/>
      <c r="AG230" s="286"/>
    </row>
    <row r="231" spans="1:33" s="2" customFormat="1" ht="9" customHeight="1">
      <c r="A231" s="95" t="s">
        <v>688</v>
      </c>
      <c r="B231" s="238"/>
      <c r="C231" s="94" t="s">
        <v>5341</v>
      </c>
      <c r="D231" s="94" t="s">
        <v>5341</v>
      </c>
      <c r="E231" s="94" t="s">
        <v>5241</v>
      </c>
      <c r="F231" s="91" t="s">
        <v>5802</v>
      </c>
      <c r="G231" s="91" t="s">
        <v>5723</v>
      </c>
      <c r="H231" s="94" t="s">
        <v>5945</v>
      </c>
      <c r="I231" s="94" t="s">
        <v>4957</v>
      </c>
      <c r="J231" s="94" t="s">
        <v>4957</v>
      </c>
      <c r="K231" s="94" t="s">
        <v>4936</v>
      </c>
      <c r="L231" s="94" t="s">
        <v>6265</v>
      </c>
      <c r="M231" s="94" t="s">
        <v>6265</v>
      </c>
      <c r="N231" s="94" t="s">
        <v>6265</v>
      </c>
      <c r="O231" s="94" t="s">
        <v>6265</v>
      </c>
      <c r="P231" s="94" t="s">
        <v>39</v>
      </c>
      <c r="Q231" s="94" t="s">
        <v>5536</v>
      </c>
      <c r="R231" s="94" t="s">
        <v>5536</v>
      </c>
      <c r="S231" s="94" t="s">
        <v>5536</v>
      </c>
      <c r="T231" s="94" t="s">
        <v>5536</v>
      </c>
      <c r="U231" s="94"/>
      <c r="X231" s="19"/>
      <c r="Y231" s="20"/>
      <c r="Z231" s="11"/>
      <c r="AA231" s="19"/>
      <c r="AB231" s="14"/>
      <c r="AC231" s="19"/>
      <c r="AG231" s="239"/>
    </row>
    <row r="232" spans="1:33" s="14" customFormat="1" ht="22.5" customHeight="1">
      <c r="A232" s="200"/>
      <c r="B232" s="242"/>
      <c r="C232" s="204"/>
      <c r="D232" s="246"/>
      <c r="E232" s="204"/>
      <c r="F232" s="246"/>
      <c r="G232" s="246"/>
      <c r="H232" s="246"/>
      <c r="I232" s="204"/>
      <c r="J232" s="204"/>
      <c r="K232" s="204"/>
      <c r="L232" s="246"/>
      <c r="M232" s="246"/>
      <c r="N232" s="246"/>
      <c r="O232" s="246"/>
      <c r="P232" s="246"/>
      <c r="Q232" s="246"/>
      <c r="R232"/>
      <c r="S232"/>
      <c r="T232" s="246"/>
      <c r="U232" s="258"/>
      <c r="X232" s="19"/>
      <c r="Y232" s="20"/>
      <c r="Z232" s="11"/>
      <c r="AA232" s="19"/>
      <c r="AB232" s="19"/>
      <c r="AG232" s="286"/>
    </row>
    <row r="233" spans="1:33" s="2" customFormat="1" ht="20.100000000000001" customHeight="1">
      <c r="A233" s="176" t="s">
        <v>4814</v>
      </c>
      <c r="B233" s="202" t="str">
        <f t="shared" ref="B233:T233" si="13">B1</f>
        <v>Erläuterungen</v>
      </c>
      <c r="C233" s="202" t="str">
        <f t="shared" si="13"/>
        <v>Baloise Gold</v>
      </c>
      <c r="D233" s="202" t="str">
        <f t="shared" si="13"/>
        <v>Baloise Gold 100</v>
      </c>
      <c r="E233" s="202" t="str">
        <f t="shared" si="13"/>
        <v>Baloise Silber</v>
      </c>
      <c r="F233" s="202" t="str">
        <f t="shared" si="13"/>
        <v>HK Einfach Besser</v>
      </c>
      <c r="G233" s="202" t="str">
        <f t="shared" si="13"/>
        <v>HK Einfach Gut</v>
      </c>
      <c r="H233" s="202" t="str">
        <f t="shared" si="13"/>
        <v>HK Einfach Komplett</v>
      </c>
      <c r="I233" s="202" t="str">
        <f t="shared" si="13"/>
        <v>Interlloyd Premium</v>
      </c>
      <c r="J233" s="202" t="str">
        <f t="shared" si="13"/>
        <v>Interlloyd Premium HB</v>
      </c>
      <c r="K233" s="202" t="str">
        <f t="shared" si="13"/>
        <v>Interllyod Protect UR</v>
      </c>
      <c r="L233" s="202" t="str">
        <f t="shared" si="13"/>
        <v xml:space="preserve">ITL Eurosecure Plus </v>
      </c>
      <c r="M233" s="202" t="str">
        <f t="shared" si="13"/>
        <v>ITL Infinitus</v>
      </c>
      <c r="N233" s="202" t="str">
        <f t="shared" si="13"/>
        <v>ITL Infinitus HB</v>
      </c>
      <c r="O233" s="202" t="str">
        <f t="shared" si="13"/>
        <v>ITL Protect Plus</v>
      </c>
      <c r="P233" s="202" t="str">
        <f t="shared" si="13"/>
        <v>keine</v>
      </c>
      <c r="Q233" s="202" t="str">
        <f t="shared" si="13"/>
        <v>VHV Klassik Garant</v>
      </c>
      <c r="R233" s="202" t="str">
        <f t="shared" si="13"/>
        <v>VHV Klassik Garant Exklusiv</v>
      </c>
      <c r="S233" s="202" t="str">
        <f t="shared" si="13"/>
        <v>VHV Klassik Garant Exklusiv HB</v>
      </c>
      <c r="T233" s="202" t="str">
        <f t="shared" si="13"/>
        <v>VHV Smart</v>
      </c>
      <c r="U233" s="202"/>
      <c r="X233" s="19"/>
      <c r="Y233" s="20"/>
      <c r="Z233" s="11"/>
      <c r="AA233" s="19"/>
      <c r="AB233" s="14"/>
      <c r="AC233" s="19"/>
      <c r="AG233" s="239"/>
    </row>
    <row r="234" spans="1:33" s="14" customFormat="1" ht="30" customHeight="1">
      <c r="A234" s="53" t="s">
        <v>105</v>
      </c>
      <c r="B234" s="211"/>
      <c r="C234" s="48">
        <v>0.8</v>
      </c>
      <c r="D234" s="48" t="s">
        <v>5398</v>
      </c>
      <c r="E234" s="48">
        <v>0.7</v>
      </c>
      <c r="F234" s="48">
        <v>0.8</v>
      </c>
      <c r="G234" s="48">
        <v>0.7</v>
      </c>
      <c r="H234" s="48">
        <v>1</v>
      </c>
      <c r="I234" s="48">
        <v>0.8</v>
      </c>
      <c r="J234" s="48">
        <v>1</v>
      </c>
      <c r="K234" s="48">
        <v>0.75</v>
      </c>
      <c r="L234" s="48">
        <v>0.8</v>
      </c>
      <c r="M234" s="48">
        <v>0.8</v>
      </c>
      <c r="N234" s="48">
        <v>1</v>
      </c>
      <c r="O234" s="48">
        <v>0.75</v>
      </c>
      <c r="P234" s="48" t="s">
        <v>39</v>
      </c>
      <c r="Q234" s="48">
        <v>0.8</v>
      </c>
      <c r="R234" s="48">
        <v>0.8</v>
      </c>
      <c r="S234" s="48">
        <v>1</v>
      </c>
      <c r="T234" s="48">
        <v>0.75</v>
      </c>
      <c r="U234" s="48"/>
      <c r="X234" s="19"/>
      <c r="Y234" s="20"/>
      <c r="Z234" s="11"/>
      <c r="AA234" s="19"/>
      <c r="AB234" s="19"/>
      <c r="AG234" s="286"/>
    </row>
    <row r="235" spans="1:33" s="2" customFormat="1" ht="9" customHeight="1">
      <c r="A235" s="95" t="s">
        <v>688</v>
      </c>
      <c r="B235" s="238"/>
      <c r="C235" s="94" t="s">
        <v>4859</v>
      </c>
      <c r="D235" s="94" t="s">
        <v>5384</v>
      </c>
      <c r="E235" s="94" t="s">
        <v>4859</v>
      </c>
      <c r="F235" s="94" t="s">
        <v>5988</v>
      </c>
      <c r="G235" s="94" t="s">
        <v>5987</v>
      </c>
      <c r="H235" s="94" t="s">
        <v>5986</v>
      </c>
      <c r="I235" s="94" t="s">
        <v>4950</v>
      </c>
      <c r="J235" s="94" t="s">
        <v>5162</v>
      </c>
      <c r="K235" s="94" t="s">
        <v>4859</v>
      </c>
      <c r="L235" s="94" t="s">
        <v>6130</v>
      </c>
      <c r="M235" s="94" t="s">
        <v>6130</v>
      </c>
      <c r="N235" s="94" t="s">
        <v>6349</v>
      </c>
      <c r="O235" s="94" t="s">
        <v>6130</v>
      </c>
      <c r="P235" s="94" t="s">
        <v>39</v>
      </c>
      <c r="Q235" s="94" t="s">
        <v>5466</v>
      </c>
      <c r="R235" s="94" t="s">
        <v>5558</v>
      </c>
      <c r="S235" s="94" t="s">
        <v>5608</v>
      </c>
      <c r="T235" s="94" t="s">
        <v>5466</v>
      </c>
      <c r="U235" s="94"/>
      <c r="X235" s="19"/>
      <c r="Y235" s="20"/>
      <c r="Z235" s="11"/>
      <c r="AA235" s="19"/>
      <c r="AB235" s="14"/>
      <c r="AC235" s="19"/>
      <c r="AG235" s="239"/>
    </row>
    <row r="236" spans="1:33" s="14" customFormat="1" ht="30" customHeight="1">
      <c r="A236" s="53" t="s">
        <v>4801</v>
      </c>
      <c r="B236" s="211"/>
      <c r="C236" s="48">
        <v>0.8</v>
      </c>
      <c r="D236" s="48" t="s">
        <v>5398</v>
      </c>
      <c r="E236" s="48">
        <v>0.65</v>
      </c>
      <c r="F236" s="48">
        <v>0.8</v>
      </c>
      <c r="G236" s="48">
        <v>0.65</v>
      </c>
      <c r="H236" s="48">
        <v>1</v>
      </c>
      <c r="I236" s="48">
        <v>0.8</v>
      </c>
      <c r="J236" s="48">
        <v>1</v>
      </c>
      <c r="K236" s="48">
        <v>0.7</v>
      </c>
      <c r="L236" s="48">
        <v>0.75</v>
      </c>
      <c r="M236" s="48">
        <v>0.8</v>
      </c>
      <c r="N236" s="48">
        <v>1</v>
      </c>
      <c r="O236" s="48">
        <v>0.7</v>
      </c>
      <c r="P236" s="48" t="s">
        <v>39</v>
      </c>
      <c r="Q236" s="48">
        <v>0.75</v>
      </c>
      <c r="R236" s="48">
        <v>0.8</v>
      </c>
      <c r="S236" s="48">
        <v>1</v>
      </c>
      <c r="T236" s="48">
        <v>0.7</v>
      </c>
      <c r="U236" s="48"/>
      <c r="X236" s="19"/>
      <c r="Y236" s="20"/>
      <c r="Z236" s="11"/>
      <c r="AA236" s="19"/>
      <c r="AB236" s="19"/>
      <c r="AG236" s="286"/>
    </row>
    <row r="237" spans="1:33" s="2" customFormat="1" ht="9" customHeight="1">
      <c r="A237" s="95" t="s">
        <v>688</v>
      </c>
      <c r="B237" s="238"/>
      <c r="C237" s="94" t="s">
        <v>4859</v>
      </c>
      <c r="D237" s="94" t="s">
        <v>5384</v>
      </c>
      <c r="E237" s="94" t="s">
        <v>4859</v>
      </c>
      <c r="F237" s="94" t="s">
        <v>5988</v>
      </c>
      <c r="G237" s="94" t="s">
        <v>5987</v>
      </c>
      <c r="H237" s="94" t="s">
        <v>5986</v>
      </c>
      <c r="I237" s="94" t="s">
        <v>4950</v>
      </c>
      <c r="J237" s="94" t="s">
        <v>5162</v>
      </c>
      <c r="K237" s="94" t="s">
        <v>4859</v>
      </c>
      <c r="L237" s="94" t="s">
        <v>6130</v>
      </c>
      <c r="M237" s="94" t="s">
        <v>6130</v>
      </c>
      <c r="N237" s="94" t="s">
        <v>6349</v>
      </c>
      <c r="O237" s="94" t="s">
        <v>6130</v>
      </c>
      <c r="P237" s="94" t="s">
        <v>39</v>
      </c>
      <c r="Q237" s="94" t="s">
        <v>5466</v>
      </c>
      <c r="R237" s="94" t="s">
        <v>5558</v>
      </c>
      <c r="S237" s="94" t="s">
        <v>5558</v>
      </c>
      <c r="T237" s="94" t="s">
        <v>5466</v>
      </c>
      <c r="U237" s="94"/>
      <c r="X237" s="19"/>
      <c r="Y237" s="20"/>
      <c r="Z237" s="14"/>
      <c r="AA237" s="19"/>
      <c r="AB237" s="14"/>
      <c r="AC237" s="19"/>
      <c r="AG237" s="239"/>
    </row>
    <row r="238" spans="1:33" s="14" customFormat="1" ht="30" customHeight="1">
      <c r="A238" s="53" t="s">
        <v>4802</v>
      </c>
      <c r="B238" s="211"/>
      <c r="C238" s="48">
        <v>0.8</v>
      </c>
      <c r="D238" s="48" t="s">
        <v>5398</v>
      </c>
      <c r="E238" s="48">
        <v>0.6</v>
      </c>
      <c r="F238" s="48">
        <v>0.8</v>
      </c>
      <c r="G238" s="48">
        <v>0.6</v>
      </c>
      <c r="H238" s="48">
        <v>1</v>
      </c>
      <c r="I238" s="48">
        <v>0.75</v>
      </c>
      <c r="J238" s="48">
        <v>1</v>
      </c>
      <c r="K238" s="48">
        <v>0.65</v>
      </c>
      <c r="L238" s="48">
        <v>0.7</v>
      </c>
      <c r="M238" s="48">
        <v>0.8</v>
      </c>
      <c r="N238" s="48">
        <v>1</v>
      </c>
      <c r="O238" s="48">
        <v>0.7</v>
      </c>
      <c r="P238" s="48" t="s">
        <v>39</v>
      </c>
      <c r="Q238" s="48">
        <v>0.7</v>
      </c>
      <c r="R238" s="48">
        <v>0.8</v>
      </c>
      <c r="S238" s="48">
        <v>1</v>
      </c>
      <c r="T238" s="48">
        <v>0.7</v>
      </c>
      <c r="U238" s="48"/>
      <c r="X238" s="19"/>
      <c r="Y238" s="20"/>
      <c r="Z238" s="11"/>
      <c r="AA238" s="19"/>
      <c r="AB238" s="19"/>
      <c r="AG238" s="286"/>
    </row>
    <row r="239" spans="1:33" s="2" customFormat="1" ht="9" customHeight="1">
      <c r="A239" s="95" t="s">
        <v>688</v>
      </c>
      <c r="B239" s="238"/>
      <c r="C239" s="94" t="s">
        <v>4859</v>
      </c>
      <c r="D239" s="94" t="s">
        <v>5384</v>
      </c>
      <c r="E239" s="94" t="s">
        <v>4859</v>
      </c>
      <c r="F239" s="94" t="s">
        <v>5988</v>
      </c>
      <c r="G239" s="94" t="s">
        <v>5987</v>
      </c>
      <c r="H239" s="94" t="s">
        <v>5986</v>
      </c>
      <c r="I239" s="94" t="s">
        <v>4950</v>
      </c>
      <c r="J239" s="94" t="s">
        <v>5162</v>
      </c>
      <c r="K239" s="94" t="s">
        <v>4859</v>
      </c>
      <c r="L239" s="94" t="s">
        <v>6130</v>
      </c>
      <c r="M239" s="94" t="s">
        <v>6130</v>
      </c>
      <c r="N239" s="94" t="s">
        <v>6349</v>
      </c>
      <c r="O239" s="94" t="s">
        <v>6130</v>
      </c>
      <c r="P239" s="94" t="s">
        <v>39</v>
      </c>
      <c r="Q239" s="94" t="s">
        <v>5466</v>
      </c>
      <c r="R239" s="94" t="s">
        <v>5558</v>
      </c>
      <c r="S239" s="94" t="s">
        <v>5558</v>
      </c>
      <c r="T239" s="94" t="s">
        <v>5466</v>
      </c>
      <c r="U239" s="94"/>
      <c r="X239" s="14"/>
      <c r="Y239" s="14"/>
      <c r="Z239" s="14"/>
      <c r="AA239" s="19"/>
      <c r="AB239" s="14"/>
      <c r="AC239" s="19"/>
      <c r="AG239" s="239"/>
    </row>
    <row r="240" spans="1:33" s="14" customFormat="1" ht="30" customHeight="1">
      <c r="A240" s="53" t="s">
        <v>8</v>
      </c>
      <c r="B240" s="211"/>
      <c r="C240" s="48">
        <v>0.75</v>
      </c>
      <c r="D240" s="48" t="s">
        <v>5399</v>
      </c>
      <c r="E240" s="48">
        <v>0.55000000000000004</v>
      </c>
      <c r="F240" s="48">
        <v>0.75</v>
      </c>
      <c r="G240" s="48">
        <v>0.55000000000000004</v>
      </c>
      <c r="H240" s="48">
        <v>0.9</v>
      </c>
      <c r="I240" s="48">
        <v>0.75</v>
      </c>
      <c r="J240" s="48">
        <v>1</v>
      </c>
      <c r="K240" s="48">
        <v>0.6</v>
      </c>
      <c r="L240" s="48">
        <v>0.7</v>
      </c>
      <c r="M240" s="48">
        <v>0.75</v>
      </c>
      <c r="N240" s="48">
        <v>1</v>
      </c>
      <c r="O240" s="48">
        <v>0.7</v>
      </c>
      <c r="P240" s="48" t="s">
        <v>39</v>
      </c>
      <c r="Q240" s="48">
        <v>0.7</v>
      </c>
      <c r="R240" s="48">
        <v>0.7</v>
      </c>
      <c r="S240" s="48">
        <v>1</v>
      </c>
      <c r="T240" s="48">
        <v>0.7</v>
      </c>
      <c r="U240" s="48"/>
      <c r="X240" s="19"/>
      <c r="Y240" s="20"/>
      <c r="Z240" s="11"/>
      <c r="AA240" s="19"/>
      <c r="AB240" s="19"/>
      <c r="AG240" s="286"/>
    </row>
    <row r="241" spans="1:33" s="2" customFormat="1" ht="9" customHeight="1">
      <c r="A241" s="95" t="s">
        <v>688</v>
      </c>
      <c r="B241" s="238"/>
      <c r="C241" s="94" t="s">
        <v>4859</v>
      </c>
      <c r="D241" s="94" t="s">
        <v>5384</v>
      </c>
      <c r="E241" s="94" t="s">
        <v>4859</v>
      </c>
      <c r="F241" s="94" t="s">
        <v>5988</v>
      </c>
      <c r="G241" s="94" t="s">
        <v>5987</v>
      </c>
      <c r="H241" s="94" t="s">
        <v>5986</v>
      </c>
      <c r="I241" s="94" t="s">
        <v>4950</v>
      </c>
      <c r="J241" s="94" t="s">
        <v>5162</v>
      </c>
      <c r="K241" s="94" t="s">
        <v>4859</v>
      </c>
      <c r="L241" s="94" t="s">
        <v>6130</v>
      </c>
      <c r="M241" s="94" t="s">
        <v>6130</v>
      </c>
      <c r="N241" s="94" t="s">
        <v>6349</v>
      </c>
      <c r="O241" s="94" t="s">
        <v>6130</v>
      </c>
      <c r="P241" s="94" t="s">
        <v>39</v>
      </c>
      <c r="Q241" s="94" t="s">
        <v>5466</v>
      </c>
      <c r="R241" s="94" t="s">
        <v>5558</v>
      </c>
      <c r="S241" s="94" t="s">
        <v>5558</v>
      </c>
      <c r="T241" s="94" t="s">
        <v>5466</v>
      </c>
      <c r="U241" s="94"/>
      <c r="X241" s="14"/>
      <c r="Y241" s="14"/>
      <c r="Z241" s="11"/>
      <c r="AA241" s="19"/>
      <c r="AB241" s="14"/>
      <c r="AC241" s="19"/>
      <c r="AG241" s="239"/>
    </row>
    <row r="242" spans="1:33" s="14" customFormat="1" ht="30" customHeight="1">
      <c r="A242" s="53" t="s">
        <v>9</v>
      </c>
      <c r="B242" s="211"/>
      <c r="C242" s="48">
        <v>0.35</v>
      </c>
      <c r="D242" s="48" t="s">
        <v>5400</v>
      </c>
      <c r="E242" s="48">
        <v>0.2</v>
      </c>
      <c r="F242" s="48">
        <v>0.3</v>
      </c>
      <c r="G242" s="48">
        <v>0.2</v>
      </c>
      <c r="H242" s="48">
        <v>0.45</v>
      </c>
      <c r="I242" s="48">
        <v>0.3</v>
      </c>
      <c r="J242" s="48">
        <v>0.6</v>
      </c>
      <c r="K242" s="48">
        <v>0.25</v>
      </c>
      <c r="L242" s="48">
        <v>0.3</v>
      </c>
      <c r="M242" s="48">
        <v>0.3</v>
      </c>
      <c r="N242" s="48">
        <v>0.6</v>
      </c>
      <c r="O242" s="48">
        <v>0.3</v>
      </c>
      <c r="P242" s="48" t="s">
        <v>39</v>
      </c>
      <c r="Q242" s="48">
        <v>0.3</v>
      </c>
      <c r="R242" s="48">
        <v>0.3</v>
      </c>
      <c r="S242" s="48">
        <v>0.6</v>
      </c>
      <c r="T242" s="48">
        <v>0.3</v>
      </c>
      <c r="U242" s="48"/>
      <c r="X242" s="19"/>
      <c r="Y242" s="20"/>
      <c r="Z242" s="11"/>
      <c r="AA242" s="19"/>
      <c r="AB242" s="19"/>
      <c r="AG242" s="286"/>
    </row>
    <row r="243" spans="1:33" s="2" customFormat="1" ht="9" customHeight="1">
      <c r="A243" s="95" t="s">
        <v>688</v>
      </c>
      <c r="B243" s="238"/>
      <c r="C243" s="94" t="s">
        <v>4859</v>
      </c>
      <c r="D243" s="94" t="s">
        <v>5384</v>
      </c>
      <c r="E243" s="94" t="s">
        <v>4859</v>
      </c>
      <c r="F243" s="94" t="s">
        <v>5988</v>
      </c>
      <c r="G243" s="94" t="s">
        <v>5987</v>
      </c>
      <c r="H243" s="94" t="s">
        <v>5986</v>
      </c>
      <c r="I243" s="94" t="s">
        <v>4950</v>
      </c>
      <c r="J243" s="94" t="s">
        <v>5162</v>
      </c>
      <c r="K243" s="94" t="s">
        <v>4859</v>
      </c>
      <c r="L243" s="94" t="s">
        <v>6130</v>
      </c>
      <c r="M243" s="94" t="s">
        <v>6130</v>
      </c>
      <c r="N243" s="94" t="s">
        <v>6349</v>
      </c>
      <c r="O243" s="94" t="s">
        <v>6130</v>
      </c>
      <c r="P243" s="94" t="s">
        <v>39</v>
      </c>
      <c r="Q243" s="94" t="s">
        <v>5466</v>
      </c>
      <c r="R243" s="94" t="s">
        <v>5558</v>
      </c>
      <c r="S243" s="94" t="s">
        <v>5558</v>
      </c>
      <c r="T243" s="94" t="s">
        <v>5466</v>
      </c>
      <c r="U243" s="94"/>
      <c r="X243" s="19"/>
      <c r="Y243" s="20"/>
      <c r="Z243" s="11"/>
      <c r="AA243" s="19"/>
      <c r="AB243" s="14"/>
      <c r="AC243" s="19"/>
      <c r="AG243" s="239"/>
    </row>
    <row r="244" spans="1:33" ht="30" customHeight="1">
      <c r="A244" s="53" t="s">
        <v>10</v>
      </c>
      <c r="B244" s="211"/>
      <c r="C244" s="48">
        <v>0.2</v>
      </c>
      <c r="D244" s="48" t="s">
        <v>5401</v>
      </c>
      <c r="E244" s="48">
        <v>0.1</v>
      </c>
      <c r="F244" s="48">
        <v>0.2</v>
      </c>
      <c r="G244" s="48">
        <v>0.1</v>
      </c>
      <c r="H244" s="48">
        <v>0.3</v>
      </c>
      <c r="I244" s="48">
        <v>0.2</v>
      </c>
      <c r="J244" s="48">
        <v>0.6</v>
      </c>
      <c r="K244" s="48">
        <v>0.15</v>
      </c>
      <c r="L244" s="48">
        <v>0.15</v>
      </c>
      <c r="M244" s="48">
        <v>0.2</v>
      </c>
      <c r="N244" s="48">
        <v>0.6</v>
      </c>
      <c r="O244" s="48">
        <v>0.2</v>
      </c>
      <c r="P244" s="48" t="s">
        <v>39</v>
      </c>
      <c r="Q244" s="48">
        <v>0.2</v>
      </c>
      <c r="R244" s="48">
        <v>0.2</v>
      </c>
      <c r="S244" s="48">
        <v>0.6</v>
      </c>
      <c r="T244" s="48">
        <v>0.2</v>
      </c>
      <c r="U244" s="48"/>
      <c r="X244" s="19"/>
      <c r="Y244" s="20"/>
      <c r="Z244" s="11"/>
      <c r="AA244" s="19"/>
      <c r="AB244" s="19"/>
    </row>
    <row r="245" spans="1:33" s="2" customFormat="1" ht="9" customHeight="1">
      <c r="A245" s="95" t="s">
        <v>688</v>
      </c>
      <c r="B245" s="238"/>
      <c r="C245" s="94" t="s">
        <v>4859</v>
      </c>
      <c r="D245" s="94" t="s">
        <v>5384</v>
      </c>
      <c r="E245" s="94" t="s">
        <v>4859</v>
      </c>
      <c r="F245" s="94" t="s">
        <v>5988</v>
      </c>
      <c r="G245" s="94" t="s">
        <v>5987</v>
      </c>
      <c r="H245" s="94" t="s">
        <v>5986</v>
      </c>
      <c r="I245" s="94" t="s">
        <v>4950</v>
      </c>
      <c r="J245" s="94" t="s">
        <v>5162</v>
      </c>
      <c r="K245" s="94" t="s">
        <v>4859</v>
      </c>
      <c r="L245" s="94" t="s">
        <v>6130</v>
      </c>
      <c r="M245" s="94" t="s">
        <v>6130</v>
      </c>
      <c r="N245" s="94" t="s">
        <v>6349</v>
      </c>
      <c r="O245" s="94" t="s">
        <v>6130</v>
      </c>
      <c r="P245" s="94" t="s">
        <v>39</v>
      </c>
      <c r="Q245" s="94" t="s">
        <v>5466</v>
      </c>
      <c r="R245" s="94" t="s">
        <v>5558</v>
      </c>
      <c r="S245" s="94" t="s">
        <v>5558</v>
      </c>
      <c r="T245" s="94" t="s">
        <v>5466</v>
      </c>
      <c r="U245" s="94"/>
      <c r="X245" s="19"/>
      <c r="Y245" s="20"/>
      <c r="Z245" s="11"/>
      <c r="AA245" s="19"/>
      <c r="AB245"/>
      <c r="AG245" s="239"/>
    </row>
    <row r="246" spans="1:33" s="119" customFormat="1" ht="30" customHeight="1">
      <c r="A246" s="53" t="s">
        <v>5403</v>
      </c>
      <c r="B246" s="211"/>
      <c r="C246" s="48" t="s">
        <v>5404</v>
      </c>
      <c r="D246" s="48" t="s">
        <v>5402</v>
      </c>
      <c r="E246" s="48">
        <v>0.05</v>
      </c>
      <c r="F246" s="48" t="s">
        <v>5406</v>
      </c>
      <c r="G246" s="48" t="s">
        <v>5686</v>
      </c>
      <c r="H246" s="48" t="s">
        <v>5989</v>
      </c>
      <c r="I246" s="48" t="s">
        <v>5406</v>
      </c>
      <c r="J246" s="48" t="s">
        <v>5407</v>
      </c>
      <c r="K246" s="48" t="s">
        <v>5405</v>
      </c>
      <c r="L246" s="48" t="s">
        <v>6127</v>
      </c>
      <c r="M246" s="48" t="s">
        <v>5404</v>
      </c>
      <c r="N246" s="48" t="s">
        <v>5407</v>
      </c>
      <c r="O246" s="48" t="s">
        <v>6234</v>
      </c>
      <c r="P246" s="48" t="s">
        <v>39</v>
      </c>
      <c r="Q246" s="48" t="s">
        <v>5467</v>
      </c>
      <c r="R246" s="48" t="s">
        <v>5559</v>
      </c>
      <c r="S246" s="48" t="s">
        <v>5407</v>
      </c>
      <c r="T246" s="48">
        <v>0.05</v>
      </c>
      <c r="U246" s="48"/>
      <c r="X246" s="19"/>
      <c r="Y246" s="20"/>
      <c r="Z246" s="11"/>
      <c r="AA246" s="19"/>
      <c r="AB246" s="2"/>
      <c r="AG246" s="288"/>
    </row>
    <row r="247" spans="1:33" s="14" customFormat="1" ht="9" customHeight="1">
      <c r="A247" s="95" t="s">
        <v>688</v>
      </c>
      <c r="B247" s="238"/>
      <c r="C247" s="94" t="s">
        <v>4859</v>
      </c>
      <c r="D247" s="94" t="s">
        <v>5384</v>
      </c>
      <c r="E247" s="94" t="s">
        <v>4859</v>
      </c>
      <c r="F247" s="94" t="s">
        <v>5988</v>
      </c>
      <c r="G247" s="94" t="s">
        <v>5987</v>
      </c>
      <c r="H247" s="94" t="s">
        <v>5986</v>
      </c>
      <c r="I247" s="94" t="s">
        <v>4950</v>
      </c>
      <c r="J247" s="94" t="s">
        <v>5162</v>
      </c>
      <c r="K247" s="94" t="s">
        <v>4859</v>
      </c>
      <c r="L247" s="94" t="s">
        <v>6130</v>
      </c>
      <c r="M247" s="94" t="s">
        <v>6130</v>
      </c>
      <c r="N247" s="94" t="s">
        <v>6349</v>
      </c>
      <c r="O247" s="94" t="s">
        <v>6130</v>
      </c>
      <c r="P247" s="94" t="s">
        <v>39</v>
      </c>
      <c r="Q247" s="94" t="s">
        <v>5466</v>
      </c>
      <c r="R247" s="94" t="s">
        <v>5558</v>
      </c>
      <c r="S247" s="94" t="s">
        <v>5558</v>
      </c>
      <c r="T247" s="94" t="s">
        <v>5466</v>
      </c>
      <c r="U247" s="94"/>
      <c r="X247" s="19"/>
      <c r="Y247" s="20"/>
      <c r="Z247" s="11"/>
      <c r="AA247" s="19"/>
      <c r="AB247" s="119"/>
      <c r="AG247" s="286"/>
    </row>
    <row r="248" spans="1:33" s="2" customFormat="1" ht="30" customHeight="1">
      <c r="A248" s="53" t="s">
        <v>12</v>
      </c>
      <c r="B248" s="211"/>
      <c r="C248" s="48">
        <v>0.8</v>
      </c>
      <c r="D248" s="48" t="s">
        <v>5408</v>
      </c>
      <c r="E248" s="48">
        <v>0.7</v>
      </c>
      <c r="F248" s="48">
        <v>0.8</v>
      </c>
      <c r="G248" s="48">
        <v>0.7</v>
      </c>
      <c r="H248" s="48">
        <v>1</v>
      </c>
      <c r="I248" s="48">
        <v>0.8</v>
      </c>
      <c r="J248" s="48">
        <v>0.8</v>
      </c>
      <c r="K248" s="48">
        <v>0.75</v>
      </c>
      <c r="L248" s="48">
        <v>0.8</v>
      </c>
      <c r="M248" s="48">
        <v>0.8</v>
      </c>
      <c r="N248" s="48">
        <v>0.8</v>
      </c>
      <c r="O248" s="48">
        <v>0.8</v>
      </c>
      <c r="P248" s="48" t="s">
        <v>39</v>
      </c>
      <c r="Q248" s="48">
        <v>0.8</v>
      </c>
      <c r="R248" s="48">
        <v>0.8</v>
      </c>
      <c r="S248" s="48">
        <v>0.8</v>
      </c>
      <c r="T248" s="48">
        <v>0.8</v>
      </c>
      <c r="U248" s="48"/>
      <c r="X248" s="19"/>
      <c r="Y248" s="20"/>
      <c r="Z248" s="11"/>
      <c r="AA248" s="19"/>
      <c r="AB248" s="14"/>
      <c r="AC248" s="19"/>
      <c r="AG248" s="239"/>
    </row>
    <row r="249" spans="1:33" s="2" customFormat="1" ht="9" customHeight="1">
      <c r="A249" s="95" t="s">
        <v>688</v>
      </c>
      <c r="B249" s="238"/>
      <c r="C249" s="94" t="s">
        <v>4859</v>
      </c>
      <c r="D249" s="94" t="s">
        <v>5384</v>
      </c>
      <c r="E249" s="94" t="s">
        <v>4859</v>
      </c>
      <c r="F249" s="94" t="s">
        <v>5988</v>
      </c>
      <c r="G249" s="94" t="s">
        <v>5987</v>
      </c>
      <c r="H249" s="94" t="s">
        <v>5986</v>
      </c>
      <c r="I249" s="94" t="s">
        <v>4950</v>
      </c>
      <c r="J249" s="94" t="s">
        <v>5162</v>
      </c>
      <c r="K249" s="94" t="s">
        <v>4859</v>
      </c>
      <c r="L249" s="94" t="s">
        <v>6130</v>
      </c>
      <c r="M249" s="94" t="s">
        <v>6130</v>
      </c>
      <c r="N249" s="94" t="s">
        <v>6349</v>
      </c>
      <c r="O249" s="94" t="s">
        <v>6130</v>
      </c>
      <c r="P249" s="94" t="s">
        <v>39</v>
      </c>
      <c r="Q249" s="94" t="s">
        <v>5466</v>
      </c>
      <c r="R249" s="94" t="s">
        <v>5558</v>
      </c>
      <c r="S249" s="94" t="s">
        <v>5558</v>
      </c>
      <c r="T249" s="94" t="s">
        <v>5466</v>
      </c>
      <c r="U249" s="94"/>
      <c r="X249" s="19"/>
      <c r="Y249" s="20"/>
      <c r="Z249" s="11"/>
      <c r="AA249" s="19"/>
      <c r="AB249" s="19"/>
      <c r="AC249" s="19"/>
      <c r="AG249" s="239"/>
    </row>
    <row r="250" spans="1:33" s="2" customFormat="1" ht="30" customHeight="1">
      <c r="A250" s="53" t="s">
        <v>13</v>
      </c>
      <c r="B250" s="211"/>
      <c r="C250" s="48">
        <v>0.8</v>
      </c>
      <c r="D250" s="48" t="s">
        <v>5408</v>
      </c>
      <c r="E250" s="48">
        <v>0.6</v>
      </c>
      <c r="F250" s="48">
        <v>0.8</v>
      </c>
      <c r="G250" s="48">
        <v>0.6</v>
      </c>
      <c r="H250" s="48">
        <v>1</v>
      </c>
      <c r="I250" s="48">
        <v>0.75</v>
      </c>
      <c r="J250" s="48">
        <v>0.75</v>
      </c>
      <c r="K250" s="48">
        <v>0.65</v>
      </c>
      <c r="L250" s="48">
        <v>0.75</v>
      </c>
      <c r="M250" s="48">
        <v>0.8</v>
      </c>
      <c r="N250" s="48">
        <v>0.8</v>
      </c>
      <c r="O250" s="48">
        <v>0.6</v>
      </c>
      <c r="P250" s="48" t="s">
        <v>39</v>
      </c>
      <c r="Q250" s="48">
        <v>0.7</v>
      </c>
      <c r="R250" s="48">
        <v>0.8</v>
      </c>
      <c r="S250" s="48">
        <v>0.8</v>
      </c>
      <c r="T250" s="48">
        <v>0.6</v>
      </c>
      <c r="U250" s="48"/>
      <c r="X250" s="19"/>
      <c r="Y250" s="20"/>
      <c r="Z250" s="11"/>
      <c r="AA250" s="19"/>
      <c r="AB250" s="19"/>
      <c r="AC250" s="19"/>
      <c r="AG250" s="239"/>
    </row>
    <row r="251" spans="1:33" s="2" customFormat="1" ht="9" customHeight="1">
      <c r="A251" s="95" t="s">
        <v>688</v>
      </c>
      <c r="B251" s="238"/>
      <c r="C251" s="94" t="s">
        <v>4859</v>
      </c>
      <c r="D251" s="94" t="s">
        <v>5384</v>
      </c>
      <c r="E251" s="94" t="s">
        <v>4859</v>
      </c>
      <c r="F251" s="94" t="s">
        <v>5988</v>
      </c>
      <c r="G251" s="94" t="s">
        <v>5987</v>
      </c>
      <c r="H251" s="94" t="s">
        <v>5986</v>
      </c>
      <c r="I251" s="94" t="s">
        <v>4950</v>
      </c>
      <c r="J251" s="94" t="s">
        <v>5162</v>
      </c>
      <c r="K251" s="94" t="s">
        <v>4859</v>
      </c>
      <c r="L251" s="94" t="s">
        <v>6130</v>
      </c>
      <c r="M251" s="94" t="s">
        <v>6130</v>
      </c>
      <c r="N251" s="94" t="s">
        <v>6349</v>
      </c>
      <c r="O251" s="94" t="s">
        <v>6130</v>
      </c>
      <c r="P251" s="94" t="s">
        <v>39</v>
      </c>
      <c r="Q251" s="94" t="s">
        <v>5466</v>
      </c>
      <c r="R251" s="94" t="s">
        <v>5558</v>
      </c>
      <c r="S251" s="94" t="s">
        <v>5558</v>
      </c>
      <c r="T251" s="94" t="s">
        <v>5466</v>
      </c>
      <c r="U251" s="94"/>
      <c r="X251" s="19"/>
      <c r="Y251" s="20"/>
      <c r="Z251" s="11"/>
      <c r="AA251" s="19"/>
      <c r="AB251" s="19"/>
      <c r="AC251" s="19"/>
      <c r="AG251" s="239"/>
    </row>
    <row r="252" spans="1:33" s="2" customFormat="1" ht="30" customHeight="1">
      <c r="A252" s="53" t="s">
        <v>169</v>
      </c>
      <c r="B252" s="211"/>
      <c r="C252" s="48">
        <v>0.8</v>
      </c>
      <c r="D252" s="48" t="s">
        <v>5408</v>
      </c>
      <c r="E252" s="48">
        <v>0.5</v>
      </c>
      <c r="F252" s="48">
        <v>0.8</v>
      </c>
      <c r="G252" s="48">
        <v>0.5</v>
      </c>
      <c r="H252" s="48">
        <v>1</v>
      </c>
      <c r="I252" s="48">
        <v>0.65</v>
      </c>
      <c r="J252" s="48">
        <v>0.7</v>
      </c>
      <c r="K252" s="48">
        <v>0.55000000000000004</v>
      </c>
      <c r="L252" s="48">
        <v>0.65</v>
      </c>
      <c r="M252" s="48">
        <v>0.8</v>
      </c>
      <c r="N252" s="48">
        <v>0.8</v>
      </c>
      <c r="O252" s="48">
        <v>0.6</v>
      </c>
      <c r="P252" s="48" t="s">
        <v>39</v>
      </c>
      <c r="Q252" s="48">
        <v>0.6</v>
      </c>
      <c r="R252" s="48">
        <v>0.8</v>
      </c>
      <c r="S252" s="48">
        <v>0.8</v>
      </c>
      <c r="T252" s="48">
        <v>0.5</v>
      </c>
      <c r="U252" s="48"/>
      <c r="X252" s="19"/>
      <c r="Y252" s="20"/>
      <c r="Z252" s="11"/>
      <c r="AA252" s="19"/>
      <c r="AB252" s="19"/>
      <c r="AC252" s="19"/>
      <c r="AG252" s="239"/>
    </row>
    <row r="253" spans="1:33" s="2" customFormat="1" ht="9" customHeight="1">
      <c r="A253" s="95" t="s">
        <v>688</v>
      </c>
      <c r="B253" s="238"/>
      <c r="C253" s="94" t="s">
        <v>4859</v>
      </c>
      <c r="D253" s="94" t="s">
        <v>5384</v>
      </c>
      <c r="E253" s="94" t="s">
        <v>4859</v>
      </c>
      <c r="F253" s="94" t="s">
        <v>5988</v>
      </c>
      <c r="G253" s="94" t="s">
        <v>5987</v>
      </c>
      <c r="H253" s="94" t="s">
        <v>5986</v>
      </c>
      <c r="I253" s="94" t="s">
        <v>4950</v>
      </c>
      <c r="J253" s="94" t="s">
        <v>5162</v>
      </c>
      <c r="K253" s="94" t="s">
        <v>4859</v>
      </c>
      <c r="L253" s="94" t="s">
        <v>6130</v>
      </c>
      <c r="M253" s="94" t="s">
        <v>6130</v>
      </c>
      <c r="N253" s="94" t="s">
        <v>6349</v>
      </c>
      <c r="O253" s="94" t="s">
        <v>6130</v>
      </c>
      <c r="P253" s="94" t="s">
        <v>39</v>
      </c>
      <c r="Q253" s="94" t="s">
        <v>5466</v>
      </c>
      <c r="R253" s="94" t="s">
        <v>5558</v>
      </c>
      <c r="S253" s="94" t="s">
        <v>5558</v>
      </c>
      <c r="T253" s="94" t="s">
        <v>5466</v>
      </c>
      <c r="U253" s="94"/>
      <c r="X253" s="19"/>
      <c r="Y253" s="20"/>
      <c r="Z253" s="11"/>
      <c r="AA253" s="19"/>
      <c r="AB253" s="19"/>
      <c r="AC253" s="19"/>
      <c r="AG253" s="239"/>
    </row>
    <row r="254" spans="1:33" s="2" customFormat="1" ht="30" customHeight="1">
      <c r="A254" s="53" t="s">
        <v>14</v>
      </c>
      <c r="B254" s="211"/>
      <c r="C254" s="48">
        <v>0.8</v>
      </c>
      <c r="D254" s="48" t="s">
        <v>5408</v>
      </c>
      <c r="E254" s="48">
        <v>0.45</v>
      </c>
      <c r="F254" s="48">
        <v>0.8</v>
      </c>
      <c r="G254" s="48">
        <v>0.45</v>
      </c>
      <c r="H254" s="48">
        <v>1</v>
      </c>
      <c r="I254" s="48">
        <v>0.6</v>
      </c>
      <c r="J254" s="48">
        <v>0.7</v>
      </c>
      <c r="K254" s="48">
        <v>0.5</v>
      </c>
      <c r="L254" s="48">
        <v>0.6</v>
      </c>
      <c r="M254" s="48">
        <v>0.8</v>
      </c>
      <c r="N254" s="48">
        <v>0.8</v>
      </c>
      <c r="O254" s="48">
        <v>0.6</v>
      </c>
      <c r="P254" s="48" t="s">
        <v>39</v>
      </c>
      <c r="Q254" s="48">
        <v>0.55000000000000004</v>
      </c>
      <c r="R254" s="48">
        <v>0.8</v>
      </c>
      <c r="S254" s="48">
        <v>0.8</v>
      </c>
      <c r="T254" s="48">
        <v>0.45</v>
      </c>
      <c r="U254" s="48"/>
      <c r="X254" s="19"/>
      <c r="Y254" s="20"/>
      <c r="Z254" s="11"/>
      <c r="AA254" s="19"/>
      <c r="AB254" s="19"/>
      <c r="AC254" s="19"/>
      <c r="AG254" s="239"/>
    </row>
    <row r="255" spans="1:33" s="2" customFormat="1" ht="9" customHeight="1">
      <c r="A255" s="95" t="s">
        <v>688</v>
      </c>
      <c r="B255" s="238"/>
      <c r="C255" s="94" t="s">
        <v>4859</v>
      </c>
      <c r="D255" s="94" t="s">
        <v>5384</v>
      </c>
      <c r="E255" s="94" t="s">
        <v>4859</v>
      </c>
      <c r="F255" s="94" t="s">
        <v>5988</v>
      </c>
      <c r="G255" s="94" t="s">
        <v>5987</v>
      </c>
      <c r="H255" s="94" t="s">
        <v>5986</v>
      </c>
      <c r="I255" s="94" t="s">
        <v>4950</v>
      </c>
      <c r="J255" s="94" t="s">
        <v>5162</v>
      </c>
      <c r="K255" s="94" t="s">
        <v>4859</v>
      </c>
      <c r="L255" s="94" t="s">
        <v>6130</v>
      </c>
      <c r="M255" s="94" t="s">
        <v>6130</v>
      </c>
      <c r="N255" s="94" t="s">
        <v>6349</v>
      </c>
      <c r="O255" s="94" t="s">
        <v>6130</v>
      </c>
      <c r="P255" s="94" t="s">
        <v>39</v>
      </c>
      <c r="Q255" s="94" t="s">
        <v>5466</v>
      </c>
      <c r="R255" s="94" t="s">
        <v>5558</v>
      </c>
      <c r="S255" s="94" t="s">
        <v>5558</v>
      </c>
      <c r="T255" s="94" t="s">
        <v>5466</v>
      </c>
      <c r="U255" s="94"/>
      <c r="X255" s="19"/>
      <c r="Y255" s="20"/>
      <c r="Z255" s="11"/>
      <c r="AA255" s="19"/>
      <c r="AB255" s="19"/>
      <c r="AC255" s="19"/>
      <c r="AG255" s="239"/>
    </row>
    <row r="256" spans="1:33" s="2" customFormat="1" ht="30" customHeight="1">
      <c r="A256" s="53" t="s">
        <v>15</v>
      </c>
      <c r="B256" s="211"/>
      <c r="C256" s="48">
        <v>0.7</v>
      </c>
      <c r="D256" s="48">
        <v>0.7</v>
      </c>
      <c r="E256" s="48">
        <v>0.4</v>
      </c>
      <c r="F256" s="48">
        <v>0.6</v>
      </c>
      <c r="G256" s="48">
        <v>0.4</v>
      </c>
      <c r="H256" s="48">
        <v>0.7</v>
      </c>
      <c r="I256" s="48">
        <v>0.6</v>
      </c>
      <c r="J256" s="48">
        <v>0.7</v>
      </c>
      <c r="K256" s="48">
        <v>0.45</v>
      </c>
      <c r="L256" s="48">
        <v>0.6</v>
      </c>
      <c r="M256" s="48">
        <v>0.7</v>
      </c>
      <c r="N256" s="48">
        <v>0.7</v>
      </c>
      <c r="O256" s="48">
        <v>0.6</v>
      </c>
      <c r="P256" s="48" t="s">
        <v>39</v>
      </c>
      <c r="Q256" s="48">
        <v>0.5</v>
      </c>
      <c r="R256" s="48">
        <v>0.6</v>
      </c>
      <c r="S256" s="48">
        <v>0.7</v>
      </c>
      <c r="T256" s="48">
        <v>0.4</v>
      </c>
      <c r="U256" s="48"/>
      <c r="X256" s="19"/>
      <c r="Y256" s="20"/>
      <c r="Z256" s="11"/>
      <c r="AA256" s="19"/>
      <c r="AB256" s="19"/>
      <c r="AC256" s="19"/>
      <c r="AG256" s="239"/>
    </row>
    <row r="257" spans="1:33" s="2" customFormat="1" ht="9" customHeight="1">
      <c r="A257" s="95" t="s">
        <v>688</v>
      </c>
      <c r="B257" s="238"/>
      <c r="C257" s="94" t="s">
        <v>4859</v>
      </c>
      <c r="D257" s="94" t="s">
        <v>5385</v>
      </c>
      <c r="E257" s="94" t="s">
        <v>4859</v>
      </c>
      <c r="F257" s="94" t="s">
        <v>5988</v>
      </c>
      <c r="G257" s="94" t="s">
        <v>5987</v>
      </c>
      <c r="H257" s="94" t="s">
        <v>5986</v>
      </c>
      <c r="I257" s="94" t="s">
        <v>4950</v>
      </c>
      <c r="J257" s="94" t="s">
        <v>5162</v>
      </c>
      <c r="K257" s="94" t="s">
        <v>4859</v>
      </c>
      <c r="L257" s="94" t="s">
        <v>6130</v>
      </c>
      <c r="M257" s="94" t="s">
        <v>6130</v>
      </c>
      <c r="N257" s="94" t="s">
        <v>6349</v>
      </c>
      <c r="O257" s="94" t="s">
        <v>6130</v>
      </c>
      <c r="P257" s="94" t="s">
        <v>39</v>
      </c>
      <c r="Q257" s="94" t="s">
        <v>5466</v>
      </c>
      <c r="R257" s="94" t="s">
        <v>5558</v>
      </c>
      <c r="S257" s="94" t="s">
        <v>5558</v>
      </c>
      <c r="T257" s="94" t="s">
        <v>5466</v>
      </c>
      <c r="U257" s="94"/>
      <c r="X257" s="19"/>
      <c r="Y257" s="20"/>
      <c r="Z257"/>
      <c r="AA257" s="19"/>
      <c r="AB257" s="19"/>
      <c r="AC257" s="19"/>
      <c r="AG257" s="239"/>
    </row>
    <row r="258" spans="1:33" s="2" customFormat="1" ht="30" customHeight="1">
      <c r="A258" s="53" t="s">
        <v>16</v>
      </c>
      <c r="B258" s="211"/>
      <c r="C258" s="48">
        <v>0.2</v>
      </c>
      <c r="D258" s="48">
        <v>0.2</v>
      </c>
      <c r="E258" s="48">
        <v>0.05</v>
      </c>
      <c r="F258" s="48">
        <v>0.15</v>
      </c>
      <c r="G258" s="48">
        <v>0.05</v>
      </c>
      <c r="H258" s="48">
        <v>0.2</v>
      </c>
      <c r="I258" s="48">
        <v>0.15</v>
      </c>
      <c r="J258" s="48">
        <v>0.15</v>
      </c>
      <c r="K258" s="48">
        <v>0.08</v>
      </c>
      <c r="L258" s="48">
        <v>0.15</v>
      </c>
      <c r="M258" s="48">
        <v>0.2</v>
      </c>
      <c r="N258" s="48">
        <v>0.2</v>
      </c>
      <c r="O258" s="48">
        <v>0.2</v>
      </c>
      <c r="P258" s="48" t="s">
        <v>39</v>
      </c>
      <c r="Q258" s="48">
        <v>0.1</v>
      </c>
      <c r="R258" s="48">
        <v>0.1</v>
      </c>
      <c r="S258" s="48">
        <v>0.15</v>
      </c>
      <c r="T258" s="48">
        <v>0.1</v>
      </c>
      <c r="U258" s="48"/>
      <c r="X258" s="19"/>
      <c r="Y258" s="20"/>
      <c r="Z258"/>
      <c r="AA258" s="19"/>
      <c r="AB258" s="19"/>
      <c r="AC258" s="19"/>
      <c r="AG258" s="239"/>
    </row>
    <row r="259" spans="1:33" s="2" customFormat="1" ht="9" customHeight="1">
      <c r="A259" s="95" t="s">
        <v>688</v>
      </c>
      <c r="B259" s="238"/>
      <c r="C259" s="94" t="s">
        <v>4859</v>
      </c>
      <c r="D259" s="94" t="s">
        <v>5385</v>
      </c>
      <c r="E259" s="94" t="s">
        <v>4859</v>
      </c>
      <c r="F259" s="94" t="s">
        <v>5988</v>
      </c>
      <c r="G259" s="94" t="s">
        <v>5987</v>
      </c>
      <c r="H259" s="94" t="s">
        <v>5986</v>
      </c>
      <c r="I259" s="94" t="s">
        <v>4950</v>
      </c>
      <c r="J259" s="94" t="s">
        <v>5162</v>
      </c>
      <c r="K259" s="94" t="s">
        <v>4859</v>
      </c>
      <c r="L259" s="94" t="s">
        <v>6130</v>
      </c>
      <c r="M259" s="94" t="s">
        <v>6130</v>
      </c>
      <c r="N259" s="94" t="s">
        <v>6349</v>
      </c>
      <c r="O259" s="94" t="s">
        <v>6130</v>
      </c>
      <c r="P259" s="94" t="s">
        <v>39</v>
      </c>
      <c r="Q259" s="94" t="s">
        <v>5466</v>
      </c>
      <c r="R259" s="94" t="s">
        <v>5558</v>
      </c>
      <c r="S259" s="94" t="s">
        <v>5558</v>
      </c>
      <c r="T259" s="94" t="s">
        <v>5466</v>
      </c>
      <c r="U259" s="94"/>
      <c r="X259"/>
      <c r="Y259"/>
      <c r="AA259" s="19"/>
      <c r="AB259" s="19"/>
      <c r="AC259" s="19"/>
      <c r="AG259" s="239"/>
    </row>
    <row r="260" spans="1:33" s="2" customFormat="1" ht="30" customHeight="1">
      <c r="A260" s="53" t="s">
        <v>17</v>
      </c>
      <c r="B260" s="211"/>
      <c r="C260" s="48">
        <v>0.1</v>
      </c>
      <c r="D260" s="48">
        <v>0.1</v>
      </c>
      <c r="E260" s="48">
        <v>0.02</v>
      </c>
      <c r="F260" s="48">
        <v>0.05</v>
      </c>
      <c r="G260" s="48">
        <v>0.02</v>
      </c>
      <c r="H260" s="48">
        <v>0.1</v>
      </c>
      <c r="I260" s="48">
        <v>0.05</v>
      </c>
      <c r="J260" s="48">
        <v>0.05</v>
      </c>
      <c r="K260" s="48">
        <v>0.05</v>
      </c>
      <c r="L260" s="48">
        <v>0.05</v>
      </c>
      <c r="M260" s="48">
        <v>0.1</v>
      </c>
      <c r="N260" s="48">
        <v>0.1</v>
      </c>
      <c r="O260" s="48">
        <v>0.02</v>
      </c>
      <c r="P260" s="48" t="s">
        <v>39</v>
      </c>
      <c r="Q260" s="48">
        <v>0.05</v>
      </c>
      <c r="R260" s="48">
        <v>0.1</v>
      </c>
      <c r="S260" s="48">
        <v>0.1</v>
      </c>
      <c r="T260" s="48">
        <v>0.02</v>
      </c>
      <c r="U260" s="48"/>
      <c r="X260"/>
      <c r="Y260"/>
      <c r="Z260"/>
      <c r="AA260" s="19"/>
      <c r="AB260" s="19"/>
      <c r="AC260" s="19"/>
      <c r="AG260" s="239"/>
    </row>
    <row r="261" spans="1:33" s="2" customFormat="1" ht="9" customHeight="1">
      <c r="A261" s="95" t="s">
        <v>688</v>
      </c>
      <c r="B261" s="238"/>
      <c r="C261" s="94" t="s">
        <v>4859</v>
      </c>
      <c r="D261" s="94" t="s">
        <v>5385</v>
      </c>
      <c r="E261" s="94" t="s">
        <v>4859</v>
      </c>
      <c r="F261" s="94" t="s">
        <v>5988</v>
      </c>
      <c r="G261" s="94" t="s">
        <v>5987</v>
      </c>
      <c r="H261" s="94" t="s">
        <v>5986</v>
      </c>
      <c r="I261" s="94" t="s">
        <v>4950</v>
      </c>
      <c r="J261" s="94" t="s">
        <v>5162</v>
      </c>
      <c r="K261" s="94" t="s">
        <v>4859</v>
      </c>
      <c r="L261" s="94" t="s">
        <v>6130</v>
      </c>
      <c r="M261" s="94" t="s">
        <v>6130</v>
      </c>
      <c r="N261" s="94" t="s">
        <v>6349</v>
      </c>
      <c r="O261" s="94" t="s">
        <v>6130</v>
      </c>
      <c r="P261" s="94" t="s">
        <v>39</v>
      </c>
      <c r="Q261" s="94" t="s">
        <v>5466</v>
      </c>
      <c r="R261" s="94" t="s">
        <v>5558</v>
      </c>
      <c r="S261" s="94" t="s">
        <v>5558</v>
      </c>
      <c r="T261" s="94" t="s">
        <v>5466</v>
      </c>
      <c r="U261" s="94"/>
      <c r="Z261"/>
      <c r="AA261" s="19"/>
      <c r="AB261" s="19"/>
      <c r="AC261" s="19"/>
      <c r="AG261" s="239"/>
    </row>
    <row r="262" spans="1:33" s="2" customFormat="1" ht="30" customHeight="1">
      <c r="A262" s="53" t="s">
        <v>5130</v>
      </c>
      <c r="B262" s="211" t="s">
        <v>4948</v>
      </c>
      <c r="C262" s="48">
        <v>0.6</v>
      </c>
      <c r="D262" s="48" t="s">
        <v>5409</v>
      </c>
      <c r="E262" s="48">
        <v>0.5</v>
      </c>
      <c r="F262" s="48">
        <v>0.6</v>
      </c>
      <c r="G262" s="48" t="s">
        <v>5644</v>
      </c>
      <c r="H262" s="48">
        <v>0.7</v>
      </c>
      <c r="I262" s="48">
        <v>0.6</v>
      </c>
      <c r="J262" s="48">
        <v>0.8</v>
      </c>
      <c r="K262" s="48">
        <v>0.55000000000000004</v>
      </c>
      <c r="L262" s="48">
        <v>0.7</v>
      </c>
      <c r="M262" s="48">
        <v>0.75</v>
      </c>
      <c r="N262" s="48">
        <v>0.8</v>
      </c>
      <c r="O262" s="48" t="s">
        <v>6128</v>
      </c>
      <c r="P262" s="48" t="s">
        <v>39</v>
      </c>
      <c r="Q262" s="48" t="s">
        <v>5468</v>
      </c>
      <c r="R262" s="48" t="s">
        <v>5560</v>
      </c>
      <c r="S262" s="48" t="s">
        <v>5609</v>
      </c>
      <c r="T262" s="48" t="s">
        <v>5644</v>
      </c>
      <c r="U262" s="48"/>
      <c r="X262"/>
      <c r="Y262"/>
      <c r="Z262"/>
      <c r="AA262" s="19"/>
      <c r="AB262" s="19"/>
      <c r="AC262" s="19"/>
      <c r="AG262" s="239"/>
    </row>
    <row r="263" spans="1:33" s="2" customFormat="1" ht="9" customHeight="1">
      <c r="A263" s="95" t="s">
        <v>688</v>
      </c>
      <c r="B263" s="238"/>
      <c r="C263" s="94" t="s">
        <v>4859</v>
      </c>
      <c r="D263" s="94" t="s">
        <v>5384</v>
      </c>
      <c r="E263" s="94" t="s">
        <v>4859</v>
      </c>
      <c r="F263" s="94" t="s">
        <v>5988</v>
      </c>
      <c r="G263" s="94" t="s">
        <v>5987</v>
      </c>
      <c r="H263" s="94" t="s">
        <v>5986</v>
      </c>
      <c r="I263" s="94" t="s">
        <v>4950</v>
      </c>
      <c r="J263" s="94" t="s">
        <v>5162</v>
      </c>
      <c r="K263" s="94" t="s">
        <v>4859</v>
      </c>
      <c r="L263" s="94" t="s">
        <v>6130</v>
      </c>
      <c r="M263" s="94" t="s">
        <v>6130</v>
      </c>
      <c r="N263" s="94" t="s">
        <v>6349</v>
      </c>
      <c r="O263" s="94" t="s">
        <v>6130</v>
      </c>
      <c r="P263" s="94" t="s">
        <v>39</v>
      </c>
      <c r="Q263" s="94" t="s">
        <v>5466</v>
      </c>
      <c r="R263" s="94" t="s">
        <v>5558</v>
      </c>
      <c r="S263" s="94" t="s">
        <v>5558</v>
      </c>
      <c r="T263" s="94" t="s">
        <v>5466</v>
      </c>
      <c r="U263" s="94"/>
      <c r="X263"/>
      <c r="Y263"/>
      <c r="Z263"/>
      <c r="AA263" s="226"/>
      <c r="AB263" s="19"/>
      <c r="AC263" s="19"/>
      <c r="AG263" s="239"/>
    </row>
    <row r="264" spans="1:33" s="2" customFormat="1" ht="30" customHeight="1">
      <c r="A264" s="53" t="s">
        <v>5410</v>
      </c>
      <c r="B264" s="211"/>
      <c r="C264" s="48" t="s">
        <v>5412</v>
      </c>
      <c r="D264" s="48" t="s">
        <v>5413</v>
      </c>
      <c r="E264" s="48" t="s">
        <v>5411</v>
      </c>
      <c r="F264" s="48" t="s">
        <v>5755</v>
      </c>
      <c r="G264" s="48" t="s">
        <v>5687</v>
      </c>
      <c r="H264" s="48" t="s">
        <v>5412</v>
      </c>
      <c r="I264" s="48">
        <v>0.45</v>
      </c>
      <c r="J264" s="48" t="s">
        <v>5129</v>
      </c>
      <c r="K264" s="48">
        <v>0.35</v>
      </c>
      <c r="L264" s="48" t="s">
        <v>6283</v>
      </c>
      <c r="M264" s="48" t="s">
        <v>6126</v>
      </c>
      <c r="N264" s="48" t="s">
        <v>6350</v>
      </c>
      <c r="O264" s="48" t="s">
        <v>6129</v>
      </c>
      <c r="P264" s="48" t="s">
        <v>39</v>
      </c>
      <c r="Q264" s="48">
        <v>0.4</v>
      </c>
      <c r="R264" s="48" t="s">
        <v>5561</v>
      </c>
      <c r="S264" s="48" t="s">
        <v>5610</v>
      </c>
      <c r="T264" s="48">
        <v>0.4</v>
      </c>
      <c r="U264" s="48"/>
      <c r="X264"/>
      <c r="Y264"/>
      <c r="Z264"/>
      <c r="AA264" s="19"/>
      <c r="AB264" s="19"/>
      <c r="AC264" s="19"/>
      <c r="AG264" s="239"/>
    </row>
    <row r="265" spans="1:33" s="2" customFormat="1" ht="9" customHeight="1">
      <c r="A265" s="95" t="s">
        <v>688</v>
      </c>
      <c r="B265" s="238"/>
      <c r="C265" s="94" t="s">
        <v>4859</v>
      </c>
      <c r="D265" s="94" t="s">
        <v>5384</v>
      </c>
      <c r="E265" s="94" t="s">
        <v>4859</v>
      </c>
      <c r="F265" s="94" t="s">
        <v>5988</v>
      </c>
      <c r="G265" s="94" t="s">
        <v>5987</v>
      </c>
      <c r="H265" s="94" t="s">
        <v>5986</v>
      </c>
      <c r="I265" s="94" t="s">
        <v>4950</v>
      </c>
      <c r="J265" s="94" t="s">
        <v>5162</v>
      </c>
      <c r="K265" s="94" t="s">
        <v>4859</v>
      </c>
      <c r="L265" s="94" t="s">
        <v>6130</v>
      </c>
      <c r="M265" s="94" t="s">
        <v>6130</v>
      </c>
      <c r="N265" s="94" t="s">
        <v>6349</v>
      </c>
      <c r="O265" s="94" t="s">
        <v>6130</v>
      </c>
      <c r="P265" s="94" t="s">
        <v>39</v>
      </c>
      <c r="Q265" s="94" t="s">
        <v>5466</v>
      </c>
      <c r="R265" s="94" t="s">
        <v>5558</v>
      </c>
      <c r="S265" s="94" t="s">
        <v>5558</v>
      </c>
      <c r="T265" s="94" t="s">
        <v>5466</v>
      </c>
      <c r="U265" s="94"/>
      <c r="X265"/>
      <c r="Y265"/>
      <c r="Z265"/>
      <c r="AA265" s="19"/>
      <c r="AB265" s="19"/>
      <c r="AC265" s="19"/>
      <c r="AG265" s="239"/>
    </row>
    <row r="266" spans="1:33" s="2" customFormat="1" ht="30" customHeight="1">
      <c r="A266" s="53" t="s">
        <v>20</v>
      </c>
      <c r="B266" s="211"/>
      <c r="C266" s="48">
        <v>0.2</v>
      </c>
      <c r="D266" s="48" t="s">
        <v>5401</v>
      </c>
      <c r="E266" s="48">
        <v>0.1</v>
      </c>
      <c r="F266" s="48">
        <v>0.2</v>
      </c>
      <c r="G266" s="48">
        <v>0.1</v>
      </c>
      <c r="H266" s="48">
        <v>0.25</v>
      </c>
      <c r="I266" s="48">
        <v>0.2</v>
      </c>
      <c r="J266" s="48">
        <v>0.2</v>
      </c>
      <c r="K266" s="118">
        <v>0.125</v>
      </c>
      <c r="L266" s="48">
        <v>0.15</v>
      </c>
      <c r="M266" s="48">
        <v>0.2</v>
      </c>
      <c r="N266" s="48">
        <v>0.2</v>
      </c>
      <c r="O266" s="48">
        <v>0.2</v>
      </c>
      <c r="P266" s="48" t="s">
        <v>39</v>
      </c>
      <c r="Q266" s="48">
        <v>0.1</v>
      </c>
      <c r="R266" s="48">
        <v>0.2</v>
      </c>
      <c r="S266" s="48">
        <v>0.2</v>
      </c>
      <c r="T266" s="48">
        <v>0.1</v>
      </c>
      <c r="U266" s="48"/>
      <c r="X266"/>
      <c r="Y266"/>
      <c r="Z266"/>
      <c r="AA266" s="19"/>
      <c r="AB266" s="19"/>
      <c r="AC266" s="19"/>
      <c r="AG266" s="239"/>
    </row>
    <row r="267" spans="1:33" s="2" customFormat="1" ht="9" customHeight="1">
      <c r="A267" s="95" t="s">
        <v>688</v>
      </c>
      <c r="B267" s="238"/>
      <c r="C267" s="94" t="s">
        <v>4859</v>
      </c>
      <c r="D267" s="94" t="s">
        <v>5384</v>
      </c>
      <c r="E267" s="94" t="s">
        <v>4859</v>
      </c>
      <c r="F267" s="94" t="s">
        <v>5988</v>
      </c>
      <c r="G267" s="94" t="s">
        <v>5987</v>
      </c>
      <c r="H267" s="94" t="s">
        <v>5986</v>
      </c>
      <c r="I267" s="94" t="s">
        <v>4950</v>
      </c>
      <c r="J267" s="94" t="s">
        <v>5162</v>
      </c>
      <c r="K267" s="94" t="s">
        <v>4859</v>
      </c>
      <c r="L267" s="94" t="s">
        <v>6130</v>
      </c>
      <c r="M267" s="94" t="s">
        <v>6130</v>
      </c>
      <c r="N267" s="94" t="s">
        <v>6349</v>
      </c>
      <c r="O267" s="94" t="s">
        <v>6130</v>
      </c>
      <c r="P267" s="94" t="s">
        <v>39</v>
      </c>
      <c r="Q267" s="94" t="s">
        <v>5466</v>
      </c>
      <c r="R267" s="94" t="s">
        <v>5558</v>
      </c>
      <c r="S267" s="94" t="s">
        <v>5558</v>
      </c>
      <c r="T267" s="94" t="s">
        <v>5466</v>
      </c>
      <c r="U267" s="94"/>
      <c r="X267"/>
      <c r="Y267"/>
      <c r="Z267"/>
      <c r="AA267" s="19"/>
      <c r="AB267" s="19"/>
      <c r="AC267" s="19"/>
      <c r="AG267" s="239"/>
    </row>
    <row r="268" spans="1:33" s="2" customFormat="1" ht="30" customHeight="1">
      <c r="A268" s="53" t="s">
        <v>21</v>
      </c>
      <c r="B268" s="211"/>
      <c r="C268" s="48">
        <v>0.2</v>
      </c>
      <c r="D268" s="48" t="s">
        <v>5401</v>
      </c>
      <c r="E268" s="118">
        <v>0.05</v>
      </c>
      <c r="F268" s="48">
        <v>0.2</v>
      </c>
      <c r="G268" s="48">
        <v>0.1</v>
      </c>
      <c r="H268" s="48">
        <v>0.25</v>
      </c>
      <c r="I268" s="48">
        <v>0.2</v>
      </c>
      <c r="J268" s="48">
        <v>0.2</v>
      </c>
      <c r="K268" s="118">
        <v>7.4999999999999997E-2</v>
      </c>
      <c r="L268" s="48">
        <v>0.1</v>
      </c>
      <c r="M268" s="48">
        <v>0.2</v>
      </c>
      <c r="N268" s="48">
        <v>0.2</v>
      </c>
      <c r="O268" s="48">
        <v>0.2</v>
      </c>
      <c r="P268" s="48" t="s">
        <v>39</v>
      </c>
      <c r="Q268" s="48">
        <v>0.1</v>
      </c>
      <c r="R268" s="48">
        <v>0.2</v>
      </c>
      <c r="S268" s="48">
        <v>0.2</v>
      </c>
      <c r="T268" s="48">
        <v>0.05</v>
      </c>
      <c r="U268" s="48"/>
      <c r="X268"/>
      <c r="Y268"/>
      <c r="Z268"/>
      <c r="AA268" s="19"/>
      <c r="AB268" s="19"/>
      <c r="AC268" s="19"/>
      <c r="AG268" s="239"/>
    </row>
    <row r="269" spans="1:33" s="2" customFormat="1" ht="9" customHeight="1">
      <c r="A269" s="95" t="s">
        <v>688</v>
      </c>
      <c r="B269" s="238"/>
      <c r="C269" s="94" t="s">
        <v>4859</v>
      </c>
      <c r="D269" s="94" t="s">
        <v>5384</v>
      </c>
      <c r="E269" s="94" t="s">
        <v>4859</v>
      </c>
      <c r="F269" s="94" t="s">
        <v>5988</v>
      </c>
      <c r="G269" s="94" t="s">
        <v>5987</v>
      </c>
      <c r="H269" s="94" t="s">
        <v>5986</v>
      </c>
      <c r="I269" s="94" t="s">
        <v>4950</v>
      </c>
      <c r="J269" s="94" t="s">
        <v>5162</v>
      </c>
      <c r="K269" s="94" t="s">
        <v>4859</v>
      </c>
      <c r="L269" s="94" t="s">
        <v>6130</v>
      </c>
      <c r="M269" s="94" t="s">
        <v>6130</v>
      </c>
      <c r="N269" s="94" t="s">
        <v>6349</v>
      </c>
      <c r="O269" s="94" t="s">
        <v>6130</v>
      </c>
      <c r="P269" s="94" t="s">
        <v>39</v>
      </c>
      <c r="Q269" s="94" t="s">
        <v>5466</v>
      </c>
      <c r="R269" s="94" t="s">
        <v>5558</v>
      </c>
      <c r="S269" s="94" t="s">
        <v>5558</v>
      </c>
      <c r="T269" s="94" t="s">
        <v>5466</v>
      </c>
      <c r="U269" s="94"/>
      <c r="X269"/>
      <c r="Y269"/>
      <c r="Z269"/>
      <c r="AA269" s="19"/>
      <c r="AB269" s="19"/>
      <c r="AC269" s="19"/>
      <c r="AG269" s="239"/>
    </row>
    <row r="270" spans="1:33" s="2" customFormat="1" ht="30" customHeight="1">
      <c r="A270" s="53" t="s">
        <v>28</v>
      </c>
      <c r="B270" s="211"/>
      <c r="C270" s="48">
        <v>1</v>
      </c>
      <c r="D270" s="48">
        <v>1</v>
      </c>
      <c r="E270" s="48" t="s">
        <v>4861</v>
      </c>
      <c r="F270" s="48">
        <v>1</v>
      </c>
      <c r="G270" s="48">
        <v>1</v>
      </c>
      <c r="H270" s="48">
        <v>1</v>
      </c>
      <c r="I270" s="48" t="s">
        <v>4945</v>
      </c>
      <c r="J270" s="48" t="s">
        <v>4945</v>
      </c>
      <c r="K270" s="48" t="s">
        <v>4861</v>
      </c>
      <c r="L270" s="48">
        <v>1</v>
      </c>
      <c r="M270" s="48">
        <v>1</v>
      </c>
      <c r="N270" s="48">
        <v>1</v>
      </c>
      <c r="O270" s="48">
        <v>1</v>
      </c>
      <c r="P270" s="48" t="s">
        <v>39</v>
      </c>
      <c r="Q270" s="48">
        <v>1</v>
      </c>
      <c r="R270" s="48">
        <v>1</v>
      </c>
      <c r="S270" s="48">
        <v>1</v>
      </c>
      <c r="T270" s="48" t="s">
        <v>4861</v>
      </c>
      <c r="U270" s="48"/>
      <c r="X270"/>
      <c r="Y270"/>
      <c r="Z270"/>
      <c r="AA270" s="19"/>
      <c r="AB270" s="19"/>
      <c r="AC270" s="19"/>
      <c r="AG270" s="239"/>
    </row>
    <row r="271" spans="1:33" s="2" customFormat="1" ht="9" customHeight="1">
      <c r="A271" s="95" t="s">
        <v>688</v>
      </c>
      <c r="B271" s="238"/>
      <c r="C271" s="94" t="s">
        <v>4859</v>
      </c>
      <c r="D271" s="94" t="s">
        <v>5385</v>
      </c>
      <c r="E271" s="94" t="s">
        <v>4860</v>
      </c>
      <c r="F271" s="94" t="s">
        <v>5988</v>
      </c>
      <c r="G271" s="94" t="s">
        <v>5987</v>
      </c>
      <c r="H271" s="94" t="s">
        <v>5986</v>
      </c>
      <c r="I271" s="94" t="s">
        <v>4950</v>
      </c>
      <c r="J271" s="94" t="s">
        <v>5162</v>
      </c>
      <c r="K271" s="94" t="s">
        <v>4860</v>
      </c>
      <c r="L271" s="94" t="s">
        <v>6130</v>
      </c>
      <c r="M271" s="94" t="s">
        <v>6130</v>
      </c>
      <c r="N271" s="94" t="s">
        <v>6349</v>
      </c>
      <c r="O271" s="94" t="s">
        <v>6130</v>
      </c>
      <c r="P271" s="94" t="s">
        <v>39</v>
      </c>
      <c r="Q271" s="94" t="s">
        <v>5466</v>
      </c>
      <c r="R271" s="94" t="s">
        <v>5558</v>
      </c>
      <c r="S271" s="94" t="s">
        <v>5558</v>
      </c>
      <c r="T271" s="94" t="s">
        <v>5466</v>
      </c>
      <c r="U271" s="94"/>
      <c r="X271"/>
      <c r="Y271"/>
      <c r="Z271"/>
      <c r="AA271" s="19"/>
      <c r="AB271" s="19"/>
      <c r="AC271" s="19"/>
      <c r="AG271" s="239"/>
    </row>
    <row r="272" spans="1:33" s="2" customFormat="1" ht="30" customHeight="1">
      <c r="A272" s="53" t="s">
        <v>110</v>
      </c>
      <c r="B272" s="211" t="s">
        <v>4949</v>
      </c>
      <c r="C272" s="48">
        <v>0.25</v>
      </c>
      <c r="D272" s="48">
        <v>0.25</v>
      </c>
      <c r="E272" s="48">
        <v>0.2</v>
      </c>
      <c r="F272" s="48">
        <v>0.25</v>
      </c>
      <c r="G272" s="48">
        <v>0.2</v>
      </c>
      <c r="H272" s="48">
        <v>0.3</v>
      </c>
      <c r="I272" s="48">
        <v>0.25</v>
      </c>
      <c r="J272" s="48">
        <v>0.25</v>
      </c>
      <c r="K272" s="48" t="s">
        <v>4861</v>
      </c>
      <c r="L272" s="48">
        <v>0.25</v>
      </c>
      <c r="M272" s="48">
        <v>0.25</v>
      </c>
      <c r="N272" s="48">
        <v>0.25</v>
      </c>
      <c r="O272" s="48" t="s">
        <v>4861</v>
      </c>
      <c r="P272" s="48" t="s">
        <v>39</v>
      </c>
      <c r="Q272" s="48" t="s">
        <v>4861</v>
      </c>
      <c r="R272" s="48">
        <v>0.25</v>
      </c>
      <c r="S272" s="48">
        <v>0.25</v>
      </c>
      <c r="T272" s="48" t="s">
        <v>4861</v>
      </c>
      <c r="U272" s="48"/>
      <c r="X272"/>
      <c r="Y272"/>
      <c r="Z272"/>
      <c r="AA272" s="19"/>
      <c r="AB272" s="19"/>
      <c r="AC272" s="19"/>
      <c r="AG272" s="239"/>
    </row>
    <row r="273" spans="1:33" s="2" customFormat="1" ht="9" customHeight="1">
      <c r="A273" s="95" t="s">
        <v>688</v>
      </c>
      <c r="B273" s="238"/>
      <c r="C273" s="94" t="s">
        <v>4859</v>
      </c>
      <c r="D273" s="94" t="s">
        <v>5385</v>
      </c>
      <c r="E273" s="94" t="s">
        <v>4859</v>
      </c>
      <c r="F273" s="94" t="s">
        <v>5988</v>
      </c>
      <c r="G273" s="94" t="s">
        <v>5987</v>
      </c>
      <c r="H273" s="94" t="s">
        <v>5986</v>
      </c>
      <c r="I273" s="94" t="s">
        <v>4950</v>
      </c>
      <c r="J273" s="94" t="s">
        <v>5162</v>
      </c>
      <c r="K273" s="94" t="s">
        <v>4860</v>
      </c>
      <c r="L273" s="94" t="s">
        <v>6130</v>
      </c>
      <c r="M273" s="94" t="s">
        <v>6130</v>
      </c>
      <c r="N273" s="94" t="s">
        <v>6349</v>
      </c>
      <c r="O273" s="94" t="s">
        <v>6130</v>
      </c>
      <c r="P273" s="94" t="s">
        <v>39</v>
      </c>
      <c r="Q273" s="94" t="s">
        <v>5466</v>
      </c>
      <c r="R273" s="94" t="s">
        <v>5558</v>
      </c>
      <c r="S273" s="94" t="s">
        <v>5558</v>
      </c>
      <c r="T273" s="94" t="s">
        <v>5466</v>
      </c>
      <c r="U273" s="94"/>
      <c r="X273"/>
      <c r="Y273"/>
      <c r="Z273"/>
      <c r="AA273" s="19"/>
      <c r="AB273" s="19"/>
      <c r="AC273" s="19"/>
      <c r="AG273" s="239"/>
    </row>
    <row r="274" spans="1:33" s="2" customFormat="1" ht="30" customHeight="1">
      <c r="A274" s="53" t="s">
        <v>4946</v>
      </c>
      <c r="B274" s="211" t="s">
        <v>4949</v>
      </c>
      <c r="C274" s="48">
        <v>1</v>
      </c>
      <c r="D274" s="48">
        <v>1</v>
      </c>
      <c r="E274" s="48">
        <v>1</v>
      </c>
      <c r="F274" s="48">
        <v>1</v>
      </c>
      <c r="G274" s="48">
        <v>1</v>
      </c>
      <c r="H274" s="48">
        <v>1</v>
      </c>
      <c r="I274" s="48">
        <v>1</v>
      </c>
      <c r="J274" s="48">
        <v>1</v>
      </c>
      <c r="K274" s="48" t="s">
        <v>4861</v>
      </c>
      <c r="L274" s="48">
        <v>1</v>
      </c>
      <c r="M274" s="48">
        <v>1</v>
      </c>
      <c r="N274" s="48">
        <v>1</v>
      </c>
      <c r="O274" s="48" t="s">
        <v>4861</v>
      </c>
      <c r="P274" s="48" t="s">
        <v>39</v>
      </c>
      <c r="Q274" s="48" t="s">
        <v>4861</v>
      </c>
      <c r="R274" s="48">
        <v>1</v>
      </c>
      <c r="S274" s="48">
        <v>1</v>
      </c>
      <c r="T274" s="48" t="s">
        <v>4861</v>
      </c>
      <c r="U274" s="48"/>
      <c r="X274"/>
      <c r="Y274"/>
      <c r="Z274"/>
      <c r="AA274" s="19"/>
      <c r="AB274" s="19"/>
      <c r="AC274" s="19"/>
      <c r="AG274" s="239"/>
    </row>
    <row r="275" spans="1:33" s="2" customFormat="1" ht="9" customHeight="1">
      <c r="A275" s="95" t="s">
        <v>688</v>
      </c>
      <c r="B275" s="238"/>
      <c r="C275" s="94" t="s">
        <v>4859</v>
      </c>
      <c r="D275" s="94" t="s">
        <v>5385</v>
      </c>
      <c r="E275" s="94" t="s">
        <v>4859</v>
      </c>
      <c r="F275" s="94" t="s">
        <v>5988</v>
      </c>
      <c r="G275" s="94" t="s">
        <v>5987</v>
      </c>
      <c r="H275" s="94" t="s">
        <v>5986</v>
      </c>
      <c r="I275" s="94" t="s">
        <v>4950</v>
      </c>
      <c r="J275" s="94" t="s">
        <v>5162</v>
      </c>
      <c r="K275" s="94" t="s">
        <v>4860</v>
      </c>
      <c r="L275" s="94" t="s">
        <v>6130</v>
      </c>
      <c r="M275" s="94" t="s">
        <v>6130</v>
      </c>
      <c r="N275" s="94" t="s">
        <v>6349</v>
      </c>
      <c r="O275" s="94" t="s">
        <v>6130</v>
      </c>
      <c r="P275" s="94" t="s">
        <v>39</v>
      </c>
      <c r="Q275" s="94" t="s">
        <v>5466</v>
      </c>
      <c r="R275" s="94" t="s">
        <v>5558</v>
      </c>
      <c r="S275" s="94" t="s">
        <v>5558</v>
      </c>
      <c r="T275" s="94" t="s">
        <v>5466</v>
      </c>
      <c r="U275" s="94"/>
      <c r="X275"/>
      <c r="Y275"/>
      <c r="Z275"/>
      <c r="AA275" s="19"/>
      <c r="AB275" s="19"/>
      <c r="AC275" s="19"/>
      <c r="AG275" s="239"/>
    </row>
    <row r="276" spans="1:33" s="2" customFormat="1" ht="30" customHeight="1">
      <c r="A276" s="53" t="s">
        <v>112</v>
      </c>
      <c r="B276" s="211" t="s">
        <v>4949</v>
      </c>
      <c r="C276" s="48" t="s">
        <v>5311</v>
      </c>
      <c r="D276" s="48" t="s">
        <v>5311</v>
      </c>
      <c r="E276" s="48" t="s">
        <v>4861</v>
      </c>
      <c r="F276" s="48" t="s">
        <v>5688</v>
      </c>
      <c r="G276" s="48" t="s">
        <v>5688</v>
      </c>
      <c r="H276" s="48" t="s">
        <v>5990</v>
      </c>
      <c r="I276" s="48" t="s">
        <v>4947</v>
      </c>
      <c r="J276" s="48" t="s">
        <v>4947</v>
      </c>
      <c r="K276" s="48" t="s">
        <v>4861</v>
      </c>
      <c r="L276" s="48" t="s">
        <v>5311</v>
      </c>
      <c r="M276" s="48" t="s">
        <v>5311</v>
      </c>
      <c r="N276" s="48">
        <v>0.1</v>
      </c>
      <c r="O276" s="48" t="s">
        <v>4861</v>
      </c>
      <c r="P276" s="48" t="s">
        <v>39</v>
      </c>
      <c r="Q276" s="48" t="s">
        <v>4861</v>
      </c>
      <c r="R276" s="48">
        <v>0.1</v>
      </c>
      <c r="S276" s="48">
        <v>0.1</v>
      </c>
      <c r="T276" s="48" t="s">
        <v>4861</v>
      </c>
      <c r="U276" s="48"/>
      <c r="X276"/>
      <c r="Y276"/>
      <c r="Z276"/>
      <c r="AA276" s="19"/>
      <c r="AB276" s="19"/>
      <c r="AC276" s="19"/>
      <c r="AG276" s="239"/>
    </row>
    <row r="277" spans="1:33" s="2" customFormat="1" ht="9" customHeight="1">
      <c r="A277" s="95" t="s">
        <v>688</v>
      </c>
      <c r="B277" s="238"/>
      <c r="C277" s="94" t="s">
        <v>4859</v>
      </c>
      <c r="D277" s="94" t="s">
        <v>5385</v>
      </c>
      <c r="E277" s="94" t="s">
        <v>4860</v>
      </c>
      <c r="F277" s="94" t="s">
        <v>5988</v>
      </c>
      <c r="G277" s="94" t="s">
        <v>5987</v>
      </c>
      <c r="H277" s="94" t="s">
        <v>5986</v>
      </c>
      <c r="I277" s="94" t="s">
        <v>4950</v>
      </c>
      <c r="J277" s="94" t="s">
        <v>5162</v>
      </c>
      <c r="K277" s="94" t="s">
        <v>4860</v>
      </c>
      <c r="L277" s="94" t="s">
        <v>6130</v>
      </c>
      <c r="M277" s="94" t="s">
        <v>6130</v>
      </c>
      <c r="N277" s="94" t="s">
        <v>6349</v>
      </c>
      <c r="O277" s="94" t="s">
        <v>6130</v>
      </c>
      <c r="P277" s="94" t="s">
        <v>39</v>
      </c>
      <c r="Q277" s="94" t="s">
        <v>5466</v>
      </c>
      <c r="R277" s="94" t="s">
        <v>5558</v>
      </c>
      <c r="S277" s="94" t="s">
        <v>5558</v>
      </c>
      <c r="T277" s="94" t="s">
        <v>5466</v>
      </c>
      <c r="U277" s="94"/>
      <c r="X277"/>
      <c r="Y277"/>
      <c r="Z277"/>
      <c r="AA277" s="19"/>
      <c r="AB277" s="19"/>
      <c r="AC277" s="19"/>
      <c r="AG277" s="239"/>
    </row>
    <row r="278" spans="1:33" s="2" customFormat="1" ht="30" customHeight="1">
      <c r="A278" s="53" t="s">
        <v>114</v>
      </c>
      <c r="B278" s="211" t="s">
        <v>4949</v>
      </c>
      <c r="C278" s="48">
        <v>0.1</v>
      </c>
      <c r="D278" s="48">
        <v>0.1</v>
      </c>
      <c r="E278" s="48" t="s">
        <v>4861</v>
      </c>
      <c r="F278" s="48">
        <v>0.1</v>
      </c>
      <c r="G278" s="48">
        <v>0.1</v>
      </c>
      <c r="H278" s="48">
        <v>0.2</v>
      </c>
      <c r="I278" s="48">
        <v>0.1</v>
      </c>
      <c r="J278" s="48">
        <v>0.1</v>
      </c>
      <c r="K278" s="48" t="s">
        <v>4861</v>
      </c>
      <c r="L278" s="48">
        <v>0.1</v>
      </c>
      <c r="M278" s="48">
        <v>0.1</v>
      </c>
      <c r="N278" s="48">
        <v>0.1</v>
      </c>
      <c r="O278" s="48" t="s">
        <v>4861</v>
      </c>
      <c r="P278" s="48" t="s">
        <v>39</v>
      </c>
      <c r="Q278" s="48" t="s">
        <v>4861</v>
      </c>
      <c r="R278" s="48">
        <v>0.1</v>
      </c>
      <c r="S278" s="48">
        <v>0.1</v>
      </c>
      <c r="T278" s="48" t="s">
        <v>4861</v>
      </c>
      <c r="U278" s="48"/>
      <c r="X278"/>
      <c r="Y278"/>
      <c r="Z278"/>
      <c r="AA278" s="14"/>
      <c r="AB278" s="19"/>
      <c r="AC278" s="19"/>
      <c r="AG278" s="239"/>
    </row>
    <row r="279" spans="1:33" s="2" customFormat="1" ht="9" customHeight="1">
      <c r="A279" s="95" t="s">
        <v>688</v>
      </c>
      <c r="B279" s="238"/>
      <c r="C279" s="94" t="s">
        <v>4859</v>
      </c>
      <c r="D279" s="94" t="s">
        <v>5385</v>
      </c>
      <c r="E279" s="94" t="s">
        <v>4860</v>
      </c>
      <c r="F279" s="94" t="s">
        <v>5988</v>
      </c>
      <c r="G279" s="94" t="s">
        <v>5987</v>
      </c>
      <c r="H279" s="94" t="s">
        <v>5986</v>
      </c>
      <c r="I279" s="94" t="s">
        <v>4950</v>
      </c>
      <c r="J279" s="94" t="s">
        <v>5162</v>
      </c>
      <c r="K279" s="94" t="s">
        <v>4860</v>
      </c>
      <c r="L279" s="94" t="s">
        <v>6130</v>
      </c>
      <c r="M279" s="94" t="s">
        <v>6130</v>
      </c>
      <c r="N279" s="94" t="s">
        <v>6349</v>
      </c>
      <c r="O279" s="94" t="s">
        <v>6130</v>
      </c>
      <c r="P279" s="94" t="s">
        <v>39</v>
      </c>
      <c r="Q279" s="94" t="s">
        <v>5466</v>
      </c>
      <c r="R279" s="94" t="s">
        <v>5558</v>
      </c>
      <c r="S279" s="94" t="s">
        <v>5558</v>
      </c>
      <c r="T279" s="94" t="s">
        <v>5466</v>
      </c>
      <c r="U279" s="94"/>
      <c r="X279"/>
      <c r="Y279"/>
      <c r="Z279"/>
      <c r="AA279" s="19"/>
      <c r="AB279" s="19"/>
      <c r="AC279" s="19"/>
      <c r="AG279" s="239"/>
    </row>
    <row r="280" spans="1:33" s="2" customFormat="1" ht="30" customHeight="1">
      <c r="A280" s="53" t="s">
        <v>115</v>
      </c>
      <c r="B280" s="211" t="s">
        <v>4949</v>
      </c>
      <c r="C280" s="48">
        <v>0.2</v>
      </c>
      <c r="D280" s="48">
        <v>0.2</v>
      </c>
      <c r="E280" s="48" t="s">
        <v>4861</v>
      </c>
      <c r="F280" s="48">
        <v>0.2</v>
      </c>
      <c r="G280" s="48">
        <v>0.2</v>
      </c>
      <c r="H280" s="48">
        <v>0.3</v>
      </c>
      <c r="I280" s="48">
        <v>0.2</v>
      </c>
      <c r="J280" s="48">
        <v>0.2</v>
      </c>
      <c r="K280" s="48" t="s">
        <v>4861</v>
      </c>
      <c r="L280" s="48">
        <v>0.2</v>
      </c>
      <c r="M280" s="48">
        <v>0.2</v>
      </c>
      <c r="N280" s="48">
        <v>0.2</v>
      </c>
      <c r="O280" s="48" t="s">
        <v>4861</v>
      </c>
      <c r="P280" s="48" t="s">
        <v>39</v>
      </c>
      <c r="Q280" s="48" t="s">
        <v>4861</v>
      </c>
      <c r="R280" s="48">
        <v>0.2</v>
      </c>
      <c r="S280" s="48">
        <v>0.2</v>
      </c>
      <c r="T280" s="48" t="s">
        <v>4861</v>
      </c>
      <c r="U280" s="48"/>
      <c r="X280"/>
      <c r="Y280"/>
      <c r="Z280"/>
      <c r="AA280" s="14"/>
      <c r="AB280" s="19"/>
      <c r="AC280" s="19"/>
      <c r="AG280" s="239"/>
    </row>
    <row r="281" spans="1:33" s="2" customFormat="1" ht="9" customHeight="1">
      <c r="A281" s="95" t="s">
        <v>688</v>
      </c>
      <c r="B281" s="238"/>
      <c r="C281" s="94" t="s">
        <v>4859</v>
      </c>
      <c r="D281" s="94" t="s">
        <v>5385</v>
      </c>
      <c r="E281" s="94" t="s">
        <v>4860</v>
      </c>
      <c r="F281" s="94" t="s">
        <v>5988</v>
      </c>
      <c r="G281" s="94" t="s">
        <v>5987</v>
      </c>
      <c r="H281" s="94" t="s">
        <v>5986</v>
      </c>
      <c r="I281" s="94" t="s">
        <v>4950</v>
      </c>
      <c r="J281" s="94" t="s">
        <v>5162</v>
      </c>
      <c r="K281" s="94" t="s">
        <v>4860</v>
      </c>
      <c r="L281" s="94" t="s">
        <v>6130</v>
      </c>
      <c r="M281" s="94" t="s">
        <v>6130</v>
      </c>
      <c r="N281" s="94" t="s">
        <v>6349</v>
      </c>
      <c r="O281" s="94" t="s">
        <v>6130</v>
      </c>
      <c r="P281" s="94" t="s">
        <v>39</v>
      </c>
      <c r="Q281" s="94" t="s">
        <v>5466</v>
      </c>
      <c r="R281" s="94" t="s">
        <v>5558</v>
      </c>
      <c r="S281" s="94" t="s">
        <v>5558</v>
      </c>
      <c r="T281" s="94" t="s">
        <v>5466</v>
      </c>
      <c r="U281" s="94"/>
      <c r="X281"/>
      <c r="Y281"/>
      <c r="Z281"/>
      <c r="AA281" s="19"/>
      <c r="AB281" s="19"/>
      <c r="AC281" s="19"/>
      <c r="AG281" s="239"/>
    </row>
    <row r="282" spans="1:33" s="2" customFormat="1" ht="20.100000000000001" customHeight="1">
      <c r="A282" s="53" t="s">
        <v>116</v>
      </c>
      <c r="B282" s="211" t="s">
        <v>4949</v>
      </c>
      <c r="C282" s="48">
        <v>0.25</v>
      </c>
      <c r="D282" s="48">
        <v>0.25</v>
      </c>
      <c r="E282" s="48" t="s">
        <v>4861</v>
      </c>
      <c r="F282" s="48">
        <v>0.25</v>
      </c>
      <c r="G282" s="48">
        <v>0.25</v>
      </c>
      <c r="H282" s="48">
        <v>0.3</v>
      </c>
      <c r="I282" s="48">
        <v>0.25</v>
      </c>
      <c r="J282" s="48">
        <v>0.25</v>
      </c>
      <c r="K282" s="48" t="s">
        <v>4861</v>
      </c>
      <c r="L282" s="48">
        <v>0.25</v>
      </c>
      <c r="M282" s="48">
        <v>0.25</v>
      </c>
      <c r="N282" s="48">
        <v>0.25</v>
      </c>
      <c r="O282" s="48" t="s">
        <v>4861</v>
      </c>
      <c r="P282" s="48" t="s">
        <v>39</v>
      </c>
      <c r="Q282" s="48" t="s">
        <v>4861</v>
      </c>
      <c r="R282" s="48">
        <v>0.2</v>
      </c>
      <c r="S282" s="48">
        <v>0.2</v>
      </c>
      <c r="T282" s="48" t="s">
        <v>4861</v>
      </c>
      <c r="U282" s="48"/>
      <c r="X282"/>
      <c r="Y282"/>
      <c r="Z282"/>
      <c r="AA282" s="19"/>
      <c r="AB282" s="19"/>
      <c r="AC282" s="19"/>
      <c r="AG282" s="239"/>
    </row>
    <row r="283" spans="1:33" s="2" customFormat="1" ht="9" customHeight="1">
      <c r="A283" s="95" t="s">
        <v>688</v>
      </c>
      <c r="B283" s="238"/>
      <c r="C283" s="94" t="s">
        <v>4859</v>
      </c>
      <c r="D283" s="94" t="s">
        <v>5385</v>
      </c>
      <c r="E283" s="94" t="s">
        <v>4860</v>
      </c>
      <c r="F283" s="94" t="s">
        <v>5988</v>
      </c>
      <c r="G283" s="94" t="s">
        <v>5987</v>
      </c>
      <c r="H283" s="94" t="s">
        <v>5986</v>
      </c>
      <c r="I283" s="94" t="s">
        <v>4950</v>
      </c>
      <c r="J283" s="94" t="s">
        <v>5162</v>
      </c>
      <c r="K283" s="94" t="s">
        <v>4860</v>
      </c>
      <c r="L283" s="94" t="s">
        <v>6130</v>
      </c>
      <c r="M283" s="94" t="s">
        <v>6130</v>
      </c>
      <c r="N283" s="94" t="s">
        <v>6349</v>
      </c>
      <c r="O283" s="94" t="s">
        <v>6130</v>
      </c>
      <c r="P283" s="94" t="s">
        <v>39</v>
      </c>
      <c r="Q283" s="94" t="s">
        <v>5466</v>
      </c>
      <c r="R283" s="94" t="s">
        <v>5558</v>
      </c>
      <c r="S283" s="94" t="s">
        <v>5558</v>
      </c>
      <c r="T283" s="94" t="s">
        <v>5466</v>
      </c>
      <c r="U283" s="94"/>
      <c r="X283"/>
      <c r="Y283"/>
      <c r="Z283"/>
      <c r="AA283" s="19"/>
      <c r="AB283" s="19"/>
      <c r="AC283" s="19"/>
      <c r="AG283" s="239"/>
    </row>
    <row r="284" spans="1:33" s="2" customFormat="1" ht="20.100000000000001" customHeight="1">
      <c r="A284" s="53" t="s">
        <v>117</v>
      </c>
      <c r="B284" s="211" t="s">
        <v>4949</v>
      </c>
      <c r="C284" s="48">
        <v>0.5</v>
      </c>
      <c r="D284" s="48">
        <v>0.5</v>
      </c>
      <c r="E284" s="48" t="s">
        <v>4861</v>
      </c>
      <c r="F284" s="48">
        <v>0.5</v>
      </c>
      <c r="G284" s="48">
        <v>0.5</v>
      </c>
      <c r="H284" s="48">
        <v>0.5</v>
      </c>
      <c r="I284" s="48">
        <v>0.5</v>
      </c>
      <c r="J284" s="48">
        <v>0.5</v>
      </c>
      <c r="K284" s="48" t="s">
        <v>4861</v>
      </c>
      <c r="L284" s="48">
        <v>0.5</v>
      </c>
      <c r="M284" s="48">
        <v>0.5</v>
      </c>
      <c r="N284" s="48">
        <v>0.5</v>
      </c>
      <c r="O284" s="48" t="s">
        <v>4861</v>
      </c>
      <c r="P284" s="48" t="s">
        <v>39</v>
      </c>
      <c r="Q284" s="48" t="s">
        <v>4861</v>
      </c>
      <c r="R284" s="48">
        <v>0.5</v>
      </c>
      <c r="S284" s="48">
        <v>0.5</v>
      </c>
      <c r="T284" s="48" t="s">
        <v>4861</v>
      </c>
      <c r="U284" s="48"/>
      <c r="X284"/>
      <c r="Y284"/>
      <c r="Z284"/>
      <c r="AA284" s="19"/>
      <c r="AB284" s="19"/>
      <c r="AC284" s="19"/>
      <c r="AG284" s="239"/>
    </row>
    <row r="285" spans="1:33" s="2" customFormat="1" ht="9" customHeight="1">
      <c r="A285" s="95" t="s">
        <v>688</v>
      </c>
      <c r="B285" s="238"/>
      <c r="C285" s="94" t="s">
        <v>4859</v>
      </c>
      <c r="D285" s="94" t="s">
        <v>5385</v>
      </c>
      <c r="E285" s="94" t="s">
        <v>4860</v>
      </c>
      <c r="F285" s="94" t="s">
        <v>5988</v>
      </c>
      <c r="G285" s="94" t="s">
        <v>5987</v>
      </c>
      <c r="H285" s="94" t="s">
        <v>5986</v>
      </c>
      <c r="I285" s="94" t="s">
        <v>4950</v>
      </c>
      <c r="J285" s="94" t="s">
        <v>5162</v>
      </c>
      <c r="K285" s="94" t="s">
        <v>4860</v>
      </c>
      <c r="L285" s="94" t="s">
        <v>6130</v>
      </c>
      <c r="M285" s="94" t="s">
        <v>6130</v>
      </c>
      <c r="N285" s="94" t="s">
        <v>6349</v>
      </c>
      <c r="O285" s="94" t="s">
        <v>6130</v>
      </c>
      <c r="P285" s="94" t="s">
        <v>39</v>
      </c>
      <c r="Q285" s="94" t="s">
        <v>5466</v>
      </c>
      <c r="R285" s="94" t="s">
        <v>5558</v>
      </c>
      <c r="S285" s="94" t="s">
        <v>5558</v>
      </c>
      <c r="T285" s="94" t="s">
        <v>5466</v>
      </c>
      <c r="U285" s="94"/>
      <c r="X285"/>
      <c r="Y285"/>
      <c r="Z285"/>
      <c r="AA285" s="19"/>
      <c r="AB285" s="19"/>
      <c r="AC285" s="19"/>
      <c r="AG285" s="239"/>
    </row>
    <row r="286" spans="1:33" s="14" customFormat="1" ht="9" customHeight="1">
      <c r="A286" s="154"/>
      <c r="B286" s="277"/>
      <c r="C286" s="73"/>
      <c r="D286" s="73"/>
      <c r="E286" s="73"/>
      <c r="F286" s="184"/>
      <c r="G286" s="184"/>
      <c r="H286" s="184"/>
      <c r="I286" s="73"/>
      <c r="J286" s="73"/>
      <c r="K286" s="73"/>
      <c r="L286" s="184"/>
      <c r="M286" s="184"/>
      <c r="N286" s="184"/>
      <c r="O286" s="184"/>
      <c r="P286" s="184"/>
      <c r="Q286" s="184"/>
      <c r="R286" s="184"/>
      <c r="S286" s="184"/>
      <c r="T286" s="184"/>
      <c r="U286" s="77"/>
      <c r="X286"/>
      <c r="Y286"/>
      <c r="Z286"/>
      <c r="AA286" s="19"/>
      <c r="AB286" s="19"/>
      <c r="AC286" s="226"/>
      <c r="AG286" s="286"/>
    </row>
    <row r="287" spans="1:33" s="2" customFormat="1" ht="20.100000000000001" customHeight="1">
      <c r="A287" s="66" t="s">
        <v>6091</v>
      </c>
      <c r="B287" s="176"/>
      <c r="C287" s="202" t="str">
        <f t="shared" ref="C287:U287" si="14">C1</f>
        <v>Baloise Gold</v>
      </c>
      <c r="D287" s="202" t="str">
        <f t="shared" si="14"/>
        <v>Baloise Gold 100</v>
      </c>
      <c r="E287" s="202" t="str">
        <f t="shared" si="14"/>
        <v>Baloise Silber</v>
      </c>
      <c r="F287" s="202" t="str">
        <f t="shared" si="14"/>
        <v>HK Einfach Besser</v>
      </c>
      <c r="G287" s="202" t="str">
        <f t="shared" si="14"/>
        <v>HK Einfach Gut</v>
      </c>
      <c r="H287" s="202" t="str">
        <f t="shared" si="14"/>
        <v>HK Einfach Komplett</v>
      </c>
      <c r="I287" s="202" t="str">
        <f t="shared" si="14"/>
        <v>Interlloyd Premium</v>
      </c>
      <c r="J287" s="202" t="str">
        <f t="shared" si="14"/>
        <v>Interlloyd Premium HB</v>
      </c>
      <c r="K287" s="202" t="str">
        <f t="shared" si="14"/>
        <v>Interllyod Protect UR</v>
      </c>
      <c r="L287" s="202" t="str">
        <f t="shared" si="14"/>
        <v xml:space="preserve">ITL Eurosecure Plus </v>
      </c>
      <c r="M287" s="202" t="str">
        <f t="shared" si="14"/>
        <v>ITL Infinitus</v>
      </c>
      <c r="N287" s="202" t="str">
        <f t="shared" si="14"/>
        <v>ITL Infinitus HB</v>
      </c>
      <c r="O287" s="202" t="str">
        <f t="shared" si="14"/>
        <v>ITL Protect Plus</v>
      </c>
      <c r="P287" s="202" t="str">
        <f t="shared" si="14"/>
        <v>keine</v>
      </c>
      <c r="Q287" s="202" t="str">
        <f t="shared" si="14"/>
        <v>VHV Klassik Garant</v>
      </c>
      <c r="R287" s="202" t="str">
        <f t="shared" si="14"/>
        <v>VHV Klassik Garant Exklusiv</v>
      </c>
      <c r="S287" s="202" t="str">
        <f t="shared" si="14"/>
        <v>VHV Klassik Garant Exklusiv HB</v>
      </c>
      <c r="T287" s="202" t="str">
        <f t="shared" si="14"/>
        <v>VHV Smart</v>
      </c>
      <c r="U287" s="202">
        <f t="shared" si="14"/>
        <v>0</v>
      </c>
      <c r="X287"/>
      <c r="Y287"/>
      <c r="Z287"/>
      <c r="AA287" s="19"/>
      <c r="AB287" s="226"/>
      <c r="AC287" s="19"/>
      <c r="AG287" s="239"/>
    </row>
    <row r="288" spans="1:33" s="2" customFormat="1" ht="30" customHeight="1">
      <c r="A288" s="53" t="s">
        <v>4775</v>
      </c>
      <c r="B288" s="211"/>
      <c r="C288" s="48" t="s">
        <v>5312</v>
      </c>
      <c r="D288" s="48" t="s">
        <v>5312</v>
      </c>
      <c r="E288" s="48" t="s">
        <v>4424</v>
      </c>
      <c r="F288" s="48" t="s">
        <v>5312</v>
      </c>
      <c r="G288" s="48" t="s">
        <v>5312</v>
      </c>
      <c r="H288" s="48" t="s">
        <v>5312</v>
      </c>
      <c r="I288" s="48" t="s">
        <v>4424</v>
      </c>
      <c r="J288" s="48" t="s">
        <v>4424</v>
      </c>
      <c r="K288" s="48" t="s">
        <v>4424</v>
      </c>
      <c r="L288" s="48" t="s">
        <v>6355</v>
      </c>
      <c r="M288" s="48" t="s">
        <v>6355</v>
      </c>
      <c r="N288" s="48" t="s">
        <v>6355</v>
      </c>
      <c r="O288" s="48" t="s">
        <v>6355</v>
      </c>
      <c r="P288" s="48" t="s">
        <v>39</v>
      </c>
      <c r="Q288" s="48" t="s">
        <v>5312</v>
      </c>
      <c r="R288" s="48" t="s">
        <v>5312</v>
      </c>
      <c r="S288" s="48" t="s">
        <v>5312</v>
      </c>
      <c r="T288" s="48" t="s">
        <v>5312</v>
      </c>
      <c r="U288" s="48"/>
      <c r="X288"/>
      <c r="Y288"/>
      <c r="Z288"/>
      <c r="AA288" s="19"/>
      <c r="AB288" s="19"/>
      <c r="AC288" s="19"/>
      <c r="AG288" s="239"/>
    </row>
    <row r="289" spans="1:33" s="2" customFormat="1" ht="9" customHeight="1">
      <c r="A289" s="95" t="s">
        <v>688</v>
      </c>
      <c r="B289" s="238"/>
      <c r="C289" s="94" t="s">
        <v>4909</v>
      </c>
      <c r="D289" s="94" t="s">
        <v>4909</v>
      </c>
      <c r="E289" s="94" t="s">
        <v>4909</v>
      </c>
      <c r="F289" s="94" t="s">
        <v>5941</v>
      </c>
      <c r="G289" s="94" t="s">
        <v>5715</v>
      </c>
      <c r="H289" s="94" t="s">
        <v>5942</v>
      </c>
      <c r="I289" s="94" t="s">
        <v>4972</v>
      </c>
      <c r="J289" s="94" t="s">
        <v>4972</v>
      </c>
      <c r="K289" s="94" t="s">
        <v>4912</v>
      </c>
      <c r="L289" s="94" t="s">
        <v>6152</v>
      </c>
      <c r="M289" s="94" t="s">
        <v>6152</v>
      </c>
      <c r="N289" s="94" t="s">
        <v>6152</v>
      </c>
      <c r="O289" s="94" t="s">
        <v>6199</v>
      </c>
      <c r="P289" s="94" t="s">
        <v>39</v>
      </c>
      <c r="Q289" s="91" t="s">
        <v>5532</v>
      </c>
      <c r="R289" s="91" t="s">
        <v>5532</v>
      </c>
      <c r="S289" s="91" t="s">
        <v>5532</v>
      </c>
      <c r="T289" s="91" t="s">
        <v>5646</v>
      </c>
      <c r="U289" s="94"/>
      <c r="X289"/>
      <c r="Y289"/>
      <c r="Z289"/>
      <c r="AA289" s="19"/>
      <c r="AB289" s="19"/>
      <c r="AC289" s="19"/>
      <c r="AG289" s="239"/>
    </row>
    <row r="290" spans="1:33" s="2" customFormat="1" ht="30" customHeight="1">
      <c r="A290" s="53" t="s">
        <v>5370</v>
      </c>
      <c r="B290" s="211"/>
      <c r="C290" s="48" t="s">
        <v>5371</v>
      </c>
      <c r="D290" s="48" t="s">
        <v>5371</v>
      </c>
      <c r="E290" s="48" t="s">
        <v>5371</v>
      </c>
      <c r="F290" s="48" t="s">
        <v>5371</v>
      </c>
      <c r="G290" s="48" t="s">
        <v>5371</v>
      </c>
      <c r="H290" s="48" t="s">
        <v>5371</v>
      </c>
      <c r="I290" s="48" t="s">
        <v>5371</v>
      </c>
      <c r="J290" s="48" t="s">
        <v>5371</v>
      </c>
      <c r="K290" s="48" t="s">
        <v>5371</v>
      </c>
      <c r="L290" s="48" t="s">
        <v>41</v>
      </c>
      <c r="M290" s="48" t="s">
        <v>41</v>
      </c>
      <c r="N290" s="48" t="s">
        <v>41</v>
      </c>
      <c r="O290" s="48" t="s">
        <v>41</v>
      </c>
      <c r="P290" s="48" t="s">
        <v>39</v>
      </c>
      <c r="Q290" s="48" t="s">
        <v>5371</v>
      </c>
      <c r="R290" s="48" t="s">
        <v>5371</v>
      </c>
      <c r="S290" s="48" t="s">
        <v>5371</v>
      </c>
      <c r="T290" s="48" t="s">
        <v>5371</v>
      </c>
      <c r="U290" s="48"/>
      <c r="X290"/>
      <c r="Y290"/>
      <c r="Z290"/>
      <c r="AA290" s="19"/>
      <c r="AB290" s="19"/>
      <c r="AC290" s="19"/>
      <c r="AG290" s="239"/>
    </row>
    <row r="291" spans="1:33" s="2" customFormat="1" ht="9" customHeight="1">
      <c r="A291" s="95" t="s">
        <v>688</v>
      </c>
      <c r="B291" s="238"/>
      <c r="C291" s="94" t="s">
        <v>5372</v>
      </c>
      <c r="D291" s="94" t="s">
        <v>5372</v>
      </c>
      <c r="E291" s="94" t="s">
        <v>5372</v>
      </c>
      <c r="F291" s="94" t="s">
        <v>5374</v>
      </c>
      <c r="G291" s="94" t="s">
        <v>5374</v>
      </c>
      <c r="H291" s="94" t="s">
        <v>5374</v>
      </c>
      <c r="I291" s="94" t="s">
        <v>5374</v>
      </c>
      <c r="J291" s="94" t="s">
        <v>5374</v>
      </c>
      <c r="K291" s="94" t="s">
        <v>5372</v>
      </c>
      <c r="L291" s="94" t="s">
        <v>6344</v>
      </c>
      <c r="M291" s="94" t="s">
        <v>6344</v>
      </c>
      <c r="N291" s="94" t="s">
        <v>6344</v>
      </c>
      <c r="O291" s="94" t="s">
        <v>6344</v>
      </c>
      <c r="P291" s="94" t="s">
        <v>39</v>
      </c>
      <c r="Q291" s="94" t="s">
        <v>5531</v>
      </c>
      <c r="R291" s="94" t="s">
        <v>5531</v>
      </c>
      <c r="S291" s="94" t="s">
        <v>5531</v>
      </c>
      <c r="T291" s="94" t="s">
        <v>5531</v>
      </c>
      <c r="U291" s="94"/>
      <c r="X291"/>
      <c r="Y291"/>
      <c r="Z291"/>
      <c r="AA291" s="19"/>
      <c r="AB291" s="19"/>
      <c r="AC291" s="19"/>
      <c r="AG291" s="239"/>
    </row>
    <row r="292" spans="1:33" s="2" customFormat="1" ht="30" customHeight="1">
      <c r="A292" s="53" t="s">
        <v>5373</v>
      </c>
      <c r="B292" s="211"/>
      <c r="C292" s="48" t="s">
        <v>41</v>
      </c>
      <c r="D292" s="48" t="s">
        <v>41</v>
      </c>
      <c r="E292" s="48" t="s">
        <v>41</v>
      </c>
      <c r="F292" s="48" t="s">
        <v>5371</v>
      </c>
      <c r="G292" s="48" t="s">
        <v>5371</v>
      </c>
      <c r="H292" s="48" t="s">
        <v>41</v>
      </c>
      <c r="I292" s="48" t="s">
        <v>5371</v>
      </c>
      <c r="J292" s="48" t="s">
        <v>5371</v>
      </c>
      <c r="K292" s="48" t="s">
        <v>5371</v>
      </c>
      <c r="L292" s="48" t="s">
        <v>5371</v>
      </c>
      <c r="M292" s="48" t="s">
        <v>6310</v>
      </c>
      <c r="N292" s="48" t="s">
        <v>6310</v>
      </c>
      <c r="O292" s="48" t="s">
        <v>5371</v>
      </c>
      <c r="P292" s="48" t="s">
        <v>39</v>
      </c>
      <c r="Q292" s="48" t="s">
        <v>5371</v>
      </c>
      <c r="R292" s="48" t="s">
        <v>5371</v>
      </c>
      <c r="S292" s="48" t="s">
        <v>5371</v>
      </c>
      <c r="T292" s="48" t="s">
        <v>5371</v>
      </c>
      <c r="U292" s="48"/>
      <c r="X292"/>
      <c r="Y292"/>
      <c r="Z292"/>
      <c r="AA292" s="19"/>
      <c r="AB292" s="19"/>
      <c r="AC292" s="19"/>
      <c r="AG292" s="239"/>
    </row>
    <row r="293" spans="1:33" s="2" customFormat="1" ht="9" customHeight="1">
      <c r="A293" s="95" t="s">
        <v>688</v>
      </c>
      <c r="B293" s="238"/>
      <c r="C293" s="94" t="s">
        <v>5372</v>
      </c>
      <c r="D293" s="94" t="s">
        <v>5372</v>
      </c>
      <c r="E293" s="94" t="s">
        <v>5372</v>
      </c>
      <c r="F293" s="94" t="s">
        <v>5374</v>
      </c>
      <c r="G293" s="94" t="s">
        <v>5374</v>
      </c>
      <c r="H293" s="94" t="s">
        <v>5933</v>
      </c>
      <c r="I293" s="94" t="s">
        <v>5374</v>
      </c>
      <c r="J293" s="94" t="s">
        <v>5374</v>
      </c>
      <c r="K293" s="94" t="s">
        <v>5372</v>
      </c>
      <c r="L293" s="94" t="s">
        <v>6148</v>
      </c>
      <c r="M293" s="94" t="s">
        <v>6148</v>
      </c>
      <c r="N293" s="94" t="s">
        <v>6148</v>
      </c>
      <c r="O293" s="94" t="s">
        <v>6147</v>
      </c>
      <c r="P293" s="94" t="s">
        <v>39</v>
      </c>
      <c r="Q293" s="94" t="s">
        <v>5531</v>
      </c>
      <c r="R293" s="94" t="s">
        <v>5531</v>
      </c>
      <c r="S293" s="94" t="s">
        <v>5531</v>
      </c>
      <c r="T293" s="94" t="s">
        <v>5531</v>
      </c>
      <c r="U293" s="94"/>
      <c r="X293"/>
      <c r="Y293"/>
      <c r="Z293"/>
      <c r="AA293" s="19"/>
      <c r="AB293" s="19"/>
      <c r="AC293" s="19"/>
      <c r="AG293" s="239"/>
    </row>
    <row r="294" spans="1:33" s="2" customFormat="1" ht="9" customHeight="1">
      <c r="A294" s="11"/>
      <c r="B294" s="239"/>
      <c r="C294" s="204"/>
      <c r="D294" s="246"/>
      <c r="E294" s="204"/>
      <c r="F294" s="246"/>
      <c r="G294" s="246"/>
      <c r="H294" s="246"/>
      <c r="I294" s="204"/>
      <c r="J294" s="204"/>
      <c r="K294" s="204"/>
      <c r="L294" s="246"/>
      <c r="M294" s="246"/>
      <c r="N294" s="246"/>
      <c r="O294" s="246"/>
      <c r="P294" s="246"/>
      <c r="Q294" s="246"/>
      <c r="R294"/>
      <c r="S294"/>
      <c r="T294" s="246"/>
      <c r="U294" s="204"/>
      <c r="X294"/>
      <c r="Y294"/>
      <c r="Z294"/>
      <c r="AA294" s="19"/>
      <c r="AB294" s="19"/>
      <c r="AC294" s="19"/>
      <c r="AG294" s="239"/>
    </row>
    <row r="295" spans="1:33" s="2" customFormat="1" ht="20.100000000000001" customHeight="1">
      <c r="A295" s="176" t="s">
        <v>73</v>
      </c>
      <c r="B295" s="202" t="str">
        <f t="shared" ref="B295:T295" si="15">B1</f>
        <v>Erläuterungen</v>
      </c>
      <c r="C295" s="202" t="str">
        <f t="shared" si="15"/>
        <v>Baloise Gold</v>
      </c>
      <c r="D295" s="202" t="str">
        <f t="shared" si="15"/>
        <v>Baloise Gold 100</v>
      </c>
      <c r="E295" s="202" t="str">
        <f t="shared" si="15"/>
        <v>Baloise Silber</v>
      </c>
      <c r="F295" s="202" t="str">
        <f t="shared" si="15"/>
        <v>HK Einfach Besser</v>
      </c>
      <c r="G295" s="202" t="str">
        <f t="shared" si="15"/>
        <v>HK Einfach Gut</v>
      </c>
      <c r="H295" s="202" t="str">
        <f t="shared" si="15"/>
        <v>HK Einfach Komplett</v>
      </c>
      <c r="I295" s="202" t="str">
        <f t="shared" si="15"/>
        <v>Interlloyd Premium</v>
      </c>
      <c r="J295" s="202" t="str">
        <f t="shared" si="15"/>
        <v>Interlloyd Premium HB</v>
      </c>
      <c r="K295" s="202" t="str">
        <f t="shared" si="15"/>
        <v>Interllyod Protect UR</v>
      </c>
      <c r="L295" s="202" t="str">
        <f t="shared" si="15"/>
        <v xml:space="preserve">ITL Eurosecure Plus </v>
      </c>
      <c r="M295" s="202" t="str">
        <f t="shared" si="15"/>
        <v>ITL Infinitus</v>
      </c>
      <c r="N295" s="202" t="str">
        <f t="shared" si="15"/>
        <v>ITL Infinitus HB</v>
      </c>
      <c r="O295" s="202" t="str">
        <f t="shared" si="15"/>
        <v>ITL Protect Plus</v>
      </c>
      <c r="P295" s="202" t="str">
        <f t="shared" si="15"/>
        <v>keine</v>
      </c>
      <c r="Q295" s="202" t="str">
        <f t="shared" si="15"/>
        <v>VHV Klassik Garant</v>
      </c>
      <c r="R295" s="202" t="str">
        <f t="shared" si="15"/>
        <v>VHV Klassik Garant Exklusiv</v>
      </c>
      <c r="S295" s="202" t="str">
        <f t="shared" si="15"/>
        <v>VHV Klassik Garant Exklusiv HB</v>
      </c>
      <c r="T295" s="202" t="str">
        <f t="shared" si="15"/>
        <v>VHV Smart</v>
      </c>
      <c r="U295" s="176"/>
      <c r="X295"/>
      <c r="Y295"/>
      <c r="Z295"/>
      <c r="AA295" s="19"/>
      <c r="AB295" s="19"/>
      <c r="AC295" s="19"/>
      <c r="AG295" s="239"/>
    </row>
    <row r="296" spans="1:33" s="2" customFormat="1" ht="39.950000000000003" customHeight="1">
      <c r="A296" s="53" t="s">
        <v>5343</v>
      </c>
      <c r="B296" s="211" t="s">
        <v>4902</v>
      </c>
      <c r="C296" s="54" t="s">
        <v>5344</v>
      </c>
      <c r="D296" s="54" t="s">
        <v>5344</v>
      </c>
      <c r="E296" s="54" t="s">
        <v>5344</v>
      </c>
      <c r="F296" s="54" t="s">
        <v>5344</v>
      </c>
      <c r="G296" s="54" t="s">
        <v>5344</v>
      </c>
      <c r="H296" s="54" t="s">
        <v>5344</v>
      </c>
      <c r="I296" s="54" t="s">
        <v>5344</v>
      </c>
      <c r="J296" s="54" t="s">
        <v>5344</v>
      </c>
      <c r="K296" s="244" t="s">
        <v>5345</v>
      </c>
      <c r="L296" s="54" t="s">
        <v>6341</v>
      </c>
      <c r="M296" s="54" t="s">
        <v>6341</v>
      </c>
      <c r="N296" s="54" t="s">
        <v>6341</v>
      </c>
      <c r="O296" s="54" t="s">
        <v>6341</v>
      </c>
      <c r="P296" s="54" t="s">
        <v>39</v>
      </c>
      <c r="Q296" s="54" t="s">
        <v>5542</v>
      </c>
      <c r="R296" s="54" t="s">
        <v>5542</v>
      </c>
      <c r="S296" s="54" t="s">
        <v>5542</v>
      </c>
      <c r="T296" s="54" t="s">
        <v>5542</v>
      </c>
      <c r="U296" s="73"/>
      <c r="X296"/>
      <c r="Y296"/>
      <c r="Z296"/>
      <c r="AA296" s="19"/>
      <c r="AB296" s="19"/>
      <c r="AC296" s="19"/>
      <c r="AG296" s="239"/>
    </row>
    <row r="297" spans="1:33" s="2" customFormat="1" ht="18" customHeight="1">
      <c r="A297" s="95" t="s">
        <v>688</v>
      </c>
      <c r="B297" s="238"/>
      <c r="C297" s="94" t="s">
        <v>5342</v>
      </c>
      <c r="D297" s="94" t="s">
        <v>5342</v>
      </c>
      <c r="E297" s="94" t="s">
        <v>5342</v>
      </c>
      <c r="F297" s="94" t="s">
        <v>5803</v>
      </c>
      <c r="G297" s="94" t="s">
        <v>5732</v>
      </c>
      <c r="H297" s="94" t="s">
        <v>5954</v>
      </c>
      <c r="I297" s="94" t="s">
        <v>5661</v>
      </c>
      <c r="J297" s="94" t="s">
        <v>5661</v>
      </c>
      <c r="K297" s="94" t="s">
        <v>4903</v>
      </c>
      <c r="L297" s="94" t="s">
        <v>6134</v>
      </c>
      <c r="M297" s="94" t="s">
        <v>6134</v>
      </c>
      <c r="N297" s="94" t="s">
        <v>6134</v>
      </c>
      <c r="O297" s="94" t="s">
        <v>6134</v>
      </c>
      <c r="P297" s="94" t="s">
        <v>39</v>
      </c>
      <c r="Q297" s="91" t="s">
        <v>6119</v>
      </c>
      <c r="R297" s="91" t="s">
        <v>6119</v>
      </c>
      <c r="S297" s="91" t="s">
        <v>6119</v>
      </c>
      <c r="T297" s="91" t="s">
        <v>6119</v>
      </c>
      <c r="U297" s="94"/>
      <c r="X297"/>
      <c r="Y297"/>
      <c r="Z297"/>
      <c r="AA297" s="19"/>
      <c r="AB297" s="19"/>
      <c r="AC297" s="19"/>
      <c r="AG297" s="239"/>
    </row>
    <row r="298" spans="1:33" s="2" customFormat="1" ht="30" customHeight="1">
      <c r="A298" s="53" t="s">
        <v>5348</v>
      </c>
      <c r="B298" s="211" t="s">
        <v>5035</v>
      </c>
      <c r="C298" s="54" t="s">
        <v>5346</v>
      </c>
      <c r="D298" s="54" t="s">
        <v>5346</v>
      </c>
      <c r="E298" s="54" t="s">
        <v>39</v>
      </c>
      <c r="F298" s="54" t="s">
        <v>5730</v>
      </c>
      <c r="G298" s="54" t="s">
        <v>5730</v>
      </c>
      <c r="H298" s="54" t="s">
        <v>5951</v>
      </c>
      <c r="I298" s="54" t="s">
        <v>5036</v>
      </c>
      <c r="J298" s="54" t="s">
        <v>5036</v>
      </c>
      <c r="K298" s="54" t="s">
        <v>39</v>
      </c>
      <c r="L298" s="54" t="s">
        <v>6309</v>
      </c>
      <c r="M298" s="54" t="s">
        <v>5036</v>
      </c>
      <c r="N298" s="54" t="s">
        <v>5036</v>
      </c>
      <c r="O298" s="54" t="s">
        <v>39</v>
      </c>
      <c r="P298" s="54" t="s">
        <v>39</v>
      </c>
      <c r="Q298" s="54" t="s">
        <v>614</v>
      </c>
      <c r="R298" s="54" t="s">
        <v>614</v>
      </c>
      <c r="S298" s="54" t="s">
        <v>614</v>
      </c>
      <c r="T298" s="54" t="s">
        <v>39</v>
      </c>
      <c r="U298" s="54"/>
      <c r="X298"/>
      <c r="Y298"/>
      <c r="Z298"/>
      <c r="AA298"/>
      <c r="AB298" s="19"/>
      <c r="AC298" s="19"/>
      <c r="AG298" s="239"/>
    </row>
    <row r="299" spans="1:33" s="2" customFormat="1" ht="9" customHeight="1">
      <c r="A299" s="95" t="s">
        <v>688</v>
      </c>
      <c r="B299" s="238"/>
      <c r="C299" s="94" t="s">
        <v>5347</v>
      </c>
      <c r="D299" s="94" t="s">
        <v>5347</v>
      </c>
      <c r="E299" s="94" t="s">
        <v>39</v>
      </c>
      <c r="F299" s="94" t="s">
        <v>5804</v>
      </c>
      <c r="G299" s="94" t="s">
        <v>5731</v>
      </c>
      <c r="H299" s="94" t="s">
        <v>5952</v>
      </c>
      <c r="I299" s="94" t="s">
        <v>5037</v>
      </c>
      <c r="J299" s="94" t="s">
        <v>5037</v>
      </c>
      <c r="K299" s="94" t="s">
        <v>39</v>
      </c>
      <c r="L299" s="94" t="s">
        <v>6181</v>
      </c>
      <c r="M299" s="94" t="s">
        <v>6181</v>
      </c>
      <c r="N299" s="94" t="s">
        <v>6181</v>
      </c>
      <c r="O299" s="94" t="s">
        <v>39</v>
      </c>
      <c r="P299" s="94" t="s">
        <v>39</v>
      </c>
      <c r="Q299" s="94" t="s">
        <v>5539</v>
      </c>
      <c r="R299" s="94" t="s">
        <v>5539</v>
      </c>
      <c r="S299" s="94" t="s">
        <v>5539</v>
      </c>
      <c r="T299" s="94" t="s">
        <v>39</v>
      </c>
      <c r="U299" s="94"/>
      <c r="X299"/>
      <c r="Y299"/>
      <c r="Z299"/>
      <c r="AA299"/>
      <c r="AB299" s="19"/>
      <c r="AC299" s="19"/>
      <c r="AG299" s="239"/>
    </row>
    <row r="300" spans="1:33" s="2" customFormat="1" ht="30" customHeight="1">
      <c r="A300" s="58" t="s">
        <v>5135</v>
      </c>
      <c r="B300" s="211" t="s">
        <v>5136</v>
      </c>
      <c r="C300" s="54" t="s">
        <v>5138</v>
      </c>
      <c r="D300" s="54" t="s">
        <v>5138</v>
      </c>
      <c r="E300" s="54" t="s">
        <v>39</v>
      </c>
      <c r="F300" s="54" t="s">
        <v>39</v>
      </c>
      <c r="G300" s="54" t="s">
        <v>39</v>
      </c>
      <c r="H300" s="54" t="s">
        <v>5138</v>
      </c>
      <c r="I300" s="54" t="s">
        <v>39</v>
      </c>
      <c r="J300" s="54" t="s">
        <v>39</v>
      </c>
      <c r="K300" s="54" t="s">
        <v>39</v>
      </c>
      <c r="L300" s="54" t="s">
        <v>39</v>
      </c>
      <c r="M300" s="54" t="s">
        <v>6182</v>
      </c>
      <c r="N300" s="54" t="s">
        <v>6182</v>
      </c>
      <c r="O300" s="54" t="s">
        <v>39</v>
      </c>
      <c r="P300" s="54" t="s">
        <v>39</v>
      </c>
      <c r="Q300" s="54" t="s">
        <v>5138</v>
      </c>
      <c r="R300" s="54" t="s">
        <v>5138</v>
      </c>
      <c r="S300" s="54" t="s">
        <v>5138</v>
      </c>
      <c r="T300" s="54" t="s">
        <v>39</v>
      </c>
      <c r="U300" s="54"/>
      <c r="X300"/>
      <c r="Y300"/>
      <c r="Z300"/>
      <c r="AB300" s="19"/>
      <c r="AC300" s="19"/>
      <c r="AG300" s="239"/>
    </row>
    <row r="301" spans="1:33" s="14" customFormat="1" ht="9" customHeight="1">
      <c r="A301" s="95" t="s">
        <v>688</v>
      </c>
      <c r="B301" s="238"/>
      <c r="C301" s="94" t="s">
        <v>5349</v>
      </c>
      <c r="D301" s="94" t="s">
        <v>5349</v>
      </c>
      <c r="E301" s="94" t="s">
        <v>39</v>
      </c>
      <c r="F301" s="94" t="s">
        <v>39</v>
      </c>
      <c r="G301" s="94" t="s">
        <v>39</v>
      </c>
      <c r="H301" s="94" t="s">
        <v>5953</v>
      </c>
      <c r="I301" s="94" t="s">
        <v>39</v>
      </c>
      <c r="J301" s="94" t="s">
        <v>39</v>
      </c>
      <c r="K301" s="94" t="s">
        <v>39</v>
      </c>
      <c r="L301" s="94" t="s">
        <v>39</v>
      </c>
      <c r="M301" s="94" t="s">
        <v>6183</v>
      </c>
      <c r="N301" s="94" t="s">
        <v>6183</v>
      </c>
      <c r="O301" s="94" t="s">
        <v>39</v>
      </c>
      <c r="P301" s="94" t="s">
        <v>39</v>
      </c>
      <c r="Q301" s="94" t="s">
        <v>5540</v>
      </c>
      <c r="R301" s="94" t="s">
        <v>5540</v>
      </c>
      <c r="S301" s="94" t="s">
        <v>5540</v>
      </c>
      <c r="T301" s="94" t="s">
        <v>39</v>
      </c>
      <c r="U301" s="94"/>
      <c r="X301"/>
      <c r="Y301"/>
      <c r="Z301"/>
      <c r="AA301"/>
      <c r="AB301" s="19"/>
      <c r="AG301" s="286"/>
    </row>
    <row r="302" spans="1:33" s="2" customFormat="1" ht="48" customHeight="1">
      <c r="A302" s="53" t="s">
        <v>5352</v>
      </c>
      <c r="B302" s="211" t="s">
        <v>5351</v>
      </c>
      <c r="C302" s="54" t="s">
        <v>5353</v>
      </c>
      <c r="D302" s="54" t="s">
        <v>5353</v>
      </c>
      <c r="E302" s="54" t="s">
        <v>39</v>
      </c>
      <c r="F302" s="54" t="s">
        <v>39</v>
      </c>
      <c r="G302" s="54" t="s">
        <v>39</v>
      </c>
      <c r="H302" s="54" t="s">
        <v>5959</v>
      </c>
      <c r="I302" s="54" t="s">
        <v>39</v>
      </c>
      <c r="J302" s="54" t="s">
        <v>39</v>
      </c>
      <c r="K302" s="54" t="s">
        <v>39</v>
      </c>
      <c r="L302" s="54" t="s">
        <v>6308</v>
      </c>
      <c r="M302" s="54" t="s">
        <v>6324</v>
      </c>
      <c r="N302" s="54" t="s">
        <v>6324</v>
      </c>
      <c r="O302" s="54" t="s">
        <v>39</v>
      </c>
      <c r="P302" s="54" t="s">
        <v>39</v>
      </c>
      <c r="Q302" s="54" t="s">
        <v>39</v>
      </c>
      <c r="R302" s="54" t="s">
        <v>39</v>
      </c>
      <c r="S302" s="54" t="s">
        <v>39</v>
      </c>
      <c r="T302" s="54" t="s">
        <v>39</v>
      </c>
      <c r="U302" s="54"/>
      <c r="X302"/>
      <c r="Y302"/>
      <c r="Z302"/>
      <c r="AA302"/>
      <c r="AB302" s="14"/>
      <c r="AC302" s="19"/>
      <c r="AG302" s="239"/>
    </row>
    <row r="303" spans="1:33" s="14" customFormat="1" ht="9" customHeight="1">
      <c r="A303" s="95" t="s">
        <v>688</v>
      </c>
      <c r="B303" s="238"/>
      <c r="C303" s="94" t="s">
        <v>5350</v>
      </c>
      <c r="D303" s="94" t="s">
        <v>5350</v>
      </c>
      <c r="E303" s="94" t="s">
        <v>39</v>
      </c>
      <c r="F303" s="94" t="s">
        <v>39</v>
      </c>
      <c r="G303" s="94" t="s">
        <v>39</v>
      </c>
      <c r="H303" s="94" t="s">
        <v>5960</v>
      </c>
      <c r="I303" s="94" t="s">
        <v>39</v>
      </c>
      <c r="J303" s="94" t="s">
        <v>39</v>
      </c>
      <c r="K303" s="94" t="s">
        <v>39</v>
      </c>
      <c r="L303" s="94" t="s">
        <v>6184</v>
      </c>
      <c r="M303" s="94" t="s">
        <v>6184</v>
      </c>
      <c r="N303" s="94" t="s">
        <v>6184</v>
      </c>
      <c r="O303" s="94" t="s">
        <v>39</v>
      </c>
      <c r="P303" s="94" t="s">
        <v>39</v>
      </c>
      <c r="Q303" s="94" t="s">
        <v>39</v>
      </c>
      <c r="R303" s="94" t="s">
        <v>39</v>
      </c>
      <c r="S303" s="94" t="s">
        <v>39</v>
      </c>
      <c r="T303" s="94" t="s">
        <v>39</v>
      </c>
      <c r="U303" s="94"/>
      <c r="X303"/>
      <c r="Y303"/>
      <c r="Z303"/>
      <c r="AA303"/>
      <c r="AB303" s="19"/>
      <c r="AG303" s="286"/>
    </row>
    <row r="304" spans="1:33" s="2" customFormat="1" ht="39.950000000000003" customHeight="1">
      <c r="A304" s="53" t="s">
        <v>5354</v>
      </c>
      <c r="B304" s="212" t="s">
        <v>4935</v>
      </c>
      <c r="C304" s="54" t="s">
        <v>5741</v>
      </c>
      <c r="D304" s="54" t="s">
        <v>5741</v>
      </c>
      <c r="E304" s="54" t="s">
        <v>5741</v>
      </c>
      <c r="F304" s="54" t="s">
        <v>5740</v>
      </c>
      <c r="G304" s="54" t="s">
        <v>5740</v>
      </c>
      <c r="H304" s="54" t="s">
        <v>5961</v>
      </c>
      <c r="I304" s="54" t="s">
        <v>5030</v>
      </c>
      <c r="J304" s="54" t="s">
        <v>5030</v>
      </c>
      <c r="K304" s="54" t="s">
        <v>639</v>
      </c>
      <c r="L304" s="54" t="s">
        <v>6307</v>
      </c>
      <c r="M304" s="54" t="s">
        <v>6325</v>
      </c>
      <c r="N304" s="54" t="s">
        <v>6325</v>
      </c>
      <c r="O304" s="54" t="s">
        <v>39</v>
      </c>
      <c r="P304" s="54" t="s">
        <v>39</v>
      </c>
      <c r="Q304" s="54" t="s">
        <v>640</v>
      </c>
      <c r="R304" s="54" t="s">
        <v>640</v>
      </c>
      <c r="S304" s="54" t="s">
        <v>640</v>
      </c>
      <c r="T304" s="54" t="s">
        <v>640</v>
      </c>
      <c r="U304" s="54"/>
      <c r="X304"/>
      <c r="Y304"/>
      <c r="Z304"/>
      <c r="AA304"/>
      <c r="AB304" s="14"/>
      <c r="AC304" s="19"/>
      <c r="AG304" s="239"/>
    </row>
    <row r="305" spans="1:33" s="2" customFormat="1" ht="9" customHeight="1">
      <c r="A305" s="95" t="s">
        <v>688</v>
      </c>
      <c r="B305" s="238"/>
      <c r="C305" s="94" t="s">
        <v>5242</v>
      </c>
      <c r="D305" s="94" t="s">
        <v>5242</v>
      </c>
      <c r="E305" s="94" t="s">
        <v>5242</v>
      </c>
      <c r="F305" s="94" t="s">
        <v>5739</v>
      </c>
      <c r="G305" s="94" t="s">
        <v>5739</v>
      </c>
      <c r="H305" s="94" t="s">
        <v>5962</v>
      </c>
      <c r="I305" s="94" t="s">
        <v>5029</v>
      </c>
      <c r="J305" s="94" t="s">
        <v>5029</v>
      </c>
      <c r="K305" s="94" t="s">
        <v>4921</v>
      </c>
      <c r="L305" s="94" t="s">
        <v>6209</v>
      </c>
      <c r="M305" s="94" t="s">
        <v>6209</v>
      </c>
      <c r="N305" s="94" t="s">
        <v>6209</v>
      </c>
      <c r="O305" s="94" t="s">
        <v>39</v>
      </c>
      <c r="P305" s="94" t="s">
        <v>39</v>
      </c>
      <c r="Q305" s="94" t="s">
        <v>5541</v>
      </c>
      <c r="R305" s="94" t="s">
        <v>5541</v>
      </c>
      <c r="S305" s="94" t="s">
        <v>5541</v>
      </c>
      <c r="T305" s="94" t="s">
        <v>5539</v>
      </c>
      <c r="U305" s="94"/>
      <c r="X305"/>
      <c r="Y305"/>
      <c r="Z305"/>
      <c r="AA305"/>
      <c r="AB305" s="19"/>
      <c r="AC305" s="19"/>
      <c r="AG305" s="239"/>
    </row>
    <row r="306" spans="1:33" s="2" customFormat="1" ht="39.950000000000003" customHeight="1">
      <c r="A306" s="53" t="s">
        <v>5033</v>
      </c>
      <c r="B306" s="212" t="s">
        <v>4935</v>
      </c>
      <c r="C306" s="48" t="s">
        <v>39</v>
      </c>
      <c r="D306" s="48" t="s">
        <v>39</v>
      </c>
      <c r="E306" s="48" t="s">
        <v>39</v>
      </c>
      <c r="F306" s="48" t="s">
        <v>39</v>
      </c>
      <c r="G306" s="48" t="s">
        <v>39</v>
      </c>
      <c r="H306" s="54" t="s">
        <v>6305</v>
      </c>
      <c r="I306" s="48" t="s">
        <v>5032</v>
      </c>
      <c r="J306" s="48" t="s">
        <v>5032</v>
      </c>
      <c r="K306" s="48" t="s">
        <v>39</v>
      </c>
      <c r="L306" s="54" t="s">
        <v>6306</v>
      </c>
      <c r="M306" s="54" t="s">
        <v>6306</v>
      </c>
      <c r="N306" s="54" t="s">
        <v>6306</v>
      </c>
      <c r="O306" s="48" t="s">
        <v>39</v>
      </c>
      <c r="P306" s="48" t="s">
        <v>39</v>
      </c>
      <c r="Q306" s="48" t="s">
        <v>39</v>
      </c>
      <c r="R306" s="48" t="s">
        <v>39</v>
      </c>
      <c r="S306" s="48" t="s">
        <v>39</v>
      </c>
      <c r="T306" s="54" t="s">
        <v>39</v>
      </c>
      <c r="U306" s="203"/>
      <c r="X306"/>
      <c r="Y306"/>
      <c r="Z306"/>
      <c r="AA306"/>
      <c r="AB306" s="19"/>
      <c r="AC306" s="19"/>
      <c r="AG306" s="239"/>
    </row>
    <row r="307" spans="1:33" s="2" customFormat="1" ht="9" customHeight="1">
      <c r="A307" s="95" t="s">
        <v>688</v>
      </c>
      <c r="B307" s="238"/>
      <c r="C307" s="91" t="s">
        <v>39</v>
      </c>
      <c r="D307" s="91" t="s">
        <v>39</v>
      </c>
      <c r="E307" s="91" t="s">
        <v>39</v>
      </c>
      <c r="F307" s="91" t="s">
        <v>39</v>
      </c>
      <c r="G307" s="91" t="s">
        <v>39</v>
      </c>
      <c r="H307" s="94" t="s">
        <v>5962</v>
      </c>
      <c r="I307" s="91" t="s">
        <v>5031</v>
      </c>
      <c r="J307" s="91" t="s">
        <v>5031</v>
      </c>
      <c r="K307" s="91" t="s">
        <v>39</v>
      </c>
      <c r="L307" s="94" t="s">
        <v>6210</v>
      </c>
      <c r="M307" s="94" t="s">
        <v>6210</v>
      </c>
      <c r="N307" s="94" t="s">
        <v>6210</v>
      </c>
      <c r="O307" s="91" t="s">
        <v>39</v>
      </c>
      <c r="P307" s="91" t="s">
        <v>39</v>
      </c>
      <c r="Q307" s="91" t="s">
        <v>39</v>
      </c>
      <c r="R307" s="91" t="s">
        <v>39</v>
      </c>
      <c r="S307" s="91" t="s">
        <v>39</v>
      </c>
      <c r="T307" s="94" t="s">
        <v>39</v>
      </c>
      <c r="U307" s="95"/>
      <c r="X307"/>
      <c r="Y307"/>
      <c r="Z307"/>
      <c r="AA307"/>
      <c r="AB307" s="19"/>
      <c r="AC307" s="19"/>
      <c r="AG307" s="239"/>
    </row>
    <row r="308" spans="1:33" s="2" customFormat="1" ht="8.25" customHeight="1">
      <c r="A308" s="154"/>
      <c r="B308" s="240"/>
      <c r="C308" s="205"/>
      <c r="D308" s="205"/>
      <c r="E308" s="205"/>
      <c r="F308" s="205"/>
      <c r="G308" s="205"/>
      <c r="H308" s="205"/>
      <c r="I308" s="205"/>
      <c r="J308" s="205"/>
      <c r="K308" s="205"/>
      <c r="L308" s="205"/>
      <c r="M308" s="205"/>
      <c r="N308" s="205"/>
      <c r="O308" s="205"/>
      <c r="P308" s="205"/>
      <c r="Q308" s="205"/>
      <c r="R308"/>
      <c r="S308"/>
      <c r="T308" s="205"/>
      <c r="U308" s="205"/>
      <c r="X308"/>
      <c r="Y308"/>
      <c r="Z308"/>
      <c r="AA308"/>
      <c r="AB308" s="19"/>
      <c r="AC308" s="19"/>
      <c r="AG308" s="239"/>
    </row>
    <row r="309" spans="1:33" s="2" customFormat="1" ht="20.100000000000001" customHeight="1">
      <c r="A309" s="201" t="s">
        <v>5602</v>
      </c>
      <c r="B309" s="206" t="str">
        <f t="shared" ref="B309:T309" si="16">B1</f>
        <v>Erläuterungen</v>
      </c>
      <c r="C309" s="206" t="str">
        <f t="shared" si="16"/>
        <v>Baloise Gold</v>
      </c>
      <c r="D309" s="206" t="str">
        <f t="shared" si="16"/>
        <v>Baloise Gold 100</v>
      </c>
      <c r="E309" s="206" t="str">
        <f t="shared" si="16"/>
        <v>Baloise Silber</v>
      </c>
      <c r="F309" s="206" t="str">
        <f t="shared" si="16"/>
        <v>HK Einfach Besser</v>
      </c>
      <c r="G309" s="206" t="str">
        <f t="shared" si="16"/>
        <v>HK Einfach Gut</v>
      </c>
      <c r="H309" s="206" t="str">
        <f t="shared" si="16"/>
        <v>HK Einfach Komplett</v>
      </c>
      <c r="I309" s="206" t="str">
        <f t="shared" si="16"/>
        <v>Interlloyd Premium</v>
      </c>
      <c r="J309" s="206" t="str">
        <f t="shared" si="16"/>
        <v>Interlloyd Premium HB</v>
      </c>
      <c r="K309" s="206" t="str">
        <f t="shared" si="16"/>
        <v>Interllyod Protect UR</v>
      </c>
      <c r="L309" s="206" t="str">
        <f t="shared" si="16"/>
        <v xml:space="preserve">ITL Eurosecure Plus </v>
      </c>
      <c r="M309" s="206" t="str">
        <f t="shared" si="16"/>
        <v>ITL Infinitus</v>
      </c>
      <c r="N309" s="206" t="str">
        <f t="shared" si="16"/>
        <v>ITL Infinitus HB</v>
      </c>
      <c r="O309" s="206" t="str">
        <f t="shared" si="16"/>
        <v>ITL Protect Plus</v>
      </c>
      <c r="P309" s="206" t="str">
        <f t="shared" si="16"/>
        <v>keine</v>
      </c>
      <c r="Q309" s="206" t="str">
        <f t="shared" si="16"/>
        <v>VHV Klassik Garant</v>
      </c>
      <c r="R309" s="206" t="str">
        <f t="shared" si="16"/>
        <v>VHV Klassik Garant Exklusiv</v>
      </c>
      <c r="S309" s="206" t="str">
        <f t="shared" si="16"/>
        <v>VHV Klassik Garant Exklusiv HB</v>
      </c>
      <c r="T309" s="206" t="str">
        <f t="shared" si="16"/>
        <v>VHV Smart</v>
      </c>
      <c r="U309" s="206"/>
      <c r="X309"/>
      <c r="Y309"/>
      <c r="Z309"/>
      <c r="AA309"/>
      <c r="AB309" s="19"/>
      <c r="AC309" s="19"/>
      <c r="AG309" s="239"/>
    </row>
    <row r="310" spans="1:33" s="2" customFormat="1" ht="30" customHeight="1">
      <c r="A310" s="53" t="s">
        <v>4826</v>
      </c>
      <c r="B310" s="211" t="s">
        <v>5391</v>
      </c>
      <c r="C310" s="48" t="s">
        <v>5390</v>
      </c>
      <c r="D310" s="48" t="s">
        <v>5390</v>
      </c>
      <c r="E310" s="48" t="s">
        <v>39</v>
      </c>
      <c r="F310" s="48" t="s">
        <v>5994</v>
      </c>
      <c r="G310" s="48" t="s">
        <v>5994</v>
      </c>
      <c r="H310" s="48" t="s">
        <v>5994</v>
      </c>
      <c r="I310" s="48" t="s">
        <v>5163</v>
      </c>
      <c r="J310" s="48" t="s">
        <v>5163</v>
      </c>
      <c r="K310" s="48" t="s">
        <v>5163</v>
      </c>
      <c r="L310" s="48" t="s">
        <v>6323</v>
      </c>
      <c r="M310" s="48" t="s">
        <v>6323</v>
      </c>
      <c r="N310" s="48" t="s">
        <v>6323</v>
      </c>
      <c r="O310" s="48" t="s">
        <v>6323</v>
      </c>
      <c r="P310" s="48" t="s">
        <v>39</v>
      </c>
      <c r="Q310" s="48" t="s">
        <v>5603</v>
      </c>
      <c r="R310" s="48" t="s">
        <v>5603</v>
      </c>
      <c r="S310" s="48" t="s">
        <v>5603</v>
      </c>
      <c r="T310" s="48" t="s">
        <v>39</v>
      </c>
      <c r="U310" s="48"/>
      <c r="X310"/>
      <c r="Y310"/>
      <c r="Z310"/>
      <c r="AA310"/>
      <c r="AB310" s="19"/>
      <c r="AC310" s="19"/>
      <c r="AG310" s="239"/>
    </row>
    <row r="311" spans="1:33" s="2" customFormat="1" ht="9" customHeight="1">
      <c r="A311" s="95" t="s">
        <v>688</v>
      </c>
      <c r="B311" s="238"/>
      <c r="C311" s="91" t="s">
        <v>5389</v>
      </c>
      <c r="D311" s="91" t="s">
        <v>5389</v>
      </c>
      <c r="E311" s="91" t="s">
        <v>39</v>
      </c>
      <c r="F311" s="91" t="s">
        <v>5995</v>
      </c>
      <c r="G311" s="91" t="s">
        <v>5995</v>
      </c>
      <c r="H311" s="91" t="s">
        <v>5995</v>
      </c>
      <c r="I311" s="91" t="s">
        <v>5164</v>
      </c>
      <c r="J311" s="91" t="s">
        <v>5164</v>
      </c>
      <c r="K311" s="91" t="s">
        <v>5164</v>
      </c>
      <c r="L311" s="91" t="s">
        <v>6322</v>
      </c>
      <c r="M311" s="91" t="s">
        <v>6322</v>
      </c>
      <c r="N311" s="91" t="s">
        <v>6322</v>
      </c>
      <c r="O311" s="91" t="s">
        <v>6322</v>
      </c>
      <c r="P311" s="91" t="s">
        <v>39</v>
      </c>
      <c r="Q311" s="91" t="s">
        <v>5604</v>
      </c>
      <c r="R311" s="91" t="s">
        <v>5604</v>
      </c>
      <c r="S311" s="91" t="s">
        <v>5604</v>
      </c>
      <c r="T311" s="91" t="s">
        <v>39</v>
      </c>
      <c r="U311" s="91"/>
      <c r="X311"/>
      <c r="Y311"/>
      <c r="Z311"/>
      <c r="AA311"/>
      <c r="AB311" s="19"/>
      <c r="AC311" s="19"/>
      <c r="AG311" s="239"/>
    </row>
    <row r="312" spans="1:33" s="2" customFormat="1" ht="9" customHeight="1">
      <c r="A312"/>
      <c r="C312" s="205"/>
      <c r="D312" s="205"/>
      <c r="E312" s="205"/>
      <c r="F312" s="205"/>
      <c r="G312" s="205"/>
      <c r="H312" s="205"/>
      <c r="I312" s="205"/>
      <c r="J312" s="205"/>
      <c r="K312" s="205"/>
      <c r="L312" s="205"/>
      <c r="M312" s="205"/>
      <c r="N312" s="205"/>
      <c r="O312" s="205"/>
      <c r="P312" s="205"/>
      <c r="Q312" s="205"/>
      <c r="R312"/>
      <c r="S312"/>
      <c r="T312" s="205"/>
      <c r="U312" s="205"/>
      <c r="X312"/>
      <c r="Y312"/>
      <c r="Z312"/>
      <c r="AA312"/>
      <c r="AB312" s="19"/>
      <c r="AC312" s="19"/>
      <c r="AG312" s="239"/>
    </row>
    <row r="313" spans="1:33" s="2" customFormat="1" ht="20.100000000000001" customHeight="1">
      <c r="A313" s="176" t="s">
        <v>201</v>
      </c>
      <c r="B313" s="202" t="str">
        <f t="shared" ref="B313:T313" si="17">B1</f>
        <v>Erläuterungen</v>
      </c>
      <c r="C313" s="202" t="str">
        <f t="shared" si="17"/>
        <v>Baloise Gold</v>
      </c>
      <c r="D313" s="202" t="str">
        <f t="shared" si="17"/>
        <v>Baloise Gold 100</v>
      </c>
      <c r="E313" s="202" t="str">
        <f t="shared" si="17"/>
        <v>Baloise Silber</v>
      </c>
      <c r="F313" s="202" t="str">
        <f t="shared" si="17"/>
        <v>HK Einfach Besser</v>
      </c>
      <c r="G313" s="202" t="str">
        <f t="shared" si="17"/>
        <v>HK Einfach Gut</v>
      </c>
      <c r="H313" s="202" t="str">
        <f t="shared" si="17"/>
        <v>HK Einfach Komplett</v>
      </c>
      <c r="I313" s="202" t="str">
        <f t="shared" si="17"/>
        <v>Interlloyd Premium</v>
      </c>
      <c r="J313" s="202" t="str">
        <f t="shared" si="17"/>
        <v>Interlloyd Premium HB</v>
      </c>
      <c r="K313" s="202" t="str">
        <f t="shared" si="17"/>
        <v>Interllyod Protect UR</v>
      </c>
      <c r="L313" s="202" t="str">
        <f t="shared" si="17"/>
        <v xml:space="preserve">ITL Eurosecure Plus </v>
      </c>
      <c r="M313" s="202" t="str">
        <f t="shared" si="17"/>
        <v>ITL Infinitus</v>
      </c>
      <c r="N313" s="202" t="str">
        <f t="shared" si="17"/>
        <v>ITL Infinitus HB</v>
      </c>
      <c r="O313" s="202" t="str">
        <f t="shared" si="17"/>
        <v>ITL Protect Plus</v>
      </c>
      <c r="P313" s="202" t="str">
        <f t="shared" si="17"/>
        <v>keine</v>
      </c>
      <c r="Q313" s="202" t="str">
        <f t="shared" si="17"/>
        <v>VHV Klassik Garant</v>
      </c>
      <c r="R313" s="202" t="str">
        <f t="shared" si="17"/>
        <v>VHV Klassik Garant Exklusiv</v>
      </c>
      <c r="S313" s="202" t="str">
        <f t="shared" si="17"/>
        <v>VHV Klassik Garant Exklusiv HB</v>
      </c>
      <c r="T313" s="202" t="str">
        <f t="shared" si="17"/>
        <v>VHV Smart</v>
      </c>
      <c r="U313" s="202"/>
      <c r="X313"/>
      <c r="Y313"/>
      <c r="Z313"/>
      <c r="AA313"/>
      <c r="AB313" s="19"/>
      <c r="AC313" s="19"/>
      <c r="AG313" s="239"/>
    </row>
    <row r="314" spans="1:33" s="2" customFormat="1" ht="300" customHeight="1">
      <c r="A314" s="53" t="s">
        <v>5907</v>
      </c>
      <c r="B314" s="211"/>
      <c r="C314" s="48" t="s">
        <v>5601</v>
      </c>
      <c r="D314" s="48" t="s">
        <v>5600</v>
      </c>
      <c r="E314" s="76" t="s">
        <v>39</v>
      </c>
      <c r="F314" s="48" t="s">
        <v>39</v>
      </c>
      <c r="G314" s="76" t="s">
        <v>39</v>
      </c>
      <c r="H314" s="48" t="s">
        <v>6005</v>
      </c>
      <c r="I314" s="76" t="s">
        <v>5325</v>
      </c>
      <c r="J314" s="76" t="s">
        <v>5325</v>
      </c>
      <c r="K314" s="88" t="s">
        <v>39</v>
      </c>
      <c r="L314" s="88" t="s">
        <v>6340</v>
      </c>
      <c r="M314" s="88" t="s">
        <v>6339</v>
      </c>
      <c r="N314" s="88" t="s">
        <v>6339</v>
      </c>
      <c r="O314" s="88" t="s">
        <v>6263</v>
      </c>
      <c r="P314" s="76" t="s">
        <v>39</v>
      </c>
      <c r="Q314" s="76" t="s">
        <v>5914</v>
      </c>
      <c r="R314" s="76" t="s">
        <v>5916</v>
      </c>
      <c r="S314" s="76" t="s">
        <v>5916</v>
      </c>
      <c r="T314" s="76" t="s">
        <v>5649</v>
      </c>
      <c r="U314" s="76"/>
      <c r="X314"/>
      <c r="Y314"/>
      <c r="Z314"/>
      <c r="AA314"/>
      <c r="AB314" s="19"/>
      <c r="AC314" s="19"/>
      <c r="AG314" s="239"/>
    </row>
    <row r="315" spans="1:33" s="2" customFormat="1" ht="69.95" customHeight="1">
      <c r="A315" s="95" t="s">
        <v>688</v>
      </c>
      <c r="B315" s="238"/>
      <c r="C315" s="91" t="s">
        <v>5599</v>
      </c>
      <c r="D315" s="91" t="s">
        <v>5598</v>
      </c>
      <c r="E315" s="91" t="s">
        <v>39</v>
      </c>
      <c r="F315" s="91" t="s">
        <v>39</v>
      </c>
      <c r="G315" s="91" t="s">
        <v>39</v>
      </c>
      <c r="H315" s="91" t="s">
        <v>6006</v>
      </c>
      <c r="I315" s="91" t="s">
        <v>5324</v>
      </c>
      <c r="J315" s="91" t="s">
        <v>5324</v>
      </c>
      <c r="K315" s="91" t="s">
        <v>39</v>
      </c>
      <c r="L315" s="91" t="s">
        <v>6327</v>
      </c>
      <c r="M315" s="91" t="s">
        <v>6328</v>
      </c>
      <c r="N315" s="91" t="s">
        <v>6328</v>
      </c>
      <c r="O315" s="91" t="s">
        <v>6264</v>
      </c>
      <c r="P315" s="91" t="s">
        <v>39</v>
      </c>
      <c r="Q315" s="91" t="s">
        <v>5915</v>
      </c>
      <c r="R315" s="91" t="s">
        <v>5917</v>
      </c>
      <c r="S315" s="91" t="s">
        <v>5917</v>
      </c>
      <c r="T315" s="91" t="s">
        <v>5650</v>
      </c>
      <c r="U315" s="91"/>
      <c r="X315"/>
      <c r="Y315"/>
      <c r="Z315"/>
      <c r="AA315"/>
      <c r="AB315" s="19"/>
      <c r="AC315" s="19"/>
      <c r="AG315" s="239"/>
    </row>
    <row r="316" spans="1:33" s="2" customFormat="1" ht="200.1" customHeight="1">
      <c r="A316" s="53" t="s">
        <v>5906</v>
      </c>
      <c r="B316" s="211"/>
      <c r="C316" s="76" t="s">
        <v>5249</v>
      </c>
      <c r="D316" s="76" t="s">
        <v>5249</v>
      </c>
      <c r="E316" s="88" t="s">
        <v>5908</v>
      </c>
      <c r="F316" s="76" t="s">
        <v>6007</v>
      </c>
      <c r="G316" s="76" t="s">
        <v>6007</v>
      </c>
      <c r="H316" s="76" t="s">
        <v>5971</v>
      </c>
      <c r="I316" s="48" t="s">
        <v>39</v>
      </c>
      <c r="J316" s="88" t="s">
        <v>39</v>
      </c>
      <c r="K316" s="48" t="s">
        <v>39</v>
      </c>
      <c r="L316" s="48" t="s">
        <v>39</v>
      </c>
      <c r="M316" s="48" t="s">
        <v>6332</v>
      </c>
      <c r="N316" s="48" t="s">
        <v>6332</v>
      </c>
      <c r="O316" s="48" t="s">
        <v>39</v>
      </c>
      <c r="P316" s="88" t="s">
        <v>39</v>
      </c>
      <c r="Q316" s="88" t="s">
        <v>39</v>
      </c>
      <c r="R316" s="48" t="s">
        <v>6329</v>
      </c>
      <c r="S316" s="48" t="s">
        <v>6329</v>
      </c>
      <c r="T316" s="88" t="s">
        <v>6330</v>
      </c>
      <c r="U316" s="88"/>
      <c r="X316"/>
      <c r="Y316"/>
      <c r="Z316"/>
      <c r="AA316"/>
      <c r="AB316" s="19"/>
      <c r="AC316" s="19"/>
      <c r="AG316" s="239"/>
    </row>
    <row r="317" spans="1:33" s="2" customFormat="1" ht="64.5" customHeight="1">
      <c r="A317" s="95" t="s">
        <v>688</v>
      </c>
      <c r="B317" s="238"/>
      <c r="C317" s="91" t="s">
        <v>5250</v>
      </c>
      <c r="D317" s="91" t="s">
        <v>5250</v>
      </c>
      <c r="E317" s="91" t="s">
        <v>5909</v>
      </c>
      <c r="F317" s="91" t="s">
        <v>6009</v>
      </c>
      <c r="G317" s="91" t="s">
        <v>6008</v>
      </c>
      <c r="H317" s="91" t="s">
        <v>5972</v>
      </c>
      <c r="I317" s="91" t="s">
        <v>39</v>
      </c>
      <c r="J317" s="91" t="s">
        <v>39</v>
      </c>
      <c r="K317" s="91" t="s">
        <v>39</v>
      </c>
      <c r="L317" s="91" t="s">
        <v>39</v>
      </c>
      <c r="M317" s="91" t="s">
        <v>6331</v>
      </c>
      <c r="N317" s="91" t="s">
        <v>6331</v>
      </c>
      <c r="O317" s="91" t="s">
        <v>39</v>
      </c>
      <c r="P317" s="91" t="s">
        <v>39</v>
      </c>
      <c r="Q317" s="91" t="s">
        <v>39</v>
      </c>
      <c r="R317" s="91" t="s">
        <v>5918</v>
      </c>
      <c r="S317" s="91" t="s">
        <v>5918</v>
      </c>
      <c r="T317" s="91" t="s">
        <v>5651</v>
      </c>
      <c r="U317" s="91"/>
      <c r="X317"/>
      <c r="Y317"/>
      <c r="Z317"/>
      <c r="AA317"/>
      <c r="AB317" s="19"/>
      <c r="AC317" s="19"/>
      <c r="AG317" s="239"/>
    </row>
    <row r="318" spans="1:33" s="2" customFormat="1" ht="9" customHeight="1">
      <c r="A318"/>
      <c r="C318" s="205"/>
      <c r="D318" s="205"/>
      <c r="E318" s="205"/>
      <c r="F318" s="205"/>
      <c r="G318" s="205"/>
      <c r="H318" s="205"/>
      <c r="I318" s="205"/>
      <c r="J318" s="205"/>
      <c r="K318" s="205"/>
      <c r="L318" s="205"/>
      <c r="M318" s="205"/>
      <c r="N318" s="205"/>
      <c r="O318" s="205"/>
      <c r="P318" s="205"/>
      <c r="Q318" s="205"/>
      <c r="R318"/>
      <c r="S318"/>
      <c r="T318" s="205"/>
      <c r="U318" s="205"/>
      <c r="X318"/>
      <c r="Y318"/>
      <c r="Z318"/>
      <c r="AA318"/>
      <c r="AB318" s="19"/>
      <c r="AC318" s="19"/>
      <c r="AG318" s="239"/>
    </row>
    <row r="319" spans="1:33" s="2" customFormat="1" ht="20.100000000000001" customHeight="1">
      <c r="A319" s="176" t="s">
        <v>155</v>
      </c>
      <c r="B319" s="202" t="str">
        <f t="shared" ref="B319:T319" si="18">B1</f>
        <v>Erläuterungen</v>
      </c>
      <c r="C319" s="202" t="str">
        <f t="shared" si="18"/>
        <v>Baloise Gold</v>
      </c>
      <c r="D319" s="202" t="str">
        <f t="shared" si="18"/>
        <v>Baloise Gold 100</v>
      </c>
      <c r="E319" s="202" t="str">
        <f t="shared" si="18"/>
        <v>Baloise Silber</v>
      </c>
      <c r="F319" s="202" t="str">
        <f t="shared" si="18"/>
        <v>HK Einfach Besser</v>
      </c>
      <c r="G319" s="202" t="str">
        <f t="shared" si="18"/>
        <v>HK Einfach Gut</v>
      </c>
      <c r="H319" s="202" t="str">
        <f t="shared" si="18"/>
        <v>HK Einfach Komplett</v>
      </c>
      <c r="I319" s="202" t="str">
        <f t="shared" si="18"/>
        <v>Interlloyd Premium</v>
      </c>
      <c r="J319" s="202" t="str">
        <f t="shared" si="18"/>
        <v>Interlloyd Premium HB</v>
      </c>
      <c r="K319" s="202" t="str">
        <f t="shared" si="18"/>
        <v>Interllyod Protect UR</v>
      </c>
      <c r="L319" s="202" t="str">
        <f t="shared" si="18"/>
        <v xml:space="preserve">ITL Eurosecure Plus </v>
      </c>
      <c r="M319" s="202" t="str">
        <f t="shared" si="18"/>
        <v>ITL Infinitus</v>
      </c>
      <c r="N319" s="202" t="str">
        <f t="shared" si="18"/>
        <v>ITL Infinitus HB</v>
      </c>
      <c r="O319" s="202" t="str">
        <f t="shared" si="18"/>
        <v>ITL Protect Plus</v>
      </c>
      <c r="P319" s="202" t="str">
        <f t="shared" si="18"/>
        <v>keine</v>
      </c>
      <c r="Q319" s="202" t="str">
        <f t="shared" si="18"/>
        <v>VHV Klassik Garant</v>
      </c>
      <c r="R319" s="202" t="str">
        <f t="shared" si="18"/>
        <v>VHV Klassik Garant Exklusiv</v>
      </c>
      <c r="S319" s="202" t="str">
        <f t="shared" si="18"/>
        <v>VHV Klassik Garant Exklusiv HB</v>
      </c>
      <c r="T319" s="202" t="str">
        <f t="shared" si="18"/>
        <v>VHV Smart</v>
      </c>
      <c r="U319" s="202"/>
      <c r="X319"/>
      <c r="Y319"/>
      <c r="Z319"/>
      <c r="AA319"/>
      <c r="AB319" s="19"/>
      <c r="AC319" s="19"/>
      <c r="AG319" s="239"/>
    </row>
    <row r="320" spans="1:33" s="2" customFormat="1" ht="30" customHeight="1">
      <c r="A320" s="178" t="s">
        <v>6104</v>
      </c>
      <c r="B320" s="211"/>
      <c r="C320" s="54" t="s">
        <v>6215</v>
      </c>
      <c r="D320" s="54" t="s">
        <v>6216</v>
      </c>
      <c r="E320" s="54" t="s">
        <v>6217</v>
      </c>
      <c r="F320" s="54" t="s">
        <v>5846</v>
      </c>
      <c r="G320" s="54" t="s">
        <v>5665</v>
      </c>
      <c r="H320" s="54" t="s">
        <v>5847</v>
      </c>
      <c r="I320" s="54" t="s">
        <v>5043</v>
      </c>
      <c r="J320" s="54" t="s">
        <v>5165</v>
      </c>
      <c r="K320" s="54" t="s">
        <v>4937</v>
      </c>
      <c r="L320" s="54" t="s">
        <v>6321</v>
      </c>
      <c r="M320" s="54" t="s">
        <v>6319</v>
      </c>
      <c r="N320" s="54" t="s">
        <v>6319</v>
      </c>
      <c r="O320" s="54" t="s">
        <v>6320</v>
      </c>
      <c r="P320" s="54" t="s">
        <v>39</v>
      </c>
      <c r="Q320" s="54" t="s">
        <v>6120</v>
      </c>
      <c r="R320" s="54" t="s">
        <v>6121</v>
      </c>
      <c r="S320" s="54" t="s">
        <v>6122</v>
      </c>
      <c r="T320" s="54" t="s">
        <v>6124</v>
      </c>
      <c r="U320" s="54"/>
      <c r="X320"/>
      <c r="Y320"/>
      <c r="Z320"/>
      <c r="AA320"/>
      <c r="AB320" s="19"/>
      <c r="AC320" s="19"/>
      <c r="AG320" s="239"/>
    </row>
    <row r="321" spans="1:33" ht="28.5" customHeight="1">
      <c r="A321" s="178" t="s">
        <v>6103</v>
      </c>
      <c r="B321" s="211"/>
      <c r="C321" s="123" t="s">
        <v>6214</v>
      </c>
      <c r="D321" s="123" t="s">
        <v>6214</v>
      </c>
      <c r="E321" s="123" t="s">
        <v>6214</v>
      </c>
      <c r="F321" s="123" t="s">
        <v>6014</v>
      </c>
      <c r="G321" s="123" t="s">
        <v>6014</v>
      </c>
      <c r="H321" s="123" t="s">
        <v>6014</v>
      </c>
      <c r="I321" s="123" t="s">
        <v>5166</v>
      </c>
      <c r="J321" s="123" t="s">
        <v>5166</v>
      </c>
      <c r="K321" s="123" t="s">
        <v>5166</v>
      </c>
      <c r="L321" s="123" t="s">
        <v>6318</v>
      </c>
      <c r="M321" s="123" t="s">
        <v>6318</v>
      </c>
      <c r="N321" s="123" t="s">
        <v>6318</v>
      </c>
      <c r="O321" s="123" t="s">
        <v>6318</v>
      </c>
      <c r="P321" s="123" t="s">
        <v>39</v>
      </c>
      <c r="Q321" s="123" t="s">
        <v>6123</v>
      </c>
      <c r="R321" s="123" t="s">
        <v>6123</v>
      </c>
      <c r="S321" s="123" t="s">
        <v>6123</v>
      </c>
      <c r="T321" s="123" t="s">
        <v>6123</v>
      </c>
      <c r="U321" s="123"/>
      <c r="AB321" s="19"/>
    </row>
    <row r="322" spans="1:33" ht="9" customHeight="1">
      <c r="A322" s="218" t="s">
        <v>4813</v>
      </c>
      <c r="B322" s="219"/>
      <c r="C322" s="54"/>
      <c r="D322" s="54"/>
      <c r="E322" s="54"/>
      <c r="F322" s="54"/>
      <c r="G322" s="54"/>
      <c r="H322" s="54"/>
      <c r="I322" s="54" t="s">
        <v>4924</v>
      </c>
      <c r="J322" s="54" t="s">
        <v>4924</v>
      </c>
      <c r="K322" s="54" t="s">
        <v>4924</v>
      </c>
      <c r="L322" s="54" t="s">
        <v>4924</v>
      </c>
      <c r="M322" s="54" t="s">
        <v>4924</v>
      </c>
      <c r="N322" s="54" t="s">
        <v>4924</v>
      </c>
      <c r="O322" s="54" t="s">
        <v>4924</v>
      </c>
      <c r="P322" s="54" t="s">
        <v>39</v>
      </c>
      <c r="Q322" s="54" t="s">
        <v>4924</v>
      </c>
      <c r="R322" s="54" t="s">
        <v>4924</v>
      </c>
      <c r="S322" s="54" t="s">
        <v>4924</v>
      </c>
      <c r="T322" s="54" t="s">
        <v>4924</v>
      </c>
      <c r="U322" s="65"/>
    </row>
    <row r="323" spans="1:33" s="2" customFormat="1" ht="17.25" customHeight="1">
      <c r="A323" s="220"/>
      <c r="B323" s="220"/>
      <c r="C323" s="68"/>
      <c r="D323" s="68"/>
      <c r="E323" s="68"/>
      <c r="F323" s="68"/>
      <c r="G323" s="68"/>
      <c r="H323" s="68"/>
      <c r="I323" s="68"/>
      <c r="J323" s="68"/>
      <c r="K323" s="68"/>
      <c r="L323" s="68"/>
      <c r="M323" s="68"/>
      <c r="N323" s="68"/>
      <c r="O323" s="68"/>
      <c r="P323" s="68"/>
      <c r="Q323" s="68"/>
      <c r="R323"/>
      <c r="S323"/>
      <c r="T323" s="68"/>
      <c r="U323" s="68"/>
      <c r="X323"/>
      <c r="Y323"/>
      <c r="Z323"/>
      <c r="AA323"/>
      <c r="AB323"/>
      <c r="AG323" s="239"/>
    </row>
    <row r="324" spans="1:33" ht="195" customHeight="1">
      <c r="A324" s="221" t="s">
        <v>5102</v>
      </c>
      <c r="B324" s="220"/>
      <c r="C324" s="68"/>
      <c r="D324" s="68"/>
      <c r="E324" s="68"/>
      <c r="F324" s="68"/>
      <c r="G324" s="68"/>
      <c r="H324" s="68"/>
      <c r="I324" s="68"/>
      <c r="J324" s="68"/>
      <c r="K324" s="68"/>
      <c r="L324" s="68"/>
      <c r="M324" s="68"/>
      <c r="N324" s="68"/>
      <c r="O324" s="68"/>
      <c r="P324" s="217"/>
      <c r="Q324" s="217"/>
      <c r="R324" s="217"/>
      <c r="S324" s="217"/>
      <c r="T324" s="217"/>
      <c r="U324" s="68"/>
      <c r="AB324" s="2"/>
    </row>
    <row r="325" spans="1:33">
      <c r="A325" s="220"/>
      <c r="B325" s="220"/>
      <c r="C325" s="68"/>
      <c r="D325" s="68"/>
      <c r="E325" s="68"/>
      <c r="F325" s="68"/>
      <c r="G325" s="68"/>
      <c r="H325" s="68"/>
      <c r="I325" s="68"/>
      <c r="J325" s="68"/>
      <c r="K325" s="68"/>
      <c r="L325" s="68"/>
      <c r="M325" s="68"/>
      <c r="N325" s="68"/>
      <c r="O325" s="68"/>
      <c r="P325" s="68"/>
      <c r="Q325" s="68"/>
      <c r="T325" s="68"/>
      <c r="U325" s="68"/>
    </row>
    <row r="326" spans="1:33">
      <c r="A326" s="222" t="s">
        <v>1136</v>
      </c>
      <c r="B326" s="220"/>
      <c r="C326" s="68"/>
      <c r="D326" s="68"/>
      <c r="E326" s="68"/>
      <c r="F326" s="68"/>
      <c r="G326" s="68"/>
      <c r="H326" s="68"/>
      <c r="I326" s="68"/>
      <c r="J326" s="68"/>
      <c r="K326" s="68"/>
      <c r="L326" s="68"/>
      <c r="M326" s="68"/>
      <c r="N326" s="68"/>
      <c r="O326" s="68"/>
      <c r="P326" s="68"/>
      <c r="Q326" s="68"/>
      <c r="T326" s="68"/>
      <c r="U326" s="68"/>
    </row>
    <row r="327" spans="1:33">
      <c r="A327" s="222"/>
      <c r="B327" s="220"/>
      <c r="C327" s="68"/>
      <c r="D327" s="68"/>
      <c r="E327" s="68"/>
      <c r="F327" s="68"/>
      <c r="G327" s="68"/>
      <c r="H327" s="68"/>
      <c r="I327" s="68"/>
      <c r="J327" s="68"/>
      <c r="K327" s="68"/>
      <c r="L327" s="68"/>
      <c r="M327" s="68"/>
      <c r="N327" s="68"/>
      <c r="O327" s="68"/>
      <c r="P327" s="68"/>
      <c r="Q327" s="68"/>
      <c r="T327" s="68"/>
      <c r="U327" s="68"/>
    </row>
    <row r="328" spans="1:33" ht="45">
      <c r="A328" s="220" t="s">
        <v>5109</v>
      </c>
      <c r="B328" s="221" t="s">
        <v>5111</v>
      </c>
      <c r="C328" s="217" t="s">
        <v>5733</v>
      </c>
      <c r="D328" s="217" t="s">
        <v>5733</v>
      </c>
      <c r="E328" s="217" t="s">
        <v>5733</v>
      </c>
      <c r="F328" s="223" t="s">
        <v>5982</v>
      </c>
      <c r="G328" s="223" t="s">
        <v>5982</v>
      </c>
      <c r="H328" s="223" t="s">
        <v>5982</v>
      </c>
      <c r="I328" s="223" t="s">
        <v>5110</v>
      </c>
      <c r="J328" s="223" t="s">
        <v>5110</v>
      </c>
      <c r="K328" s="68"/>
      <c r="L328" s="68"/>
      <c r="M328" s="68"/>
      <c r="N328" s="68"/>
      <c r="O328" s="217" t="s">
        <v>6342</v>
      </c>
      <c r="P328" s="223"/>
      <c r="Q328" s="223" t="s">
        <v>5613</v>
      </c>
      <c r="R328" s="223" t="s">
        <v>5613</v>
      </c>
      <c r="S328" s="223" t="s">
        <v>5613</v>
      </c>
      <c r="T328" s="223"/>
      <c r="U328" s="68"/>
    </row>
    <row r="329" spans="1:33">
      <c r="A329" s="220"/>
      <c r="B329" s="220"/>
      <c r="C329" s="68"/>
      <c r="D329" s="68"/>
      <c r="E329" s="68"/>
      <c r="F329" s="68"/>
      <c r="G329" s="68"/>
      <c r="H329" s="68"/>
      <c r="I329" s="68"/>
      <c r="J329" s="68"/>
      <c r="K329" s="68"/>
      <c r="L329" s="68"/>
      <c r="M329" s="68"/>
      <c r="N329" s="68"/>
      <c r="O329" s="68"/>
      <c r="P329" s="68"/>
      <c r="Q329" s="68"/>
      <c r="T329" s="68"/>
      <c r="U329" s="68"/>
    </row>
    <row r="330" spans="1:33" ht="351">
      <c r="A330" s="220" t="s">
        <v>5142</v>
      </c>
      <c r="B330" s="220"/>
      <c r="C330" s="217" t="s">
        <v>39</v>
      </c>
      <c r="D330" s="217" t="s">
        <v>39</v>
      </c>
      <c r="E330" s="217" t="s">
        <v>39</v>
      </c>
      <c r="F330" s="217"/>
      <c r="G330" s="217"/>
      <c r="H330" s="217"/>
      <c r="I330" s="217" t="s">
        <v>5143</v>
      </c>
      <c r="J330" s="217" t="s">
        <v>5143</v>
      </c>
      <c r="K330" s="217" t="s">
        <v>5143</v>
      </c>
      <c r="L330" s="217"/>
      <c r="M330" s="217"/>
      <c r="N330" s="217"/>
      <c r="O330" s="217"/>
      <c r="P330" s="217"/>
      <c r="Q330" s="217" t="s">
        <v>6028</v>
      </c>
      <c r="T330" s="217"/>
      <c r="U330" s="68"/>
    </row>
    <row r="331" spans="1:33" ht="365.1" customHeight="1">
      <c r="A331" s="221" t="s">
        <v>5394</v>
      </c>
      <c r="B331" s="220"/>
      <c r="C331" s="217" t="s">
        <v>5396</v>
      </c>
      <c r="D331" s="217" t="s">
        <v>5396</v>
      </c>
      <c r="E331" s="217" t="s">
        <v>5396</v>
      </c>
      <c r="F331" s="217" t="s">
        <v>6004</v>
      </c>
      <c r="G331" s="217" t="s">
        <v>6004</v>
      </c>
      <c r="H331" s="217" t="s">
        <v>6004</v>
      </c>
      <c r="I331" s="217" t="s">
        <v>5614</v>
      </c>
      <c r="J331" s="217" t="s">
        <v>5614</v>
      </c>
      <c r="K331" s="217" t="s">
        <v>5614</v>
      </c>
      <c r="L331" s="217"/>
      <c r="M331" s="217"/>
      <c r="N331" s="217"/>
      <c r="O331" s="217"/>
      <c r="P331" s="217"/>
      <c r="Q331" s="217" t="s">
        <v>6003</v>
      </c>
      <c r="R331" s="217" t="s">
        <v>6003</v>
      </c>
      <c r="S331" s="217" t="s">
        <v>6003</v>
      </c>
      <c r="T331" s="217" t="s">
        <v>6003</v>
      </c>
      <c r="U331" s="217" t="s">
        <v>6004</v>
      </c>
    </row>
    <row r="332" spans="1:33" ht="150" customHeight="1">
      <c r="A332" s="221" t="s">
        <v>5395</v>
      </c>
      <c r="B332" s="220"/>
      <c r="C332" s="217" t="s">
        <v>5397</v>
      </c>
      <c r="D332" s="217" t="s">
        <v>5397</v>
      </c>
      <c r="E332" s="217" t="s">
        <v>5397</v>
      </c>
      <c r="F332" s="217"/>
      <c r="G332" s="217"/>
      <c r="H332" s="217"/>
      <c r="I332" s="217" t="s">
        <v>5393</v>
      </c>
      <c r="J332" s="217" t="s">
        <v>5393</v>
      </c>
      <c r="K332" s="217" t="s">
        <v>5393</v>
      </c>
      <c r="L332" s="217"/>
      <c r="M332" s="217"/>
      <c r="N332" s="217"/>
      <c r="O332" s="217"/>
      <c r="P332" s="217"/>
      <c r="Q332" s="217" t="s">
        <v>39</v>
      </c>
      <c r="R332" s="217" t="s">
        <v>39</v>
      </c>
      <c r="S332" s="217" t="s">
        <v>39</v>
      </c>
      <c r="T332" s="217" t="s">
        <v>39</v>
      </c>
      <c r="U332" s="68"/>
    </row>
    <row r="333" spans="1:33">
      <c r="A333" s="220" t="s">
        <v>5145</v>
      </c>
      <c r="B333" s="220"/>
      <c r="C333" s="68"/>
      <c r="D333" s="68"/>
      <c r="E333" s="68"/>
      <c r="F333" s="68"/>
      <c r="G333" s="68"/>
      <c r="H333" s="68"/>
      <c r="I333" s="68"/>
      <c r="J333" s="68"/>
      <c r="K333" s="68"/>
      <c r="L333" s="68"/>
      <c r="M333" s="68"/>
      <c r="N333" s="68"/>
      <c r="O333" s="68"/>
      <c r="P333" s="68"/>
      <c r="Q333" s="68"/>
      <c r="T333" s="68"/>
      <c r="U333" s="68"/>
    </row>
    <row r="334" spans="1:33">
      <c r="A334" s="220" t="s">
        <v>5144</v>
      </c>
      <c r="B334" s="220"/>
      <c r="C334" s="217"/>
      <c r="D334" s="217"/>
      <c r="E334" s="225">
        <v>1000000</v>
      </c>
      <c r="F334" s="217"/>
      <c r="G334" s="217"/>
      <c r="H334" s="217"/>
      <c r="I334" s="224">
        <v>800000</v>
      </c>
      <c r="J334" s="224">
        <v>800000</v>
      </c>
      <c r="K334" s="68" t="s">
        <v>39</v>
      </c>
      <c r="L334" s="224">
        <v>800000</v>
      </c>
      <c r="M334" s="224">
        <v>800000</v>
      </c>
      <c r="N334" s="224">
        <v>800000</v>
      </c>
      <c r="O334" s="224">
        <v>800000</v>
      </c>
      <c r="P334" s="224" t="s">
        <v>39</v>
      </c>
      <c r="Q334" s="224">
        <v>1000000</v>
      </c>
      <c r="R334" s="224">
        <v>1000000</v>
      </c>
      <c r="S334" s="224">
        <v>1000000</v>
      </c>
      <c r="T334" s="224">
        <v>1000000</v>
      </c>
      <c r="U334" s="68"/>
    </row>
    <row r="335" spans="1:33">
      <c r="A335" s="220" t="s">
        <v>5148</v>
      </c>
      <c r="B335" s="220"/>
      <c r="C335" s="224"/>
      <c r="D335" s="224"/>
      <c r="E335" s="224"/>
      <c r="F335" s="225">
        <v>1000000</v>
      </c>
      <c r="G335" s="225">
        <v>1000000</v>
      </c>
      <c r="H335" s="225">
        <v>1000000</v>
      </c>
      <c r="I335" s="224"/>
      <c r="J335" s="224"/>
      <c r="K335" s="68"/>
      <c r="L335" s="68"/>
      <c r="M335" s="68"/>
      <c r="N335" s="68"/>
      <c r="O335" s="68"/>
      <c r="P335" s="224" t="s">
        <v>39</v>
      </c>
      <c r="Q335" s="224"/>
      <c r="R335" s="224"/>
      <c r="S335" s="224"/>
      <c r="T335" s="224"/>
      <c r="U335" s="68"/>
    </row>
    <row r="336" spans="1:33" ht="18">
      <c r="A336" s="221" t="s">
        <v>5998</v>
      </c>
      <c r="B336" s="220"/>
      <c r="C336" s="217" t="s">
        <v>5313</v>
      </c>
      <c r="D336" s="217" t="s">
        <v>5313</v>
      </c>
      <c r="E336" s="217" t="s">
        <v>5313</v>
      </c>
      <c r="F336" s="217" t="s">
        <v>6083</v>
      </c>
      <c r="G336" s="217" t="s">
        <v>6083</v>
      </c>
      <c r="H336" s="217" t="s">
        <v>6083</v>
      </c>
      <c r="I336" s="217" t="s">
        <v>5150</v>
      </c>
      <c r="J336" s="217" t="s">
        <v>5150</v>
      </c>
      <c r="K336" s="68" t="s">
        <v>39</v>
      </c>
      <c r="L336" s="68"/>
      <c r="M336" s="68"/>
      <c r="N336" s="68"/>
      <c r="O336" s="68"/>
      <c r="P336" s="217" t="s">
        <v>39</v>
      </c>
      <c r="Q336" s="217" t="s">
        <v>5551</v>
      </c>
      <c r="R336" s="217" t="s">
        <v>5551</v>
      </c>
      <c r="S336" s="217" t="s">
        <v>5551</v>
      </c>
      <c r="T336" s="217" t="s">
        <v>5551</v>
      </c>
      <c r="U336" s="68"/>
    </row>
    <row r="337" spans="1:21" ht="18">
      <c r="A337" s="220" t="s">
        <v>5146</v>
      </c>
      <c r="B337" s="220"/>
      <c r="C337" s="247">
        <v>20000</v>
      </c>
      <c r="D337" s="247">
        <v>20000</v>
      </c>
      <c r="E337" s="247">
        <v>20000</v>
      </c>
      <c r="F337" s="247" t="s">
        <v>6001</v>
      </c>
      <c r="G337" s="247" t="s">
        <v>6001</v>
      </c>
      <c r="H337" s="247" t="s">
        <v>6001</v>
      </c>
      <c r="I337" s="225" t="s">
        <v>5149</v>
      </c>
      <c r="J337" s="225" t="s">
        <v>5149</v>
      </c>
      <c r="K337" s="68" t="s">
        <v>39</v>
      </c>
      <c r="L337" s="225" t="s">
        <v>5149</v>
      </c>
      <c r="M337" s="225" t="s">
        <v>5149</v>
      </c>
      <c r="N337" s="225" t="s">
        <v>5149</v>
      </c>
      <c r="O337" s="225" t="s">
        <v>5149</v>
      </c>
      <c r="P337" s="225" t="s">
        <v>39</v>
      </c>
      <c r="Q337" s="217" t="s">
        <v>5550</v>
      </c>
      <c r="R337" s="217" t="s">
        <v>5550</v>
      </c>
      <c r="S337" s="217" t="s">
        <v>5550</v>
      </c>
      <c r="T337" s="217" t="s">
        <v>5550</v>
      </c>
      <c r="U337" s="68"/>
    </row>
    <row r="338" spans="1:21">
      <c r="A338" s="220" t="s">
        <v>5147</v>
      </c>
      <c r="B338" s="220"/>
      <c r="C338" s="247">
        <v>1000000</v>
      </c>
      <c r="D338" s="247">
        <v>1000000</v>
      </c>
      <c r="E338" s="247">
        <v>10000</v>
      </c>
      <c r="F338" s="247">
        <v>500000</v>
      </c>
      <c r="G338" s="247">
        <v>100000</v>
      </c>
      <c r="H338" s="247" t="s">
        <v>6002</v>
      </c>
      <c r="I338" s="224">
        <v>50000</v>
      </c>
      <c r="J338" s="224">
        <v>50000</v>
      </c>
      <c r="K338" s="68" t="s">
        <v>39</v>
      </c>
      <c r="L338" s="257">
        <v>50000</v>
      </c>
      <c r="M338" s="257">
        <v>75000</v>
      </c>
      <c r="N338" s="257">
        <v>75000</v>
      </c>
      <c r="O338" s="257">
        <v>25000</v>
      </c>
      <c r="P338" s="224" t="s">
        <v>39</v>
      </c>
      <c r="Q338" s="224"/>
      <c r="R338" s="224"/>
      <c r="S338" s="224"/>
      <c r="T338" s="224"/>
      <c r="U338" s="68"/>
    </row>
    <row r="339" spans="1:21" ht="18">
      <c r="A339" s="221" t="s">
        <v>5999</v>
      </c>
      <c r="B339" s="220"/>
      <c r="C339" s="247">
        <v>150</v>
      </c>
      <c r="D339" s="247">
        <v>150</v>
      </c>
      <c r="E339" s="247">
        <v>150</v>
      </c>
      <c r="F339" s="247" t="s">
        <v>6000</v>
      </c>
      <c r="G339" s="247" t="s">
        <v>6000</v>
      </c>
      <c r="H339" s="247" t="s">
        <v>6000</v>
      </c>
      <c r="I339" s="217" t="s">
        <v>5151</v>
      </c>
      <c r="J339" s="217" t="s">
        <v>5151</v>
      </c>
      <c r="K339" s="68" t="s">
        <v>39</v>
      </c>
      <c r="L339" s="217" t="s">
        <v>6333</v>
      </c>
      <c r="M339" s="217" t="s">
        <v>6333</v>
      </c>
      <c r="N339" s="217" t="s">
        <v>6333</v>
      </c>
      <c r="O339" s="217" t="s">
        <v>6333</v>
      </c>
      <c r="P339" s="217" t="s">
        <v>39</v>
      </c>
      <c r="Q339" s="217" t="s">
        <v>5553</v>
      </c>
      <c r="R339" s="217" t="s">
        <v>5553</v>
      </c>
      <c r="S339" s="217" t="s">
        <v>5553</v>
      </c>
      <c r="T339" s="217" t="s">
        <v>5553</v>
      </c>
      <c r="U339" s="68"/>
    </row>
    <row r="340" spans="1:21" ht="18">
      <c r="A340" s="220" t="s">
        <v>5383</v>
      </c>
      <c r="B340" s="220"/>
      <c r="C340" s="247">
        <v>150</v>
      </c>
      <c r="D340" s="247">
        <v>150</v>
      </c>
      <c r="E340" s="247">
        <v>150</v>
      </c>
      <c r="F340" s="247"/>
      <c r="G340" s="247"/>
      <c r="H340" s="247"/>
      <c r="I340" s="217"/>
      <c r="J340" s="217"/>
      <c r="K340" s="68"/>
      <c r="L340" s="68"/>
      <c r="M340" s="68"/>
      <c r="N340" s="68"/>
      <c r="O340" s="68"/>
      <c r="P340" s="217" t="s">
        <v>39</v>
      </c>
      <c r="Q340" s="217" t="s">
        <v>5552</v>
      </c>
      <c r="R340" s="217" t="s">
        <v>5552</v>
      </c>
      <c r="S340" s="217" t="s">
        <v>5552</v>
      </c>
      <c r="T340" s="217" t="s">
        <v>5552</v>
      </c>
      <c r="U340" s="68"/>
    </row>
    <row r="341" spans="1:21">
      <c r="A341" s="220" t="s">
        <v>5380</v>
      </c>
      <c r="B341" s="220"/>
      <c r="C341" s="247">
        <v>3000</v>
      </c>
      <c r="D341" s="247">
        <v>3000</v>
      </c>
      <c r="E341" s="247">
        <v>3000</v>
      </c>
      <c r="F341" s="247">
        <v>2500</v>
      </c>
      <c r="G341" s="247">
        <v>2500</v>
      </c>
      <c r="H341" s="247">
        <v>2500</v>
      </c>
      <c r="I341" s="68" t="s">
        <v>5152</v>
      </c>
      <c r="J341" s="68" t="s">
        <v>5152</v>
      </c>
      <c r="K341" s="68" t="s">
        <v>5152</v>
      </c>
      <c r="L341" s="257">
        <v>1500</v>
      </c>
      <c r="M341" s="257">
        <v>1500</v>
      </c>
      <c r="N341" s="257">
        <v>1500</v>
      </c>
      <c r="O341" s="257">
        <v>1500</v>
      </c>
      <c r="P341" s="68" t="s">
        <v>39</v>
      </c>
      <c r="Q341" s="257">
        <v>2000</v>
      </c>
      <c r="R341" s="257">
        <v>2000</v>
      </c>
      <c r="S341" s="257">
        <v>2000</v>
      </c>
      <c r="T341" s="257">
        <v>2000</v>
      </c>
      <c r="U341" s="68"/>
    </row>
    <row r="342" spans="1:21">
      <c r="A342" s="220" t="s">
        <v>5381</v>
      </c>
      <c r="B342" s="220"/>
      <c r="C342" s="68" t="s">
        <v>5382</v>
      </c>
      <c r="D342" s="68" t="s">
        <v>5382</v>
      </c>
      <c r="E342" s="68" t="s">
        <v>5382</v>
      </c>
      <c r="F342" s="68" t="s">
        <v>39</v>
      </c>
      <c r="G342" s="68" t="s">
        <v>39</v>
      </c>
      <c r="H342" s="68" t="s">
        <v>39</v>
      </c>
      <c r="I342" s="68" t="s">
        <v>39</v>
      </c>
      <c r="J342" s="68" t="s">
        <v>39</v>
      </c>
      <c r="K342" s="68" t="s">
        <v>39</v>
      </c>
      <c r="L342" s="68" t="s">
        <v>39</v>
      </c>
      <c r="M342" s="68" t="s">
        <v>39</v>
      </c>
      <c r="N342" s="68" t="s">
        <v>39</v>
      </c>
      <c r="O342" s="68" t="s">
        <v>39</v>
      </c>
      <c r="P342" s="68" t="s">
        <v>39</v>
      </c>
      <c r="Q342" s="68" t="s">
        <v>39</v>
      </c>
      <c r="R342" s="68" t="s">
        <v>39</v>
      </c>
      <c r="S342" s="68" t="s">
        <v>39</v>
      </c>
      <c r="T342" s="68" t="s">
        <v>39</v>
      </c>
      <c r="U342" s="68"/>
    </row>
    <row r="343" spans="1:21">
      <c r="A343" s="220" t="s">
        <v>6334</v>
      </c>
      <c r="B343" s="220"/>
      <c r="C343" s="68" t="s">
        <v>39</v>
      </c>
      <c r="D343" s="68" t="s">
        <v>39</v>
      </c>
      <c r="E343" s="68" t="s">
        <v>39</v>
      </c>
      <c r="F343" s="68" t="s">
        <v>39</v>
      </c>
      <c r="G343" s="68" t="s">
        <v>39</v>
      </c>
      <c r="H343" s="68" t="s">
        <v>39</v>
      </c>
      <c r="I343" s="68" t="s">
        <v>39</v>
      </c>
      <c r="J343" s="68" t="s">
        <v>39</v>
      </c>
      <c r="K343" s="68" t="s">
        <v>39</v>
      </c>
      <c r="L343" s="257">
        <v>3000</v>
      </c>
      <c r="M343" s="257">
        <v>3000</v>
      </c>
      <c r="N343" s="257">
        <v>3000</v>
      </c>
      <c r="O343" s="257">
        <v>3000</v>
      </c>
      <c r="P343" s="68" t="s">
        <v>39</v>
      </c>
      <c r="Q343" s="68" t="s">
        <v>39</v>
      </c>
      <c r="R343" s="68" t="s">
        <v>39</v>
      </c>
      <c r="S343" s="68" t="s">
        <v>39</v>
      </c>
      <c r="T343" s="68" t="s">
        <v>39</v>
      </c>
      <c r="U343" s="68"/>
    </row>
    <row r="344" spans="1:21">
      <c r="A344" s="220"/>
      <c r="B344" s="220"/>
      <c r="C344" s="68"/>
      <c r="D344" s="68"/>
      <c r="E344" s="68"/>
      <c r="F344" s="68"/>
      <c r="G344" s="68"/>
      <c r="H344" s="68"/>
      <c r="I344" s="68"/>
      <c r="J344" s="68"/>
      <c r="K344" s="68"/>
      <c r="L344" s="68"/>
      <c r="M344" s="68"/>
      <c r="N344" s="68"/>
      <c r="O344" s="68"/>
      <c r="P344" s="68" t="s">
        <v>39</v>
      </c>
      <c r="Q344" s="68"/>
      <c r="T344" s="68"/>
      <c r="U344" s="68"/>
    </row>
    <row r="345" spans="1:21" ht="18">
      <c r="A345" s="245" t="s">
        <v>5356</v>
      </c>
      <c r="B345" s="220"/>
      <c r="C345" s="68"/>
      <c r="D345" s="68"/>
      <c r="E345" s="68"/>
      <c r="F345" s="68"/>
      <c r="G345" s="68"/>
      <c r="H345" s="68"/>
      <c r="I345" s="68"/>
      <c r="J345" s="68"/>
      <c r="K345" s="68"/>
      <c r="L345" s="68"/>
      <c r="M345" s="68"/>
      <c r="N345" s="68"/>
      <c r="O345" s="68"/>
      <c r="P345" s="68" t="s">
        <v>39</v>
      </c>
      <c r="Q345" s="68"/>
      <c r="T345" s="68"/>
      <c r="U345" s="68"/>
    </row>
    <row r="346" spans="1:21" ht="36">
      <c r="A346" s="221" t="s">
        <v>5364</v>
      </c>
      <c r="B346" s="220"/>
      <c r="C346" s="217" t="s">
        <v>5357</v>
      </c>
      <c r="D346" s="217" t="s">
        <v>5357</v>
      </c>
      <c r="E346" s="217" t="s">
        <v>5358</v>
      </c>
      <c r="F346" s="217" t="s">
        <v>5780</v>
      </c>
      <c r="G346" s="217" t="s">
        <v>5700</v>
      </c>
      <c r="H346" s="217"/>
      <c r="I346" s="217" t="s">
        <v>5361</v>
      </c>
      <c r="J346" s="217" t="s">
        <v>5361</v>
      </c>
      <c r="K346" s="217" t="s">
        <v>5360</v>
      </c>
      <c r="L346" s="217"/>
      <c r="M346" s="217"/>
      <c r="N346" s="217"/>
      <c r="O346" s="217"/>
      <c r="P346" s="217" t="s">
        <v>39</v>
      </c>
      <c r="Q346" s="217" t="s">
        <v>5495</v>
      </c>
      <c r="R346" s="217" t="s">
        <v>5495</v>
      </c>
      <c r="S346" s="217" t="s">
        <v>5495</v>
      </c>
      <c r="T346" s="217" t="s">
        <v>5653</v>
      </c>
      <c r="U346" s="68"/>
    </row>
    <row r="347" spans="1:21" ht="36">
      <c r="A347" s="221" t="s">
        <v>5365</v>
      </c>
      <c r="B347" s="220"/>
      <c r="C347" s="217" t="s">
        <v>5363</v>
      </c>
      <c r="D347" s="217" t="s">
        <v>5363</v>
      </c>
      <c r="E347" s="217" t="s">
        <v>5363</v>
      </c>
      <c r="F347" s="217" t="s">
        <v>5781</v>
      </c>
      <c r="G347" s="217" t="s">
        <v>5699</v>
      </c>
      <c r="H347" s="217"/>
      <c r="I347" s="68"/>
      <c r="J347" s="68"/>
      <c r="K347" s="68"/>
      <c r="L347" s="68"/>
      <c r="M347" s="68"/>
      <c r="N347" s="68"/>
      <c r="O347" s="68"/>
      <c r="P347" s="68" t="s">
        <v>39</v>
      </c>
      <c r="Q347" s="217" t="s">
        <v>5497</v>
      </c>
      <c r="R347" s="217" t="s">
        <v>5497</v>
      </c>
      <c r="S347" s="217" t="s">
        <v>5497</v>
      </c>
      <c r="T347" s="217" t="s">
        <v>5652</v>
      </c>
      <c r="U347" s="68"/>
    </row>
    <row r="348" spans="1:21" ht="27">
      <c r="A348" s="221" t="s">
        <v>5366</v>
      </c>
      <c r="B348" s="220"/>
      <c r="C348" s="217" t="s">
        <v>5367</v>
      </c>
      <c r="D348" s="217" t="s">
        <v>5367</v>
      </c>
      <c r="E348" s="217" t="s">
        <v>5367</v>
      </c>
      <c r="F348" s="217" t="s">
        <v>39</v>
      </c>
      <c r="G348" s="217" t="s">
        <v>39</v>
      </c>
      <c r="H348" s="217"/>
      <c r="I348" s="68"/>
      <c r="J348" s="68"/>
      <c r="K348" s="68"/>
      <c r="L348" s="68"/>
      <c r="M348" s="68"/>
      <c r="N348" s="68"/>
      <c r="O348" s="68"/>
      <c r="P348" s="68" t="s">
        <v>39</v>
      </c>
      <c r="Q348" s="68" t="s">
        <v>39</v>
      </c>
      <c r="R348" s="68" t="s">
        <v>39</v>
      </c>
      <c r="S348" s="68" t="s">
        <v>39</v>
      </c>
      <c r="T348" s="68" t="s">
        <v>39</v>
      </c>
      <c r="U348" s="68"/>
    </row>
    <row r="349" spans="1:21">
      <c r="A349" s="220"/>
      <c r="B349" s="220"/>
      <c r="C349" s="68"/>
      <c r="D349" s="68"/>
      <c r="E349" s="68"/>
      <c r="F349" s="68"/>
      <c r="G349" s="68"/>
      <c r="H349" s="68"/>
      <c r="I349" s="68"/>
      <c r="J349" s="68"/>
      <c r="K349" s="68"/>
      <c r="L349" s="68"/>
      <c r="M349" s="68"/>
      <c r="N349" s="68"/>
      <c r="O349" s="68"/>
      <c r="P349" s="68" t="s">
        <v>39</v>
      </c>
      <c r="Q349" s="68"/>
      <c r="T349" s="68"/>
      <c r="U349" s="68"/>
    </row>
    <row r="350" spans="1:21" ht="90">
      <c r="A350" s="220" t="s">
        <v>5537</v>
      </c>
      <c r="B350" s="220"/>
      <c r="C350" s="68"/>
      <c r="D350" s="68"/>
      <c r="E350" s="68"/>
      <c r="F350" s="68" t="s">
        <v>39</v>
      </c>
      <c r="G350" s="68" t="s">
        <v>39</v>
      </c>
      <c r="H350" s="217" t="s">
        <v>5950</v>
      </c>
      <c r="I350" s="68"/>
      <c r="J350" s="68"/>
      <c r="K350" s="68"/>
      <c r="L350" s="68"/>
      <c r="M350" s="68"/>
      <c r="N350" s="68"/>
      <c r="O350" s="68"/>
      <c r="P350" s="68" t="s">
        <v>39</v>
      </c>
      <c r="Q350" s="217" t="s">
        <v>5538</v>
      </c>
      <c r="R350" s="217" t="s">
        <v>5538</v>
      </c>
      <c r="S350" s="217" t="s">
        <v>5538</v>
      </c>
      <c r="T350" s="68" t="s">
        <v>39</v>
      </c>
      <c r="U350" s="68"/>
    </row>
    <row r="351" spans="1:21">
      <c r="A351" s="220"/>
      <c r="B351" s="220"/>
      <c r="C351" s="68"/>
      <c r="D351" s="68"/>
      <c r="E351" s="68"/>
      <c r="F351" s="68"/>
      <c r="G351" s="68"/>
      <c r="H351" s="68"/>
      <c r="I351" s="68"/>
      <c r="J351" s="68"/>
      <c r="K351" s="68"/>
      <c r="L351" s="68"/>
      <c r="M351" s="68"/>
      <c r="N351" s="68"/>
      <c r="O351" s="68"/>
      <c r="P351" s="68"/>
      <c r="Q351" s="68"/>
      <c r="T351" s="68"/>
      <c r="U351" s="68"/>
    </row>
    <row r="352" spans="1:21">
      <c r="A352" s="220"/>
      <c r="B352" s="220"/>
      <c r="C352" s="68"/>
      <c r="D352" s="68"/>
      <c r="E352" s="68"/>
      <c r="F352" s="68"/>
      <c r="G352" s="68"/>
      <c r="H352" s="68"/>
      <c r="I352" s="68"/>
      <c r="J352" s="68"/>
      <c r="K352" s="68"/>
      <c r="L352" s="68"/>
      <c r="M352" s="68"/>
      <c r="N352" s="68"/>
      <c r="O352" s="68"/>
      <c r="P352" s="68"/>
      <c r="Q352" s="68"/>
      <c r="T352" s="68"/>
      <c r="U352" s="68"/>
    </row>
    <row r="353" spans="1:21" ht="27">
      <c r="A353" s="220" t="s">
        <v>5547</v>
      </c>
      <c r="B353" s="220"/>
      <c r="C353" s="68"/>
      <c r="D353" s="68"/>
      <c r="E353" s="68"/>
      <c r="F353" s="217" t="s">
        <v>5976</v>
      </c>
      <c r="G353" s="217" t="s">
        <v>5976</v>
      </c>
      <c r="H353" s="217" t="s">
        <v>5976</v>
      </c>
      <c r="I353" s="68"/>
      <c r="J353" s="68"/>
      <c r="K353" s="68"/>
      <c r="L353" s="68"/>
      <c r="M353" s="68"/>
      <c r="N353" s="68"/>
      <c r="O353" s="68"/>
      <c r="P353" s="68"/>
      <c r="Q353" s="257">
        <v>40</v>
      </c>
      <c r="R353" s="257">
        <v>40</v>
      </c>
      <c r="S353" s="257">
        <v>40</v>
      </c>
      <c r="T353" s="257">
        <v>40</v>
      </c>
      <c r="U353" s="68"/>
    </row>
    <row r="354" spans="1:21" ht="36">
      <c r="A354" s="221" t="s">
        <v>5546</v>
      </c>
      <c r="B354" s="220"/>
      <c r="C354" s="68"/>
      <c r="D354" s="68"/>
      <c r="E354" s="68"/>
      <c r="F354" s="217" t="s">
        <v>5977</v>
      </c>
      <c r="G354" s="217" t="s">
        <v>5977</v>
      </c>
      <c r="H354" s="217" t="s">
        <v>5977</v>
      </c>
      <c r="I354" s="68"/>
      <c r="J354" s="68"/>
      <c r="K354" s="68"/>
      <c r="L354" s="68"/>
      <c r="M354" s="68"/>
      <c r="N354" s="68"/>
      <c r="O354" s="68"/>
      <c r="P354" s="68"/>
      <c r="Q354" s="217" t="s">
        <v>6118</v>
      </c>
      <c r="R354" s="217" t="s">
        <v>6118</v>
      </c>
      <c r="S354" s="217" t="s">
        <v>6118</v>
      </c>
      <c r="T354" s="217" t="s">
        <v>6118</v>
      </c>
      <c r="U354" s="68"/>
    </row>
    <row r="355" spans="1:21" ht="54">
      <c r="A355" s="220" t="s">
        <v>5544</v>
      </c>
      <c r="B355" s="220"/>
      <c r="C355" s="68"/>
      <c r="D355" s="68"/>
      <c r="E355" s="68"/>
      <c r="F355" s="217" t="s">
        <v>5980</v>
      </c>
      <c r="G355" s="217" t="s">
        <v>5981</v>
      </c>
      <c r="H355" s="264" t="s">
        <v>5979</v>
      </c>
      <c r="I355" s="68"/>
      <c r="J355" s="68"/>
      <c r="K355" s="68"/>
      <c r="L355" s="68"/>
      <c r="M355" s="68"/>
      <c r="N355" s="68"/>
      <c r="O355" s="68"/>
      <c r="P355" s="68"/>
      <c r="Q355" s="68" t="s">
        <v>39</v>
      </c>
      <c r="R355" s="68" t="s">
        <v>39</v>
      </c>
      <c r="S355" s="68" t="s">
        <v>39</v>
      </c>
      <c r="T355" s="217" t="s">
        <v>5549</v>
      </c>
      <c r="U355" s="68"/>
    </row>
    <row r="356" spans="1:21" ht="27">
      <c r="A356" s="221" t="s">
        <v>5545</v>
      </c>
      <c r="B356" s="220"/>
      <c r="C356" s="68"/>
      <c r="D356" s="68"/>
      <c r="E356" s="68"/>
      <c r="F356" s="217" t="s">
        <v>5978</v>
      </c>
      <c r="G356" s="217" t="s">
        <v>5978</v>
      </c>
      <c r="H356" s="217" t="s">
        <v>5978</v>
      </c>
      <c r="I356" s="68"/>
      <c r="J356" s="68"/>
      <c r="K356" s="68"/>
      <c r="L356" s="68"/>
      <c r="M356" s="68"/>
      <c r="N356" s="68"/>
      <c r="O356" s="68"/>
      <c r="P356" s="68"/>
      <c r="Q356" s="256">
        <v>0.1</v>
      </c>
      <c r="R356" s="256">
        <v>0.1</v>
      </c>
      <c r="S356" s="256">
        <v>0.1</v>
      </c>
      <c r="T356" s="256">
        <v>0.1</v>
      </c>
      <c r="U356" s="68"/>
    </row>
    <row r="357" spans="1:21">
      <c r="A357" s="220"/>
      <c r="B357" s="220"/>
      <c r="C357" s="68"/>
      <c r="D357" s="68"/>
      <c r="E357" s="68"/>
      <c r="F357" s="68"/>
      <c r="G357" s="68"/>
      <c r="H357" s="68"/>
      <c r="I357" s="68"/>
      <c r="J357" s="68"/>
      <c r="K357" s="68"/>
      <c r="L357" s="68"/>
      <c r="M357" s="68"/>
      <c r="N357" s="68"/>
      <c r="O357" s="68"/>
      <c r="P357" s="68"/>
      <c r="Q357" s="68"/>
      <c r="T357" s="68"/>
      <c r="U357" s="68"/>
    </row>
    <row r="358" spans="1:21" ht="18">
      <c r="A358" s="245" t="s">
        <v>6018</v>
      </c>
      <c r="B358" s="220"/>
      <c r="C358" s="68"/>
      <c r="D358" s="68"/>
      <c r="E358" s="68"/>
      <c r="F358" s="68"/>
      <c r="G358" s="68"/>
      <c r="H358" s="68"/>
      <c r="I358" s="68"/>
      <c r="J358" s="68"/>
      <c r="K358" s="68"/>
      <c r="L358" s="68"/>
      <c r="M358" s="68"/>
      <c r="N358" s="68"/>
      <c r="O358" s="68"/>
      <c r="P358" s="68"/>
      <c r="Q358" s="68"/>
      <c r="T358" s="68"/>
      <c r="U358" s="68"/>
    </row>
    <row r="359" spans="1:21" ht="45">
      <c r="A359" s="221" t="s">
        <v>6020</v>
      </c>
      <c r="B359" s="220"/>
      <c r="C359" s="220"/>
      <c r="D359" s="220"/>
      <c r="E359" s="220"/>
      <c r="F359" s="68" t="s">
        <v>39</v>
      </c>
      <c r="G359" s="68" t="s">
        <v>39</v>
      </c>
      <c r="H359" s="221" t="s">
        <v>6017</v>
      </c>
      <c r="I359" s="220"/>
      <c r="J359" s="220"/>
      <c r="K359" s="220"/>
      <c r="L359" s="220"/>
      <c r="M359" s="220"/>
      <c r="N359" s="220"/>
      <c r="O359" s="220"/>
      <c r="P359" s="220"/>
      <c r="Q359" s="68" t="s">
        <v>39</v>
      </c>
      <c r="R359" s="68" t="s">
        <v>39</v>
      </c>
      <c r="S359" s="68" t="s">
        <v>39</v>
      </c>
      <c r="T359" s="220"/>
      <c r="U359" s="220"/>
    </row>
    <row r="360" spans="1:21" ht="72">
      <c r="A360" s="220" t="s">
        <v>6021</v>
      </c>
      <c r="B360" s="220"/>
      <c r="C360" s="220"/>
      <c r="D360" s="220"/>
      <c r="E360" s="220"/>
      <c r="F360" s="68" t="s">
        <v>39</v>
      </c>
      <c r="G360" s="68" t="s">
        <v>39</v>
      </c>
      <c r="H360" s="221" t="s">
        <v>6019</v>
      </c>
      <c r="I360" s="220"/>
      <c r="J360" s="220"/>
      <c r="K360" s="220"/>
      <c r="L360" s="220"/>
      <c r="M360" s="220"/>
      <c r="N360" s="220"/>
      <c r="O360" s="220"/>
      <c r="P360" s="220"/>
      <c r="Q360" s="68" t="s">
        <v>39</v>
      </c>
      <c r="R360" s="68" t="s">
        <v>39</v>
      </c>
      <c r="S360" s="68" t="s">
        <v>39</v>
      </c>
      <c r="T360" s="220"/>
      <c r="U360" s="220"/>
    </row>
    <row r="361" spans="1:21" ht="27">
      <c r="A361" s="220" t="s">
        <v>6022</v>
      </c>
      <c r="B361" s="220"/>
      <c r="C361" s="220"/>
      <c r="D361" s="220"/>
      <c r="E361" s="220"/>
      <c r="F361" s="68" t="s">
        <v>39</v>
      </c>
      <c r="G361" s="68" t="s">
        <v>39</v>
      </c>
      <c r="H361" s="221" t="s">
        <v>6023</v>
      </c>
      <c r="I361" s="220"/>
      <c r="J361" s="220"/>
      <c r="K361" s="220"/>
      <c r="L361" s="220"/>
      <c r="M361" s="220"/>
      <c r="N361" s="220"/>
      <c r="O361" s="220"/>
      <c r="P361" s="220"/>
      <c r="Q361" s="68" t="s">
        <v>39</v>
      </c>
      <c r="R361" s="68" t="s">
        <v>39</v>
      </c>
      <c r="S361" s="68" t="s">
        <v>39</v>
      </c>
      <c r="T361" s="220"/>
      <c r="U361" s="220"/>
    </row>
    <row r="362" spans="1:21" ht="36">
      <c r="A362" s="220" t="s">
        <v>6024</v>
      </c>
      <c r="B362" s="220"/>
      <c r="C362" s="220"/>
      <c r="D362" s="220"/>
      <c r="E362" s="220"/>
      <c r="F362" s="68" t="s">
        <v>39</v>
      </c>
      <c r="G362" s="68" t="s">
        <v>39</v>
      </c>
      <c r="H362" s="221" t="s">
        <v>6025</v>
      </c>
      <c r="I362" s="220"/>
      <c r="J362" s="220"/>
      <c r="K362" s="220"/>
      <c r="L362" s="220"/>
      <c r="M362" s="220"/>
      <c r="N362" s="220"/>
      <c r="O362" s="220"/>
      <c r="P362" s="220"/>
      <c r="Q362" s="68" t="s">
        <v>39</v>
      </c>
      <c r="R362" s="68" t="s">
        <v>39</v>
      </c>
      <c r="S362" s="68" t="s">
        <v>39</v>
      </c>
      <c r="T362" s="220" t="s">
        <v>41</v>
      </c>
      <c r="U362" s="220"/>
    </row>
    <row r="363" spans="1:21" ht="36">
      <c r="A363" s="220"/>
      <c r="B363" s="220"/>
      <c r="C363" s="220"/>
      <c r="D363" s="220"/>
      <c r="E363" s="220"/>
      <c r="F363" s="220"/>
      <c r="G363" s="220"/>
      <c r="H363" s="220"/>
      <c r="I363" s="220"/>
      <c r="J363" s="220"/>
      <c r="K363" s="220"/>
      <c r="L363" s="220"/>
      <c r="M363" s="220"/>
      <c r="N363" s="220"/>
      <c r="O363" s="221" t="s">
        <v>6223</v>
      </c>
      <c r="P363" s="220"/>
      <c r="Q363" s="220"/>
      <c r="T363" s="220"/>
      <c r="U363" s="220"/>
    </row>
    <row r="364" spans="1:21">
      <c r="A364" s="220"/>
      <c r="B364" s="220"/>
      <c r="C364" s="220"/>
      <c r="D364" s="220"/>
      <c r="E364" s="220"/>
      <c r="F364" s="220"/>
      <c r="G364" s="220"/>
      <c r="H364" s="220"/>
      <c r="I364" s="220"/>
      <c r="J364" s="220"/>
      <c r="K364" s="220"/>
      <c r="L364" s="220"/>
      <c r="M364" s="220"/>
      <c r="N364" s="220"/>
      <c r="O364" s="220"/>
      <c r="P364" s="220"/>
      <c r="Q364" s="220"/>
      <c r="T364" s="220"/>
      <c r="U364" s="220"/>
    </row>
    <row r="365" spans="1:21">
      <c r="A365" s="220"/>
      <c r="B365" s="220"/>
      <c r="C365" s="220"/>
      <c r="D365" s="220"/>
      <c r="E365" s="220"/>
      <c r="F365" s="220"/>
      <c r="G365" s="220"/>
      <c r="H365" s="220"/>
      <c r="I365" s="220"/>
      <c r="J365" s="220"/>
      <c r="K365" s="220"/>
      <c r="L365" s="220"/>
      <c r="M365" s="220"/>
      <c r="N365" s="220"/>
      <c r="O365" s="220"/>
      <c r="P365" s="220"/>
      <c r="Q365" s="220"/>
      <c r="T365" s="220"/>
      <c r="U365" s="220"/>
    </row>
    <row r="366" spans="1:21">
      <c r="A366" s="220"/>
      <c r="B366" s="220"/>
      <c r="C366" s="220"/>
      <c r="D366" s="220"/>
      <c r="E366" s="220"/>
      <c r="F366" s="220"/>
      <c r="G366" s="220"/>
      <c r="H366" s="220"/>
      <c r="I366" s="220"/>
      <c r="J366" s="220"/>
      <c r="K366" s="220"/>
      <c r="L366" s="220"/>
      <c r="M366" s="220"/>
      <c r="N366" s="220"/>
      <c r="O366" s="220"/>
      <c r="P366" s="220"/>
      <c r="Q366" s="220"/>
      <c r="T366" s="220"/>
      <c r="U366" s="220"/>
    </row>
    <row r="367" spans="1:21">
      <c r="A367" s="220"/>
      <c r="B367" s="220"/>
      <c r="C367" s="220"/>
      <c r="D367" s="220"/>
      <c r="E367" s="220"/>
      <c r="F367" s="220"/>
      <c r="G367" s="220"/>
      <c r="H367" s="220"/>
      <c r="I367" s="220"/>
      <c r="J367" s="220"/>
      <c r="K367" s="220"/>
      <c r="L367" s="220"/>
      <c r="M367" s="220"/>
      <c r="N367" s="220"/>
      <c r="O367" s="220"/>
      <c r="P367" s="220"/>
      <c r="Q367" s="220"/>
      <c r="T367" s="220"/>
      <c r="U367" s="220"/>
    </row>
    <row r="368" spans="1:21">
      <c r="A368" s="220"/>
      <c r="B368" s="220"/>
      <c r="C368" s="220"/>
      <c r="D368" s="220"/>
      <c r="E368" s="220"/>
      <c r="F368" s="220"/>
      <c r="G368" s="220"/>
      <c r="H368" s="220"/>
      <c r="I368" s="220"/>
      <c r="J368" s="220"/>
      <c r="K368" s="220"/>
      <c r="L368" s="220"/>
      <c r="M368" s="220"/>
      <c r="N368" s="220"/>
      <c r="O368" s="220"/>
      <c r="P368" s="220"/>
      <c r="Q368" s="220"/>
      <c r="T368" s="220"/>
      <c r="U368" s="220"/>
    </row>
    <row r="369" spans="1:21">
      <c r="A369" s="220"/>
      <c r="B369" s="220"/>
      <c r="C369" s="220"/>
      <c r="D369" s="220"/>
      <c r="E369" s="220"/>
      <c r="F369" s="220"/>
      <c r="G369" s="220"/>
      <c r="H369" s="220"/>
      <c r="I369" s="220"/>
      <c r="J369" s="220"/>
      <c r="K369" s="220"/>
      <c r="L369" s="220"/>
      <c r="M369" s="220"/>
      <c r="N369" s="220"/>
      <c r="O369" s="220"/>
      <c r="P369" s="220"/>
      <c r="Q369" s="220"/>
      <c r="T369" s="220"/>
      <c r="U369" s="220"/>
    </row>
  </sheetData>
  <phoneticPr fontId="1" type="noConversion"/>
  <conditionalFormatting sqref="H182 H180 H186">
    <cfRule type="containsBlanks" dxfId="381" priority="175" stopIfTrue="1">
      <formula>LEN(TRIM(#REF!))=0</formula>
    </cfRule>
  </conditionalFormatting>
  <conditionalFormatting sqref="G180">
    <cfRule type="cellIs" dxfId="380" priority="29" stopIfTrue="1" operator="equal">
      <formula>#REF!</formula>
    </cfRule>
  </conditionalFormatting>
  <conditionalFormatting sqref="G186">
    <cfRule type="cellIs" dxfId="379" priority="27" stopIfTrue="1" operator="equal">
      <formula>#REF!</formula>
    </cfRule>
  </conditionalFormatting>
  <conditionalFormatting sqref="F180">
    <cfRule type="cellIs" dxfId="378" priority="21" stopIfTrue="1" operator="equal">
      <formula>#REF!</formula>
    </cfRule>
  </conditionalFormatting>
  <conditionalFormatting sqref="F186">
    <cfRule type="cellIs" dxfId="377" priority="19" stopIfTrue="1" operator="equal">
      <formula>#REF!</formula>
    </cfRule>
  </conditionalFormatting>
  <conditionalFormatting sqref="H182">
    <cfRule type="cellIs" dxfId="376" priority="7" stopIfTrue="1" operator="equal">
      <formula>#REF!</formula>
    </cfRule>
  </conditionalFormatting>
  <conditionalFormatting sqref="H180">
    <cfRule type="cellIs" dxfId="375" priority="5" stopIfTrue="1" operator="equal">
      <formula>#REF!</formula>
    </cfRule>
  </conditionalFormatting>
  <conditionalFormatting sqref="H186">
    <cfRule type="cellIs" dxfId="374" priority="3" stopIfTrue="1" operator="equal">
      <formula>#REF!</formula>
    </cfRule>
  </conditionalFormatting>
  <conditionalFormatting sqref="F180 F186">
    <cfRule type="containsBlanks" dxfId="373" priority="878" stopIfTrue="1">
      <formula>LEN(TRIM(#REF!))=0</formula>
    </cfRule>
  </conditionalFormatting>
  <conditionalFormatting sqref="G180 G186">
    <cfRule type="containsBlanks" dxfId="372" priority="883" stopIfTrue="1">
      <formula>LEN(TRIM(#REF!))=0</formula>
    </cfRule>
  </conditionalFormatting>
  <printOptions horizontalCentered="1"/>
  <pageMargins left="0.78740157480314965" right="0.78740157480314965" top="1.1811023622047245" bottom="0.78740157480314965" header="0.51181102362204722" footer="0.51181102362204722"/>
  <pageSetup paperSize="9" orientation="portrait" r:id="rId1"/>
  <headerFooter alignWithMargins="0">
    <oddHeader>&amp;L&amp;"Arial,Fett"&amp;16Leistungsübersicht Unfallversicherungen&amp;R&amp;G</oddHeader>
    <oddFooter>&amp;C&amp;8Bei den Deckungsinhalten handelt es sich nur um Stichworte. Die detaillierten Deckungsumfänge sind den jeweiligen Bedingungen zu entnehmen.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369"/>
  <sheetViews>
    <sheetView workbookViewId="0">
      <selection activeCell="D1" sqref="D1:D1048576"/>
    </sheetView>
  </sheetViews>
  <sheetFormatPr baseColWidth="10" defaultRowHeight="12.75"/>
  <cols>
    <col min="1" max="1" width="39.7109375" customWidth="1"/>
    <col min="2" max="5" width="24.28515625" style="205" customWidth="1"/>
    <col min="6" max="6" width="39.7109375" customWidth="1"/>
    <col min="7" max="72" width="24.28515625" customWidth="1"/>
  </cols>
  <sheetData>
    <row r="1" spans="1:80" s="38" customFormat="1" ht="22.5" customHeight="1">
      <c r="A1" s="176" t="s">
        <v>4819</v>
      </c>
      <c r="B1" s="202" t="s">
        <v>5128</v>
      </c>
      <c r="C1" s="202" t="s">
        <v>5160</v>
      </c>
      <c r="D1" s="101" t="s">
        <v>84</v>
      </c>
      <c r="E1" s="140"/>
      <c r="F1" s="50" t="s">
        <v>4819</v>
      </c>
      <c r="G1" s="101" t="s">
        <v>643</v>
      </c>
      <c r="H1" s="85" t="s">
        <v>3084</v>
      </c>
      <c r="I1" s="101" t="s">
        <v>3083</v>
      </c>
      <c r="J1" s="101" t="s">
        <v>1910</v>
      </c>
      <c r="K1" s="101" t="s">
        <v>1911</v>
      </c>
      <c r="L1" s="101" t="s">
        <v>634</v>
      </c>
      <c r="M1" s="101" t="s">
        <v>4167</v>
      </c>
      <c r="N1" s="101" t="s">
        <v>2685</v>
      </c>
      <c r="O1" s="101" t="s">
        <v>88</v>
      </c>
      <c r="P1" s="101" t="s">
        <v>2735</v>
      </c>
      <c r="Q1" s="51" t="s">
        <v>3042</v>
      </c>
      <c r="R1" s="51" t="s">
        <v>3043</v>
      </c>
      <c r="S1" s="51" t="s">
        <v>1398</v>
      </c>
      <c r="T1" s="134" t="s">
        <v>618</v>
      </c>
      <c r="U1" s="102" t="s">
        <v>3798</v>
      </c>
      <c r="V1" s="102" t="s">
        <v>3799</v>
      </c>
      <c r="W1" s="51" t="s">
        <v>1651</v>
      </c>
      <c r="X1" s="101" t="s">
        <v>1379</v>
      </c>
      <c r="Y1" s="101" t="s">
        <v>221</v>
      </c>
      <c r="Z1" s="101" t="s">
        <v>4024</v>
      </c>
      <c r="AA1" s="101" t="s">
        <v>4023</v>
      </c>
      <c r="AB1" s="101" t="s">
        <v>4025</v>
      </c>
      <c r="AC1" s="51" t="s">
        <v>793</v>
      </c>
      <c r="AD1" s="86" t="s">
        <v>4016</v>
      </c>
      <c r="AE1" s="86" t="s">
        <v>4017</v>
      </c>
      <c r="AF1" s="86" t="s">
        <v>4018</v>
      </c>
      <c r="AG1" s="86" t="s">
        <v>4170</v>
      </c>
      <c r="AH1" s="51" t="s">
        <v>3649</v>
      </c>
      <c r="AI1" s="101" t="s">
        <v>2244</v>
      </c>
      <c r="AJ1" s="101" t="s">
        <v>2243</v>
      </c>
      <c r="AK1" s="101" t="s">
        <v>2238</v>
      </c>
      <c r="AL1" s="101" t="s">
        <v>684</v>
      </c>
      <c r="AM1" s="51" t="s">
        <v>1127</v>
      </c>
      <c r="AN1" s="101" t="s">
        <v>157</v>
      </c>
      <c r="AO1" s="101" t="s">
        <v>40</v>
      </c>
      <c r="AP1" s="101" t="s">
        <v>2451</v>
      </c>
      <c r="AQ1" s="101" t="s">
        <v>84</v>
      </c>
      <c r="AR1" s="101" t="s">
        <v>469</v>
      </c>
      <c r="AS1" s="101" t="s">
        <v>308</v>
      </c>
      <c r="AT1" s="101" t="s">
        <v>104</v>
      </c>
      <c r="AU1" s="101" t="s">
        <v>3438</v>
      </c>
      <c r="AV1" s="101" t="s">
        <v>3424</v>
      </c>
      <c r="AW1" s="101" t="s">
        <v>3437</v>
      </c>
      <c r="AX1" s="101" t="s">
        <v>152</v>
      </c>
      <c r="AY1" s="101" t="s">
        <v>527</v>
      </c>
      <c r="AZ1" s="101" t="s">
        <v>528</v>
      </c>
      <c r="BA1" s="101" t="s">
        <v>1426</v>
      </c>
      <c r="BB1" s="101" t="s">
        <v>1425</v>
      </c>
      <c r="BC1" s="101" t="s">
        <v>261</v>
      </c>
      <c r="BD1" s="124" t="s">
        <v>2675</v>
      </c>
      <c r="BE1" s="51" t="s">
        <v>3381</v>
      </c>
      <c r="BF1" s="86" t="s">
        <v>2596</v>
      </c>
      <c r="BG1" s="86" t="s">
        <v>2871</v>
      </c>
      <c r="BH1" s="51" t="s">
        <v>395</v>
      </c>
      <c r="BI1" s="102" t="s">
        <v>900</v>
      </c>
      <c r="BJ1" s="103" t="s">
        <v>206</v>
      </c>
      <c r="BK1" s="103" t="s">
        <v>207</v>
      </c>
      <c r="BL1" s="101" t="s">
        <v>636</v>
      </c>
      <c r="BM1" s="101" t="s">
        <v>3186</v>
      </c>
      <c r="BN1" s="101" t="s">
        <v>3187</v>
      </c>
      <c r="BO1" s="85" t="s">
        <v>5416</v>
      </c>
      <c r="BP1" s="85" t="s">
        <v>5417</v>
      </c>
      <c r="BQ1" s="101" t="s">
        <v>2160</v>
      </c>
      <c r="BR1" s="101" t="s">
        <v>1577</v>
      </c>
      <c r="BS1" s="101" t="s">
        <v>1576</v>
      </c>
      <c r="BT1" s="101" t="s">
        <v>434</v>
      </c>
      <c r="BW1" s="35"/>
      <c r="BX1" s="35"/>
      <c r="BY1" s="35"/>
      <c r="BZ1" s="35" t="s">
        <v>149</v>
      </c>
      <c r="CA1" s="35" t="s">
        <v>150</v>
      </c>
      <c r="CB1" s="35" t="s">
        <v>151</v>
      </c>
    </row>
    <row r="2" spans="1:80" ht="27">
      <c r="A2" s="53" t="s">
        <v>4818</v>
      </c>
      <c r="B2" s="54" t="s">
        <v>5154</v>
      </c>
      <c r="C2" s="54" t="s">
        <v>5154</v>
      </c>
      <c r="D2" s="54" t="s">
        <v>5158</v>
      </c>
      <c r="E2" s="185"/>
      <c r="F2" s="198" t="s">
        <v>4818</v>
      </c>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row>
    <row r="3" spans="1:80" ht="9" customHeight="1">
      <c r="A3" s="180" t="s">
        <v>688</v>
      </c>
      <c r="B3" s="94" t="s">
        <v>6015</v>
      </c>
      <c r="C3" s="94" t="s">
        <v>6015</v>
      </c>
      <c r="D3" s="94" t="s">
        <v>5157</v>
      </c>
      <c r="E3" s="249"/>
      <c r="F3" s="199" t="s">
        <v>688</v>
      </c>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row>
    <row r="4" spans="1:80">
      <c r="A4" s="53" t="s">
        <v>4817</v>
      </c>
      <c r="B4" s="54" t="s">
        <v>41</v>
      </c>
      <c r="C4" s="54" t="s">
        <v>4925</v>
      </c>
      <c r="D4" s="54" t="s">
        <v>41</v>
      </c>
      <c r="E4" s="185"/>
      <c r="F4" s="198" t="s">
        <v>4817</v>
      </c>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row>
    <row r="5" spans="1:80" ht="9" customHeight="1">
      <c r="A5" s="180" t="s">
        <v>688</v>
      </c>
      <c r="B5" s="94" t="s">
        <v>5141</v>
      </c>
      <c r="C5" s="94" t="s">
        <v>5141</v>
      </c>
      <c r="D5" s="94"/>
      <c r="E5" s="249"/>
      <c r="F5" s="199" t="s">
        <v>688</v>
      </c>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row>
    <row r="6" spans="1:80" ht="18">
      <c r="A6" s="53" t="s">
        <v>4816</v>
      </c>
      <c r="B6" s="54" t="s">
        <v>4973</v>
      </c>
      <c r="C6" s="54" t="s">
        <v>4973</v>
      </c>
      <c r="D6" s="54" t="s">
        <v>39</v>
      </c>
      <c r="E6" s="185"/>
      <c r="F6" s="198" t="s">
        <v>4816</v>
      </c>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row>
    <row r="7" spans="1:80" ht="9" customHeight="1">
      <c r="A7" s="180" t="s">
        <v>688</v>
      </c>
      <c r="B7" s="94" t="s">
        <v>4922</v>
      </c>
      <c r="C7" s="94" t="s">
        <v>4922</v>
      </c>
      <c r="D7" s="94" t="s">
        <v>39</v>
      </c>
      <c r="E7" s="249"/>
      <c r="F7" s="199" t="s">
        <v>688</v>
      </c>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row>
    <row r="8" spans="1:80" s="14" customFormat="1" ht="18">
      <c r="A8" s="53" t="s">
        <v>4793</v>
      </c>
      <c r="B8" s="54" t="s">
        <v>4923</v>
      </c>
      <c r="C8" s="54" t="s">
        <v>4923</v>
      </c>
      <c r="D8" s="54" t="s">
        <v>4923</v>
      </c>
      <c r="E8" s="54"/>
      <c r="F8" s="53" t="s">
        <v>4793</v>
      </c>
      <c r="G8" s="73" t="s">
        <v>39</v>
      </c>
      <c r="H8" s="73" t="s">
        <v>41</v>
      </c>
      <c r="I8" s="73" t="s">
        <v>41</v>
      </c>
      <c r="J8" s="73" t="s">
        <v>41</v>
      </c>
      <c r="K8" s="73" t="s">
        <v>41</v>
      </c>
      <c r="L8" s="54" t="s">
        <v>41</v>
      </c>
      <c r="M8" s="81" t="s">
        <v>41</v>
      </c>
      <c r="N8" s="73" t="s">
        <v>39</v>
      </c>
      <c r="O8" s="54" t="s">
        <v>39</v>
      </c>
      <c r="P8" s="54" t="s">
        <v>39</v>
      </c>
      <c r="Q8" s="54" t="s">
        <v>39</v>
      </c>
      <c r="R8" s="54" t="s">
        <v>39</v>
      </c>
      <c r="S8" s="54" t="s">
        <v>39</v>
      </c>
      <c r="T8" s="73" t="s">
        <v>39</v>
      </c>
      <c r="U8" s="54" t="s">
        <v>41</v>
      </c>
      <c r="V8" s="54" t="s">
        <v>39</v>
      </c>
      <c r="W8" s="73" t="s">
        <v>39</v>
      </c>
      <c r="X8" s="73" t="s">
        <v>39</v>
      </c>
      <c r="Y8" s="73" t="s">
        <v>39</v>
      </c>
      <c r="Z8" s="81" t="s">
        <v>39</v>
      </c>
      <c r="AA8" s="81" t="s">
        <v>41</v>
      </c>
      <c r="AB8" s="81" t="s">
        <v>41</v>
      </c>
      <c r="AC8" s="54" t="s">
        <v>41</v>
      </c>
      <c r="AD8" s="54" t="s">
        <v>41</v>
      </c>
      <c r="AE8" s="54" t="s">
        <v>41</v>
      </c>
      <c r="AF8" s="54" t="s">
        <v>41</v>
      </c>
      <c r="AG8" s="54" t="s">
        <v>41</v>
      </c>
      <c r="AH8" s="73" t="s">
        <v>41</v>
      </c>
      <c r="AI8" s="54" t="s">
        <v>41</v>
      </c>
      <c r="AJ8" s="54" t="s">
        <v>41</v>
      </c>
      <c r="AK8" s="54" t="s">
        <v>41</v>
      </c>
      <c r="AL8" s="54" t="s">
        <v>41</v>
      </c>
      <c r="AM8" s="54" t="s">
        <v>41</v>
      </c>
      <c r="AN8" s="73" t="s">
        <v>39</v>
      </c>
      <c r="AO8" s="73" t="s">
        <v>41</v>
      </c>
      <c r="AP8" s="73" t="s">
        <v>41</v>
      </c>
      <c r="AQ8" s="73" t="s">
        <v>41</v>
      </c>
      <c r="AR8" s="73" t="s">
        <v>41</v>
      </c>
      <c r="AS8" s="73" t="s">
        <v>41</v>
      </c>
      <c r="AT8" s="54" t="s">
        <v>3539</v>
      </c>
      <c r="AU8" s="54" t="s">
        <v>3539</v>
      </c>
      <c r="AV8" s="54" t="s">
        <v>3539</v>
      </c>
      <c r="AW8" s="54" t="s">
        <v>3539</v>
      </c>
      <c r="AX8" s="73" t="s">
        <v>39</v>
      </c>
      <c r="AY8" s="73" t="s">
        <v>39</v>
      </c>
      <c r="AZ8" s="73" t="s">
        <v>39</v>
      </c>
      <c r="BA8" s="73" t="s">
        <v>39</v>
      </c>
      <c r="BB8" s="73" t="s">
        <v>39</v>
      </c>
      <c r="BC8" s="73" t="s">
        <v>39</v>
      </c>
      <c r="BD8" s="54" t="s">
        <v>39</v>
      </c>
      <c r="BE8" s="73" t="s">
        <v>41</v>
      </c>
      <c r="BF8" s="54" t="s">
        <v>39</v>
      </c>
      <c r="BG8" s="73" t="s">
        <v>39</v>
      </c>
      <c r="BH8" s="73" t="s">
        <v>39</v>
      </c>
      <c r="BI8" s="73" t="s">
        <v>39</v>
      </c>
      <c r="BJ8" s="73" t="s">
        <v>41</v>
      </c>
      <c r="BK8" s="73" t="s">
        <v>41</v>
      </c>
      <c r="BL8" s="73" t="s">
        <v>39</v>
      </c>
      <c r="BM8" s="73" t="s">
        <v>41</v>
      </c>
      <c r="BN8" s="73" t="s">
        <v>41</v>
      </c>
      <c r="BO8" s="73" t="s">
        <v>41</v>
      </c>
      <c r="BP8" s="73" t="s">
        <v>41</v>
      </c>
      <c r="BQ8" s="73" t="s">
        <v>39</v>
      </c>
      <c r="BR8" s="73" t="s">
        <v>39</v>
      </c>
      <c r="BS8" s="73" t="s">
        <v>39</v>
      </c>
      <c r="BT8" s="73" t="s">
        <v>39</v>
      </c>
    </row>
    <row r="9" spans="1:80" s="2" customFormat="1" ht="9" customHeight="1">
      <c r="A9" s="95" t="s">
        <v>688</v>
      </c>
      <c r="B9" s="94" t="s">
        <v>4974</v>
      </c>
      <c r="C9" s="94" t="s">
        <v>4974</v>
      </c>
      <c r="D9" s="94" t="s">
        <v>4922</v>
      </c>
      <c r="E9" s="94"/>
      <c r="F9" s="95" t="s">
        <v>688</v>
      </c>
      <c r="G9" s="94"/>
      <c r="H9" s="94" t="s">
        <v>3168</v>
      </c>
      <c r="I9" s="94" t="s">
        <v>3165</v>
      </c>
      <c r="J9" s="94" t="s">
        <v>2010</v>
      </c>
      <c r="K9" s="94" t="s">
        <v>2010</v>
      </c>
      <c r="L9" s="94"/>
      <c r="M9" s="94" t="s">
        <v>2076</v>
      </c>
      <c r="N9" s="94" t="s">
        <v>39</v>
      </c>
      <c r="O9" s="94" t="s">
        <v>39</v>
      </c>
      <c r="P9" s="94" t="s">
        <v>39</v>
      </c>
      <c r="Q9" s="94" t="s">
        <v>39</v>
      </c>
      <c r="R9" s="94" t="s">
        <v>39</v>
      </c>
      <c r="S9" s="94" t="s">
        <v>39</v>
      </c>
      <c r="T9" s="94" t="s">
        <v>39</v>
      </c>
      <c r="U9" s="94" t="s">
        <v>3837</v>
      </c>
      <c r="V9" s="94" t="s">
        <v>39</v>
      </c>
      <c r="W9" s="94" t="s">
        <v>39</v>
      </c>
      <c r="X9" s="94" t="s">
        <v>39</v>
      </c>
      <c r="Y9" s="94" t="s">
        <v>39</v>
      </c>
      <c r="Z9" s="94" t="s">
        <v>4096</v>
      </c>
      <c r="AA9" s="94" t="s">
        <v>4096</v>
      </c>
      <c r="AB9" s="94" t="s">
        <v>4096</v>
      </c>
      <c r="AC9" s="94" t="s">
        <v>822</v>
      </c>
      <c r="AD9" s="94" t="s">
        <v>3984</v>
      </c>
      <c r="AE9" s="94" t="s">
        <v>3985</v>
      </c>
      <c r="AF9" s="94" t="s">
        <v>3986</v>
      </c>
      <c r="AG9" s="94" t="s">
        <v>4243</v>
      </c>
      <c r="AH9" s="94" t="s">
        <v>3685</v>
      </c>
      <c r="AI9" s="94" t="s">
        <v>2427</v>
      </c>
      <c r="AJ9" s="94" t="s">
        <v>2396</v>
      </c>
      <c r="AK9" s="94" t="s">
        <v>2353</v>
      </c>
      <c r="AL9" s="94" t="s">
        <v>2286</v>
      </c>
      <c r="AM9" s="94" t="s">
        <v>1138</v>
      </c>
      <c r="AN9" s="94"/>
      <c r="AO9" s="94" t="s">
        <v>2564</v>
      </c>
      <c r="AP9" s="94" t="s">
        <v>2564</v>
      </c>
      <c r="AQ9" s="94" t="s">
        <v>2589</v>
      </c>
      <c r="AR9" s="94" t="s">
        <v>3319</v>
      </c>
      <c r="AS9" s="94" t="s">
        <v>3319</v>
      </c>
      <c r="AT9" s="94" t="s">
        <v>3590</v>
      </c>
      <c r="AU9" s="94" t="s">
        <v>3590</v>
      </c>
      <c r="AV9" s="94" t="s">
        <v>3538</v>
      </c>
      <c r="AW9" s="94" t="s">
        <v>3538</v>
      </c>
      <c r="AX9" s="94"/>
      <c r="AY9" s="94"/>
      <c r="AZ9" s="94"/>
      <c r="BA9" s="94" t="s">
        <v>39</v>
      </c>
      <c r="BB9" s="94" t="s">
        <v>39</v>
      </c>
      <c r="BC9" s="94"/>
      <c r="BD9" s="94" t="s">
        <v>39</v>
      </c>
      <c r="BE9" s="94" t="s">
        <v>2744</v>
      </c>
      <c r="BF9" s="94" t="s">
        <v>39</v>
      </c>
      <c r="BG9" s="94" t="s">
        <v>39</v>
      </c>
      <c r="BH9" s="94" t="s">
        <v>39</v>
      </c>
      <c r="BI9" s="94" t="s">
        <v>39</v>
      </c>
      <c r="BJ9" s="94" t="s">
        <v>1342</v>
      </c>
      <c r="BK9" s="94" t="s">
        <v>1342</v>
      </c>
      <c r="BL9" s="94" t="s">
        <v>39</v>
      </c>
      <c r="BM9" s="94" t="s">
        <v>3259</v>
      </c>
      <c r="BN9" s="94" t="s">
        <v>3252</v>
      </c>
      <c r="BO9" s="94" t="s">
        <v>2152</v>
      </c>
      <c r="BP9" s="94" t="s">
        <v>2152</v>
      </c>
      <c r="BQ9" s="94" t="s">
        <v>39</v>
      </c>
      <c r="BR9" s="94" t="s">
        <v>39</v>
      </c>
      <c r="BS9" s="94" t="s">
        <v>39</v>
      </c>
      <c r="BT9" s="94"/>
    </row>
    <row r="10" spans="1:80">
      <c r="A10" s="11"/>
      <c r="B10" s="204"/>
      <c r="C10" s="204"/>
      <c r="D10" s="204"/>
      <c r="E10" s="24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row>
    <row r="11" spans="1:80">
      <c r="A11" s="176" t="s">
        <v>68</v>
      </c>
      <c r="B11" s="202" t="str">
        <f>B1</f>
        <v xml:space="preserve">Interlloyd Premium Plus </v>
      </c>
      <c r="C11" s="202" t="str">
        <f>C1</f>
        <v xml:space="preserve">Interlloyd Premium Plus HB </v>
      </c>
      <c r="D11" s="202" t="str">
        <f>D1</f>
        <v>Interlloyd Protect</v>
      </c>
      <c r="E11" s="140"/>
      <c r="F11" s="61" t="s">
        <v>68</v>
      </c>
      <c r="G11" s="260" t="str">
        <f>G1</f>
        <v>Alte Leipziger XXL</v>
      </c>
      <c r="H11" s="260" t="str">
        <f t="shared" ref="H11:BS11" si="0">H1</f>
        <v>Ammerländer Excellent</v>
      </c>
      <c r="I11" s="260" t="str">
        <f t="shared" si="0"/>
        <v>Ammerländer Exclusiv</v>
      </c>
      <c r="J11" s="260" t="str">
        <f t="shared" si="0"/>
        <v>ARAG Komfort</v>
      </c>
      <c r="K11" s="260" t="str">
        <f t="shared" si="0"/>
        <v>ARAG Premium</v>
      </c>
      <c r="L11" s="260" t="str">
        <f t="shared" si="0"/>
        <v>AXA Komfort ohne BR</v>
      </c>
      <c r="M11" s="260" t="str">
        <f t="shared" si="0"/>
        <v>Baden Badener Top 2013</v>
      </c>
      <c r="N11" s="260" t="str">
        <f t="shared" si="0"/>
        <v>Basler UnfallProtect - Max</v>
      </c>
      <c r="O11" s="260" t="str">
        <f t="shared" si="0"/>
        <v>Condor Comfort</v>
      </c>
      <c r="P11" s="260" t="str">
        <f t="shared" si="0"/>
        <v>Condor Premium</v>
      </c>
      <c r="Q11" s="260" t="str">
        <f t="shared" si="0"/>
        <v>Cosmos Comfort-Schutz</v>
      </c>
      <c r="R11" s="260" t="str">
        <f t="shared" si="0"/>
        <v>Cosmos Comfort-Schutz Plus</v>
      </c>
      <c r="S11" s="260" t="str">
        <f t="shared" si="0"/>
        <v>Debeka</v>
      </c>
      <c r="T11" s="260" t="str">
        <f t="shared" si="0"/>
        <v>DEVK Komplett</v>
      </c>
      <c r="U11" s="260" t="str">
        <f t="shared" si="0"/>
        <v>die Bayerische Komfort</v>
      </c>
      <c r="V11" s="260" t="str">
        <f t="shared" si="0"/>
        <v>die Bayerische Standard</v>
      </c>
      <c r="W11" s="260" t="str">
        <f t="shared" si="0"/>
        <v>ERGO Unfallschutz Familie</v>
      </c>
      <c r="X11" s="260" t="str">
        <f t="shared" si="0"/>
        <v>GDV Musterbedingungen</v>
      </c>
      <c r="Y11" s="260" t="str">
        <f t="shared" si="0"/>
        <v>Generali Komfort Plus</v>
      </c>
      <c r="Z11" s="260" t="str">
        <f t="shared" si="0"/>
        <v>Gothaer Unfall 2014</v>
      </c>
      <c r="AA11" s="260" t="str">
        <f t="shared" si="0"/>
        <v>Gothaer UnfallTop 2014</v>
      </c>
      <c r="AB11" s="260" t="str">
        <f t="shared" si="0"/>
        <v>Gothaer UnfallTop 2014 Plus</v>
      </c>
      <c r="AC11" s="260" t="str">
        <f t="shared" si="0"/>
        <v>Häger Top</v>
      </c>
      <c r="AD11" s="260" t="str">
        <f t="shared" si="0"/>
        <v>HanseMerkur Grund-Schutz</v>
      </c>
      <c r="AE11" s="260" t="str">
        <f t="shared" si="0"/>
        <v>HanseMerkur Kompakt-Schutz</v>
      </c>
      <c r="AF11" s="260" t="str">
        <f t="shared" si="0"/>
        <v>HanseMerkur Top-Schutz</v>
      </c>
      <c r="AG11" s="260" t="str">
        <f t="shared" si="0"/>
        <v>HDI</v>
      </c>
      <c r="AH11" s="260" t="str">
        <f t="shared" si="0"/>
        <v>Helvetia Komfort</v>
      </c>
      <c r="AI11" s="260" t="str">
        <f t="shared" si="0"/>
        <v>HKD Basisschutz</v>
      </c>
      <c r="AJ11" s="260" t="str">
        <f t="shared" si="0"/>
        <v>HKD Komfortschutz</v>
      </c>
      <c r="AK11" s="260" t="str">
        <f t="shared" si="0"/>
        <v>HKD Komfortschutz Plus</v>
      </c>
      <c r="AL11" s="260" t="str">
        <f t="shared" si="0"/>
        <v>HKD Vollschutz</v>
      </c>
      <c r="AM11" s="260" t="str">
        <f t="shared" si="0"/>
        <v>Ideal Unfall Rente Exklusiv</v>
      </c>
      <c r="AN11" s="260" t="str">
        <f t="shared" si="0"/>
        <v>Interlloyd AUB 2000</v>
      </c>
      <c r="AO11" s="260" t="str">
        <f t="shared" si="0"/>
        <v>Interlloyd Premium</v>
      </c>
      <c r="AP11" s="260" t="str">
        <f t="shared" si="0"/>
        <v>Interlloyd Premium Plus</v>
      </c>
      <c r="AQ11" s="260" t="str">
        <f t="shared" si="0"/>
        <v>Interlloyd Protect</v>
      </c>
      <c r="AR11" s="260" t="str">
        <f t="shared" si="0"/>
        <v>Interrisk XL (Plus-Taxe)</v>
      </c>
      <c r="AS11" s="260" t="str">
        <f t="shared" si="0"/>
        <v>Interrisk XXL (Maxi-Taxe)</v>
      </c>
      <c r="AT11" s="260" t="str">
        <f t="shared" si="0"/>
        <v>Janitos Balance</v>
      </c>
      <c r="AU11" s="260" t="str">
        <f t="shared" si="0"/>
        <v>Janitos Balance Plus</v>
      </c>
      <c r="AV11" s="260" t="str">
        <f t="shared" si="0"/>
        <v>Janitos Best Selection</v>
      </c>
      <c r="AW11" s="260" t="str">
        <f t="shared" si="0"/>
        <v>Janitos Best Selection Plus</v>
      </c>
      <c r="AX11" s="260" t="str">
        <f t="shared" si="0"/>
        <v>Keine</v>
      </c>
      <c r="AY11" s="260" t="str">
        <f t="shared" si="0"/>
        <v>KRAVAG Familien-UV 2011</v>
      </c>
      <c r="AZ11" s="260" t="str">
        <f t="shared" si="0"/>
        <v>KRAVAG Gruppen-UV 2011</v>
      </c>
      <c r="BA11" s="260" t="str">
        <f t="shared" si="0"/>
        <v>nationale suisse Komfort</v>
      </c>
      <c r="BB11" s="260" t="str">
        <f t="shared" si="0"/>
        <v>nationale suisse Premium</v>
      </c>
      <c r="BC11" s="260" t="str">
        <f t="shared" si="0"/>
        <v>Nürnberger</v>
      </c>
      <c r="BD11" s="260" t="str">
        <f t="shared" si="0"/>
        <v>Öffentliche Braunschweig Spezial</v>
      </c>
      <c r="BE11" s="260" t="str">
        <f t="shared" si="0"/>
        <v>Prokundo Unfall</v>
      </c>
      <c r="BF11" s="260" t="str">
        <f t="shared" si="0"/>
        <v>Provinzial Rundumschutz</v>
      </c>
      <c r="BG11" s="260" t="str">
        <f t="shared" si="0"/>
        <v>R+V PrivatPolice Comfort</v>
      </c>
      <c r="BH11" s="260" t="str">
        <f t="shared" si="0"/>
        <v>Signal Iduna Exklusiv</v>
      </c>
      <c r="BI11" s="260" t="str">
        <f t="shared" si="0"/>
        <v>Signal Iduna Exklusiv (ÖD)
z.B. PVAG, VÖDAG</v>
      </c>
      <c r="BJ11" s="260" t="str">
        <f t="shared" si="0"/>
        <v>SLP Primus</v>
      </c>
      <c r="BK11" s="260" t="str">
        <f t="shared" si="0"/>
        <v>SLP Primus Plus</v>
      </c>
      <c r="BL11" s="260" t="str">
        <f t="shared" si="0"/>
        <v>Stuttgarter 1000Plus</v>
      </c>
      <c r="BM11" s="260" t="str">
        <f t="shared" si="0"/>
        <v>VdVA Classic</v>
      </c>
      <c r="BN11" s="260" t="str">
        <f t="shared" si="0"/>
        <v>VdVA Exclusiv</v>
      </c>
      <c r="BO11" s="260" t="str">
        <f t="shared" si="0"/>
        <v>VHV Klassik Garant 
2017-06</v>
      </c>
      <c r="BP11" s="260" t="str">
        <f t="shared" si="0"/>
        <v>VHV Klassik Garant Exklusiv
2017-06</v>
      </c>
      <c r="BQ11" s="260" t="str">
        <f t="shared" si="0"/>
        <v>WÜBA Unfall AKTIV Premium</v>
      </c>
      <c r="BR11" s="260" t="str">
        <f t="shared" si="0"/>
        <v>Württembergische Platinum</v>
      </c>
      <c r="BS11" s="260" t="str">
        <f t="shared" si="0"/>
        <v>Württembergische Premium</v>
      </c>
      <c r="BT11" s="260" t="str">
        <f t="shared" ref="BT11" si="1">BT1</f>
        <v>Zurich Makler Top-Schutz</v>
      </c>
    </row>
    <row r="12" spans="1:80" s="14" customFormat="1" ht="54">
      <c r="A12" s="187" t="s">
        <v>6035</v>
      </c>
      <c r="B12" s="54" t="s">
        <v>4939</v>
      </c>
      <c r="C12" s="54" t="s">
        <v>4939</v>
      </c>
      <c r="D12" s="54" t="s">
        <v>39</v>
      </c>
      <c r="E12" s="54"/>
      <c r="F12" s="187" t="s">
        <v>5422</v>
      </c>
      <c r="G12" s="188" t="s">
        <v>39</v>
      </c>
      <c r="H12" s="188" t="s">
        <v>41</v>
      </c>
      <c r="I12" s="188" t="s">
        <v>41</v>
      </c>
      <c r="J12" s="188" t="s">
        <v>39</v>
      </c>
      <c r="K12" s="188" t="s">
        <v>1912</v>
      </c>
      <c r="L12" s="188" t="s">
        <v>3633</v>
      </c>
      <c r="M12" s="188" t="s">
        <v>41</v>
      </c>
      <c r="N12" s="188" t="s">
        <v>41</v>
      </c>
      <c r="O12" s="188" t="s">
        <v>39</v>
      </c>
      <c r="P12" s="188" t="s">
        <v>39</v>
      </c>
      <c r="Q12" s="188" t="s">
        <v>39</v>
      </c>
      <c r="R12" s="188" t="s">
        <v>39</v>
      </c>
      <c r="S12" s="188" t="s">
        <v>39</v>
      </c>
      <c r="T12" s="188" t="s">
        <v>39</v>
      </c>
      <c r="U12" s="188" t="s">
        <v>41</v>
      </c>
      <c r="V12" s="188" t="s">
        <v>39</v>
      </c>
      <c r="W12" s="188" t="s">
        <v>39</v>
      </c>
      <c r="X12" s="188" t="s">
        <v>39</v>
      </c>
      <c r="Y12" s="188" t="s">
        <v>41</v>
      </c>
      <c r="Z12" s="188" t="s">
        <v>39</v>
      </c>
      <c r="AA12" s="188" t="s">
        <v>39</v>
      </c>
      <c r="AB12" s="188" t="s">
        <v>4081</v>
      </c>
      <c r="AC12" s="188" t="s">
        <v>41</v>
      </c>
      <c r="AD12" s="188" t="s">
        <v>39</v>
      </c>
      <c r="AE12" s="188" t="s">
        <v>39</v>
      </c>
      <c r="AF12" s="188" t="s">
        <v>41</v>
      </c>
      <c r="AG12" s="188" t="s">
        <v>41</v>
      </c>
      <c r="AH12" s="188" t="s">
        <v>41</v>
      </c>
      <c r="AI12" s="188" t="s">
        <v>39</v>
      </c>
      <c r="AJ12" s="188" t="s">
        <v>39</v>
      </c>
      <c r="AK12" s="188" t="s">
        <v>39</v>
      </c>
      <c r="AL12" s="188" t="s">
        <v>41</v>
      </c>
      <c r="AM12" s="188" t="s">
        <v>39</v>
      </c>
      <c r="AN12" s="188" t="s">
        <v>39</v>
      </c>
      <c r="AO12" s="188" t="s">
        <v>2529</v>
      </c>
      <c r="AP12" s="188" t="s">
        <v>2529</v>
      </c>
      <c r="AQ12" s="188" t="s">
        <v>39</v>
      </c>
      <c r="AR12" s="188" t="s">
        <v>39</v>
      </c>
      <c r="AS12" s="188" t="s">
        <v>41</v>
      </c>
      <c r="AT12" s="188" t="s">
        <v>39</v>
      </c>
      <c r="AU12" s="188" t="s">
        <v>39</v>
      </c>
      <c r="AV12" s="188" t="s">
        <v>41</v>
      </c>
      <c r="AW12" s="188" t="s">
        <v>41</v>
      </c>
      <c r="AX12" s="188" t="s">
        <v>39</v>
      </c>
      <c r="AY12" s="188" t="s">
        <v>39</v>
      </c>
      <c r="AZ12" s="188" t="s">
        <v>39</v>
      </c>
      <c r="BA12" s="188" t="s">
        <v>39</v>
      </c>
      <c r="BB12" s="188" t="s">
        <v>39</v>
      </c>
      <c r="BC12" s="188" t="s">
        <v>39</v>
      </c>
      <c r="BD12" s="188" t="s">
        <v>41</v>
      </c>
      <c r="BE12" s="188" t="s">
        <v>39</v>
      </c>
      <c r="BF12" s="188" t="s">
        <v>39</v>
      </c>
      <c r="BG12" s="188" t="s">
        <v>39</v>
      </c>
      <c r="BH12" s="188" t="s">
        <v>39</v>
      </c>
      <c r="BI12" s="188" t="s">
        <v>39</v>
      </c>
      <c r="BJ12" s="188" t="s">
        <v>39</v>
      </c>
      <c r="BK12" s="188" t="s">
        <v>41</v>
      </c>
      <c r="BL12" s="188" t="s">
        <v>41</v>
      </c>
      <c r="BM12" s="188" t="s">
        <v>39</v>
      </c>
      <c r="BN12" s="188" t="s">
        <v>3205</v>
      </c>
      <c r="BO12" s="54" t="s">
        <v>39</v>
      </c>
      <c r="BP12" s="54" t="s">
        <v>41</v>
      </c>
      <c r="BQ12" s="188" t="s">
        <v>41</v>
      </c>
      <c r="BR12" s="188" t="s">
        <v>39</v>
      </c>
      <c r="BS12" s="188" t="s">
        <v>39</v>
      </c>
      <c r="BT12" s="188" t="s">
        <v>39</v>
      </c>
      <c r="BW12" s="112">
        <v>25</v>
      </c>
      <c r="BX12" s="111" t="s">
        <v>4017</v>
      </c>
    </row>
    <row r="13" spans="1:80" s="2" customFormat="1" ht="9" customHeight="1">
      <c r="A13" s="95" t="s">
        <v>688</v>
      </c>
      <c r="B13" s="94" t="s">
        <v>4938</v>
      </c>
      <c r="C13" s="94" t="s">
        <v>4938</v>
      </c>
      <c r="D13" s="94" t="s">
        <v>39</v>
      </c>
      <c r="E13" s="94"/>
      <c r="F13" s="95" t="s">
        <v>688</v>
      </c>
      <c r="G13" s="94"/>
      <c r="H13" s="94" t="s">
        <v>3107</v>
      </c>
      <c r="I13" s="94" t="s">
        <v>3106</v>
      </c>
      <c r="J13" s="94" t="s">
        <v>39</v>
      </c>
      <c r="K13" s="94" t="s">
        <v>1963</v>
      </c>
      <c r="L13" s="94" t="s">
        <v>3634</v>
      </c>
      <c r="M13" s="94" t="s">
        <v>4156</v>
      </c>
      <c r="N13" s="94" t="s">
        <v>3019</v>
      </c>
      <c r="O13" s="94" t="s">
        <v>39</v>
      </c>
      <c r="P13" s="94" t="s">
        <v>39</v>
      </c>
      <c r="Q13" s="94" t="s">
        <v>39</v>
      </c>
      <c r="R13" s="94" t="s">
        <v>39</v>
      </c>
      <c r="S13" s="94" t="s">
        <v>39</v>
      </c>
      <c r="T13" s="94" t="s">
        <v>39</v>
      </c>
      <c r="U13" s="94" t="s">
        <v>2532</v>
      </c>
      <c r="V13" s="94" t="s">
        <v>39</v>
      </c>
      <c r="W13" s="94" t="s">
        <v>39</v>
      </c>
      <c r="X13" s="94" t="s">
        <v>39</v>
      </c>
      <c r="Y13" s="94" t="s">
        <v>3703</v>
      </c>
      <c r="Z13" s="94" t="s">
        <v>4038</v>
      </c>
      <c r="AA13" s="94" t="s">
        <v>4038</v>
      </c>
      <c r="AB13" s="94" t="s">
        <v>4080</v>
      </c>
      <c r="AC13" s="94" t="s">
        <v>802</v>
      </c>
      <c r="AD13" s="94" t="s">
        <v>39</v>
      </c>
      <c r="AE13" s="94" t="s">
        <v>39</v>
      </c>
      <c r="AF13" s="94" t="s">
        <v>3878</v>
      </c>
      <c r="AG13" s="94" t="s">
        <v>4184</v>
      </c>
      <c r="AH13" s="94" t="s">
        <v>1213</v>
      </c>
      <c r="AI13" s="94" t="s">
        <v>39</v>
      </c>
      <c r="AJ13" s="94" t="s">
        <v>39</v>
      </c>
      <c r="AK13" s="94" t="s">
        <v>39</v>
      </c>
      <c r="AL13" s="94" t="s">
        <v>2308</v>
      </c>
      <c r="AM13" s="94" t="s">
        <v>39</v>
      </c>
      <c r="AN13" s="94"/>
      <c r="AO13" s="94" t="s">
        <v>2462</v>
      </c>
      <c r="AP13" s="94" t="s">
        <v>2462</v>
      </c>
      <c r="AQ13" s="94" t="s">
        <v>39</v>
      </c>
      <c r="AR13" s="94" t="s">
        <v>39</v>
      </c>
      <c r="AS13" s="94" t="s">
        <v>3277</v>
      </c>
      <c r="AT13" s="94" t="s">
        <v>39</v>
      </c>
      <c r="AU13" s="94" t="s">
        <v>39</v>
      </c>
      <c r="AV13" s="94" t="s">
        <v>3484</v>
      </c>
      <c r="AW13" s="94" t="s">
        <v>3484</v>
      </c>
      <c r="AX13" s="94"/>
      <c r="AY13" s="94"/>
      <c r="AZ13" s="94"/>
      <c r="BA13" s="94" t="s">
        <v>1435</v>
      </c>
      <c r="BB13" s="94" t="s">
        <v>1435</v>
      </c>
      <c r="BC13" s="94"/>
      <c r="BD13" s="94" t="s">
        <v>2886</v>
      </c>
      <c r="BE13" s="94" t="s">
        <v>39</v>
      </c>
      <c r="BF13" s="94" t="s">
        <v>39</v>
      </c>
      <c r="BG13" s="94" t="s">
        <v>39</v>
      </c>
      <c r="BH13" s="94" t="s">
        <v>39</v>
      </c>
      <c r="BI13" s="94" t="s">
        <v>39</v>
      </c>
      <c r="BJ13" s="94" t="s">
        <v>39</v>
      </c>
      <c r="BK13" s="94" t="s">
        <v>1316</v>
      </c>
      <c r="BL13" s="94" t="s">
        <v>773</v>
      </c>
      <c r="BM13" s="94" t="s">
        <v>39</v>
      </c>
      <c r="BN13" s="94" t="s">
        <v>3204</v>
      </c>
      <c r="BO13" s="94" t="s">
        <v>39</v>
      </c>
      <c r="BP13" s="94" t="s">
        <v>2114</v>
      </c>
      <c r="BQ13" s="94" t="s">
        <v>2169</v>
      </c>
      <c r="BR13" s="94" t="s">
        <v>39</v>
      </c>
      <c r="BS13" s="94" t="s">
        <v>39</v>
      </c>
      <c r="BT13" s="94"/>
      <c r="BW13" s="96">
        <v>26</v>
      </c>
      <c r="BX13" s="111" t="s">
        <v>4018</v>
      </c>
      <c r="BY13" s="11"/>
      <c r="BZ13" s="19"/>
      <c r="CA13" s="19"/>
      <c r="CB13" s="19"/>
    </row>
    <row r="14" spans="1:80" s="14" customFormat="1" ht="54">
      <c r="A14" s="187" t="s">
        <v>6036</v>
      </c>
      <c r="B14" s="54" t="s">
        <v>5426</v>
      </c>
      <c r="C14" s="54" t="s">
        <v>5426</v>
      </c>
      <c r="D14" s="54" t="s">
        <v>41</v>
      </c>
      <c r="E14" s="54"/>
      <c r="F14" s="187" t="s">
        <v>5423</v>
      </c>
      <c r="G14" s="188" t="s">
        <v>1319</v>
      </c>
      <c r="H14" s="188" t="s">
        <v>41</v>
      </c>
      <c r="I14" s="188" t="s">
        <v>41</v>
      </c>
      <c r="J14" s="188" t="s">
        <v>1922</v>
      </c>
      <c r="K14" s="188" t="s">
        <v>1922</v>
      </c>
      <c r="L14" s="188" t="s">
        <v>41</v>
      </c>
      <c r="M14" s="188" t="s">
        <v>2653</v>
      </c>
      <c r="N14" s="188" t="s">
        <v>41</v>
      </c>
      <c r="O14" s="188" t="s">
        <v>2785</v>
      </c>
      <c r="P14" s="188" t="s">
        <v>2785</v>
      </c>
      <c r="Q14" s="188" t="s">
        <v>943</v>
      </c>
      <c r="R14" s="188" t="s">
        <v>943</v>
      </c>
      <c r="S14" s="188" t="s">
        <v>1906</v>
      </c>
      <c r="T14" s="188" t="s">
        <v>943</v>
      </c>
      <c r="U14" s="188" t="s">
        <v>41</v>
      </c>
      <c r="V14" s="188" t="s">
        <v>943</v>
      </c>
      <c r="W14" s="188" t="s">
        <v>943</v>
      </c>
      <c r="X14" s="188" t="s">
        <v>1319</v>
      </c>
      <c r="Y14" s="188" t="s">
        <v>41</v>
      </c>
      <c r="Z14" s="188" t="s">
        <v>943</v>
      </c>
      <c r="AA14" s="188" t="s">
        <v>41</v>
      </c>
      <c r="AB14" s="188" t="s">
        <v>41</v>
      </c>
      <c r="AC14" s="188" t="s">
        <v>41</v>
      </c>
      <c r="AD14" s="188" t="s">
        <v>943</v>
      </c>
      <c r="AE14" s="188" t="s">
        <v>41</v>
      </c>
      <c r="AF14" s="188" t="s">
        <v>307</v>
      </c>
      <c r="AG14" s="188" t="s">
        <v>41</v>
      </c>
      <c r="AH14" s="188" t="s">
        <v>41</v>
      </c>
      <c r="AI14" s="188" t="s">
        <v>943</v>
      </c>
      <c r="AJ14" s="188" t="s">
        <v>41</v>
      </c>
      <c r="AK14" s="188" t="s">
        <v>2254</v>
      </c>
      <c r="AL14" s="188" t="s">
        <v>2254</v>
      </c>
      <c r="AM14" s="188" t="s">
        <v>1319</v>
      </c>
      <c r="AN14" s="188" t="s">
        <v>41</v>
      </c>
      <c r="AO14" s="188" t="s">
        <v>2529</v>
      </c>
      <c r="AP14" s="188" t="s">
        <v>2529</v>
      </c>
      <c r="AQ14" s="188" t="s">
        <v>943</v>
      </c>
      <c r="AR14" s="188" t="s">
        <v>41</v>
      </c>
      <c r="AS14" s="188" t="s">
        <v>307</v>
      </c>
      <c r="AT14" s="188" t="s">
        <v>41</v>
      </c>
      <c r="AU14" s="188" t="s">
        <v>41</v>
      </c>
      <c r="AV14" s="188" t="s">
        <v>41</v>
      </c>
      <c r="AW14" s="188" t="s">
        <v>41</v>
      </c>
      <c r="AX14" s="188" t="s">
        <v>39</v>
      </c>
      <c r="AY14" s="188" t="s">
        <v>41</v>
      </c>
      <c r="AZ14" s="188" t="s">
        <v>41</v>
      </c>
      <c r="BA14" s="188" t="s">
        <v>1320</v>
      </c>
      <c r="BB14" s="188" t="s">
        <v>41</v>
      </c>
      <c r="BC14" s="188" t="s">
        <v>1321</v>
      </c>
      <c r="BD14" s="188" t="s">
        <v>41</v>
      </c>
      <c r="BE14" s="188" t="s">
        <v>943</v>
      </c>
      <c r="BF14" s="188" t="s">
        <v>943</v>
      </c>
      <c r="BG14" s="188" t="s">
        <v>2785</v>
      </c>
      <c r="BH14" s="188" t="s">
        <v>861</v>
      </c>
      <c r="BI14" s="188" t="s">
        <v>861</v>
      </c>
      <c r="BJ14" s="188" t="s">
        <v>41</v>
      </c>
      <c r="BK14" s="188" t="s">
        <v>41</v>
      </c>
      <c r="BL14" s="188" t="s">
        <v>41</v>
      </c>
      <c r="BM14" s="188" t="s">
        <v>41</v>
      </c>
      <c r="BN14" s="188" t="s">
        <v>41</v>
      </c>
      <c r="BO14" s="54" t="s">
        <v>943</v>
      </c>
      <c r="BP14" s="54" t="s">
        <v>41</v>
      </c>
      <c r="BQ14" s="188" t="s">
        <v>41</v>
      </c>
      <c r="BR14" s="188" t="s">
        <v>943</v>
      </c>
      <c r="BS14" s="188" t="s">
        <v>943</v>
      </c>
      <c r="BT14" s="188" t="s">
        <v>421</v>
      </c>
      <c r="BW14" s="112">
        <v>23</v>
      </c>
      <c r="BX14" s="111" t="s">
        <v>4025</v>
      </c>
      <c r="BY14" s="30"/>
      <c r="CA14" s="30"/>
      <c r="CB14" s="30"/>
    </row>
    <row r="15" spans="1:80" s="2" customFormat="1" ht="9" customHeight="1">
      <c r="A15" s="95" t="s">
        <v>688</v>
      </c>
      <c r="B15" s="94" t="s">
        <v>4938</v>
      </c>
      <c r="C15" s="94" t="s">
        <v>4938</v>
      </c>
      <c r="D15" s="94" t="s">
        <v>4850</v>
      </c>
      <c r="E15" s="94"/>
      <c r="F15" s="95" t="s">
        <v>688</v>
      </c>
      <c r="G15" s="94"/>
      <c r="H15" s="94" t="s">
        <v>3107</v>
      </c>
      <c r="I15" s="94" t="s">
        <v>3106</v>
      </c>
      <c r="J15" s="94" t="s">
        <v>1931</v>
      </c>
      <c r="K15" s="94" t="s">
        <v>1962</v>
      </c>
      <c r="L15" s="94"/>
      <c r="M15" s="94" t="s">
        <v>2051</v>
      </c>
      <c r="N15" s="94" t="s">
        <v>1256</v>
      </c>
      <c r="O15" s="94" t="s">
        <v>2784</v>
      </c>
      <c r="P15" s="94" t="s">
        <v>2784</v>
      </c>
      <c r="Q15" s="94" t="s">
        <v>2617</v>
      </c>
      <c r="R15" s="94" t="s">
        <v>2617</v>
      </c>
      <c r="S15" s="94" t="s">
        <v>1905</v>
      </c>
      <c r="T15" s="94" t="s">
        <v>2822</v>
      </c>
      <c r="U15" s="94" t="s">
        <v>2532</v>
      </c>
      <c r="V15" s="94" t="s">
        <v>3841</v>
      </c>
      <c r="W15" s="94" t="s">
        <v>1688</v>
      </c>
      <c r="X15" s="94" t="s">
        <v>1382</v>
      </c>
      <c r="Y15" s="94" t="s">
        <v>3703</v>
      </c>
      <c r="Z15" s="94" t="s">
        <v>4102</v>
      </c>
      <c r="AA15" s="94" t="s">
        <v>4037</v>
      </c>
      <c r="AB15" s="94" t="s">
        <v>4037</v>
      </c>
      <c r="AC15" s="94" t="s">
        <v>802</v>
      </c>
      <c r="AD15" s="94" t="s">
        <v>3875</v>
      </c>
      <c r="AE15" s="94" t="s">
        <v>3876</v>
      </c>
      <c r="AF15" s="94" t="s">
        <v>3877</v>
      </c>
      <c r="AG15" s="94" t="s">
        <v>4183</v>
      </c>
      <c r="AH15" s="94" t="s">
        <v>3384</v>
      </c>
      <c r="AI15" s="94" t="s">
        <v>2434</v>
      </c>
      <c r="AJ15" s="94" t="s">
        <v>2368</v>
      </c>
      <c r="AK15" s="94" t="s">
        <v>2316</v>
      </c>
      <c r="AL15" s="94" t="s">
        <v>2307</v>
      </c>
      <c r="AM15" s="94" t="s">
        <v>1145</v>
      </c>
      <c r="AN15" s="94"/>
      <c r="AO15" s="94" t="s">
        <v>2462</v>
      </c>
      <c r="AP15" s="94" t="s">
        <v>2462</v>
      </c>
      <c r="AQ15" s="94" t="s">
        <v>1382</v>
      </c>
      <c r="AR15" s="94" t="s">
        <v>3379</v>
      </c>
      <c r="AS15" s="94" t="s">
        <v>3316</v>
      </c>
      <c r="AT15" s="94" t="s">
        <v>3484</v>
      </c>
      <c r="AU15" s="94" t="s">
        <v>3484</v>
      </c>
      <c r="AV15" s="94" t="s">
        <v>3484</v>
      </c>
      <c r="AW15" s="94" t="s">
        <v>3484</v>
      </c>
      <c r="AX15" s="94"/>
      <c r="AY15" s="94"/>
      <c r="AZ15" s="94"/>
      <c r="BA15" s="94" t="s">
        <v>1431</v>
      </c>
      <c r="BB15" s="94" t="s">
        <v>1434</v>
      </c>
      <c r="BC15" s="94"/>
      <c r="BD15" s="94" t="s">
        <v>2886</v>
      </c>
      <c r="BE15" s="94" t="s">
        <v>1382</v>
      </c>
      <c r="BF15" s="94" t="s">
        <v>2617</v>
      </c>
      <c r="BG15" s="94" t="s">
        <v>2858</v>
      </c>
      <c r="BH15" s="94" t="s">
        <v>2917</v>
      </c>
      <c r="BI15" s="94" t="s">
        <v>2917</v>
      </c>
      <c r="BJ15" s="94" t="s">
        <v>1314</v>
      </c>
      <c r="BK15" s="94" t="s">
        <v>1316</v>
      </c>
      <c r="BL15" s="94" t="s">
        <v>773</v>
      </c>
      <c r="BM15" s="94" t="s">
        <v>3203</v>
      </c>
      <c r="BN15" s="94" t="s">
        <v>3203</v>
      </c>
      <c r="BO15" s="94" t="s">
        <v>1382</v>
      </c>
      <c r="BP15" s="94" t="s">
        <v>2159</v>
      </c>
      <c r="BQ15" s="94" t="s">
        <v>2169</v>
      </c>
      <c r="BR15" s="94" t="s">
        <v>1639</v>
      </c>
      <c r="BS15" s="94" t="s">
        <v>1639</v>
      </c>
      <c r="BT15" s="94"/>
      <c r="BW15" s="96">
        <v>24</v>
      </c>
      <c r="BX15" s="111" t="s">
        <v>4016</v>
      </c>
      <c r="BY15" s="35"/>
      <c r="BZ15" s="35"/>
      <c r="CA15" s="35"/>
      <c r="CB15" s="35"/>
    </row>
    <row r="16" spans="1:80" s="2" customFormat="1">
      <c r="A16" s="187" t="s">
        <v>5182</v>
      </c>
      <c r="B16" s="73" t="s">
        <v>39</v>
      </c>
      <c r="C16" s="73" t="s">
        <v>39</v>
      </c>
      <c r="D16" s="73" t="s">
        <v>39</v>
      </c>
      <c r="E16" s="73"/>
      <c r="F16" s="53" t="s">
        <v>5182</v>
      </c>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W16" s="96"/>
      <c r="BX16" s="111"/>
      <c r="BY16" s="35"/>
      <c r="BZ16" s="35"/>
      <c r="CA16" s="35"/>
      <c r="CB16" s="35"/>
    </row>
    <row r="17" spans="1:80" s="2" customFormat="1" ht="9" customHeight="1">
      <c r="A17" s="95"/>
      <c r="B17" s="94" t="s">
        <v>39</v>
      </c>
      <c r="C17" s="94" t="s">
        <v>39</v>
      </c>
      <c r="D17" s="94" t="s">
        <v>39</v>
      </c>
      <c r="E17" s="94"/>
      <c r="F17" s="95"/>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W17" s="96"/>
      <c r="BX17" s="111"/>
      <c r="BY17" s="35"/>
      <c r="BZ17" s="35"/>
      <c r="CA17" s="35"/>
      <c r="CB17" s="35"/>
    </row>
    <row r="18" spans="1:80" s="191" customFormat="1" ht="18">
      <c r="A18" s="187" t="s">
        <v>4941</v>
      </c>
      <c r="B18" s="54" t="s">
        <v>5044</v>
      </c>
      <c r="C18" s="54" t="s">
        <v>5044</v>
      </c>
      <c r="D18" s="54" t="s">
        <v>39</v>
      </c>
      <c r="E18" s="54"/>
      <c r="F18" s="187" t="s">
        <v>140</v>
      </c>
      <c r="G18" s="188" t="s">
        <v>39</v>
      </c>
      <c r="H18" s="188" t="s">
        <v>179</v>
      </c>
      <c r="I18" s="188" t="s">
        <v>179</v>
      </c>
      <c r="J18" s="188" t="s">
        <v>39</v>
      </c>
      <c r="K18" s="188" t="s">
        <v>41</v>
      </c>
      <c r="L18" s="188" t="s">
        <v>39</v>
      </c>
      <c r="M18" s="188" t="s">
        <v>2086</v>
      </c>
      <c r="N18" s="188" t="s">
        <v>41</v>
      </c>
      <c r="O18" s="188" t="s">
        <v>39</v>
      </c>
      <c r="P18" s="188" t="s">
        <v>39</v>
      </c>
      <c r="Q18" s="188" t="s">
        <v>39</v>
      </c>
      <c r="R18" s="188" t="s">
        <v>39</v>
      </c>
      <c r="S18" s="188" t="s">
        <v>39</v>
      </c>
      <c r="T18" s="188" t="s">
        <v>39</v>
      </c>
      <c r="U18" s="188" t="s">
        <v>39</v>
      </c>
      <c r="V18" s="188" t="s">
        <v>39</v>
      </c>
      <c r="W18" s="188" t="s">
        <v>39</v>
      </c>
      <c r="X18" s="188" t="s">
        <v>39</v>
      </c>
      <c r="Y18" s="188" t="s">
        <v>39</v>
      </c>
      <c r="Z18" s="188" t="s">
        <v>4101</v>
      </c>
      <c r="AA18" s="188" t="s">
        <v>4101</v>
      </c>
      <c r="AB18" s="188" t="s">
        <v>4101</v>
      </c>
      <c r="AC18" s="188" t="s">
        <v>41</v>
      </c>
      <c r="AD18" s="188" t="s">
        <v>39</v>
      </c>
      <c r="AE18" s="188" t="s">
        <v>41</v>
      </c>
      <c r="AF18" s="188" t="s">
        <v>41</v>
      </c>
      <c r="AG18" s="188" t="s">
        <v>4218</v>
      </c>
      <c r="AH18" s="188" t="s">
        <v>179</v>
      </c>
      <c r="AI18" s="188" t="s">
        <v>39</v>
      </c>
      <c r="AJ18" s="188" t="s">
        <v>39</v>
      </c>
      <c r="AK18" s="188" t="s">
        <v>179</v>
      </c>
      <c r="AL18" s="188" t="s">
        <v>179</v>
      </c>
      <c r="AM18" s="188" t="s">
        <v>39</v>
      </c>
      <c r="AN18" s="188" t="s">
        <v>39</v>
      </c>
      <c r="AO18" s="188" t="s">
        <v>179</v>
      </c>
      <c r="AP18" s="188" t="s">
        <v>2460</v>
      </c>
      <c r="AQ18" s="189" t="s">
        <v>39</v>
      </c>
      <c r="AR18" s="188" t="s">
        <v>41</v>
      </c>
      <c r="AS18" s="188" t="s">
        <v>41</v>
      </c>
      <c r="AT18" s="188" t="s">
        <v>41</v>
      </c>
      <c r="AU18" s="188" t="s">
        <v>41</v>
      </c>
      <c r="AV18" s="188" t="s">
        <v>41</v>
      </c>
      <c r="AW18" s="188" t="s">
        <v>41</v>
      </c>
      <c r="AX18" s="188" t="s">
        <v>39</v>
      </c>
      <c r="AY18" s="188" t="s">
        <v>39</v>
      </c>
      <c r="AZ18" s="188" t="s">
        <v>39</v>
      </c>
      <c r="BA18" s="188" t="s">
        <v>39</v>
      </c>
      <c r="BB18" s="188" t="s">
        <v>1443</v>
      </c>
      <c r="BC18" s="188" t="s">
        <v>39</v>
      </c>
      <c r="BD18" s="188" t="s">
        <v>39</v>
      </c>
      <c r="BE18" s="188" t="s">
        <v>41</v>
      </c>
      <c r="BF18" s="190" t="s">
        <v>39</v>
      </c>
      <c r="BG18" s="188" t="s">
        <v>39</v>
      </c>
      <c r="BH18" s="188" t="s">
        <v>39</v>
      </c>
      <c r="BI18" s="188" t="s">
        <v>39</v>
      </c>
      <c r="BJ18" s="188" t="s">
        <v>41</v>
      </c>
      <c r="BK18" s="188" t="s">
        <v>41</v>
      </c>
      <c r="BL18" s="188" t="s">
        <v>41</v>
      </c>
      <c r="BM18" s="188" t="s">
        <v>39</v>
      </c>
      <c r="BN18" s="188" t="s">
        <v>39</v>
      </c>
      <c r="BO18" s="188" t="s">
        <v>39</v>
      </c>
      <c r="BP18" s="188" t="s">
        <v>39</v>
      </c>
      <c r="BQ18" s="188" t="s">
        <v>2173</v>
      </c>
      <c r="BR18" s="188" t="s">
        <v>39</v>
      </c>
      <c r="BS18" s="188" t="s">
        <v>39</v>
      </c>
      <c r="BT18" s="188" t="s">
        <v>39</v>
      </c>
    </row>
    <row r="19" spans="1:80" s="2" customFormat="1" ht="9" customHeight="1">
      <c r="A19" s="207" t="s">
        <v>688</v>
      </c>
      <c r="B19" s="210" t="s">
        <v>5045</v>
      </c>
      <c r="C19" s="210" t="s">
        <v>5045</v>
      </c>
      <c r="D19" s="94" t="s">
        <v>39</v>
      </c>
      <c r="E19" s="210"/>
      <c r="F19" s="95" t="s">
        <v>688</v>
      </c>
      <c r="G19" s="94"/>
      <c r="H19" s="94" t="s">
        <v>3115</v>
      </c>
      <c r="I19" s="94" t="s">
        <v>3113</v>
      </c>
      <c r="J19" s="94" t="s">
        <v>39</v>
      </c>
      <c r="K19" s="94" t="s">
        <v>1956</v>
      </c>
      <c r="L19" s="94"/>
      <c r="M19" s="94" t="s">
        <v>2668</v>
      </c>
      <c r="N19" s="94" t="s">
        <v>3021</v>
      </c>
      <c r="O19" s="94" t="s">
        <v>39</v>
      </c>
      <c r="P19" s="94" t="s">
        <v>39</v>
      </c>
      <c r="Q19" s="94" t="s">
        <v>39</v>
      </c>
      <c r="R19" s="94" t="s">
        <v>39</v>
      </c>
      <c r="S19" s="94" t="s">
        <v>39</v>
      </c>
      <c r="T19" s="94" t="s">
        <v>39</v>
      </c>
      <c r="U19" s="94" t="s">
        <v>39</v>
      </c>
      <c r="V19" s="94" t="s">
        <v>39</v>
      </c>
      <c r="W19" s="94" t="s">
        <v>39</v>
      </c>
      <c r="X19" s="94" t="s">
        <v>39</v>
      </c>
      <c r="Y19" s="94" t="s">
        <v>39</v>
      </c>
      <c r="Z19" s="94" t="s">
        <v>4100</v>
      </c>
      <c r="AA19" s="94" t="s">
        <v>4100</v>
      </c>
      <c r="AB19" s="94" t="s">
        <v>4100</v>
      </c>
      <c r="AC19" s="94" t="s">
        <v>801</v>
      </c>
      <c r="AD19" s="94" t="s">
        <v>39</v>
      </c>
      <c r="AE19" s="94" t="s">
        <v>3930</v>
      </c>
      <c r="AF19" s="94" t="s">
        <v>3931</v>
      </c>
      <c r="AG19" s="94" t="s">
        <v>4219</v>
      </c>
      <c r="AH19" s="94" t="s">
        <v>3383</v>
      </c>
      <c r="AI19" s="94" t="s">
        <v>39</v>
      </c>
      <c r="AJ19" s="94" t="s">
        <v>39</v>
      </c>
      <c r="AK19" s="94" t="s">
        <v>2302</v>
      </c>
      <c r="AL19" s="94" t="s">
        <v>730</v>
      </c>
      <c r="AM19" s="94" t="s">
        <v>39</v>
      </c>
      <c r="AN19" s="94"/>
      <c r="AO19" s="94" t="s">
        <v>2528</v>
      </c>
      <c r="AP19" s="94" t="s">
        <v>2461</v>
      </c>
      <c r="AQ19" s="94" t="s">
        <v>39</v>
      </c>
      <c r="AR19" s="94" t="s">
        <v>3331</v>
      </c>
      <c r="AS19" s="94" t="s">
        <v>3279</v>
      </c>
      <c r="AT19" s="94" t="s">
        <v>3487</v>
      </c>
      <c r="AU19" s="94" t="s">
        <v>3487</v>
      </c>
      <c r="AV19" s="94" t="s">
        <v>3487</v>
      </c>
      <c r="AW19" s="94" t="s">
        <v>3487</v>
      </c>
      <c r="AX19" s="94"/>
      <c r="AY19" s="94"/>
      <c r="AZ19" s="94"/>
      <c r="BA19" s="94" t="s">
        <v>39</v>
      </c>
      <c r="BB19" s="94" t="s">
        <v>1442</v>
      </c>
      <c r="BC19" s="94"/>
      <c r="BD19" s="94" t="s">
        <v>39</v>
      </c>
      <c r="BE19" s="94" t="s">
        <v>1223</v>
      </c>
      <c r="BF19" s="94" t="s">
        <v>39</v>
      </c>
      <c r="BG19" s="94" t="s">
        <v>39</v>
      </c>
      <c r="BH19" s="94" t="s">
        <v>39</v>
      </c>
      <c r="BI19" s="94" t="s">
        <v>39</v>
      </c>
      <c r="BJ19" s="94" t="s">
        <v>1316</v>
      </c>
      <c r="BK19" s="94" t="s">
        <v>1315</v>
      </c>
      <c r="BL19" s="94" t="s">
        <v>782</v>
      </c>
      <c r="BM19" s="94" t="s">
        <v>39</v>
      </c>
      <c r="BN19" s="94" t="s">
        <v>39</v>
      </c>
      <c r="BO19" s="94" t="s">
        <v>39</v>
      </c>
      <c r="BP19" s="94" t="s">
        <v>39</v>
      </c>
      <c r="BQ19" s="94" t="s">
        <v>2172</v>
      </c>
      <c r="BR19" s="94" t="s">
        <v>39</v>
      </c>
      <c r="BS19" s="94" t="s">
        <v>39</v>
      </c>
      <c r="BT19" s="94"/>
      <c r="BW19" s="19"/>
      <c r="BX19" s="20"/>
      <c r="BY19" s="11"/>
      <c r="BZ19" s="19"/>
      <c r="CA19" s="19"/>
      <c r="CB19" s="19"/>
    </row>
    <row r="20" spans="1:80" s="14" customFormat="1" ht="18">
      <c r="A20" s="187" t="s">
        <v>5442</v>
      </c>
      <c r="B20" s="54" t="s">
        <v>41</v>
      </c>
      <c r="C20" s="54" t="s">
        <v>41</v>
      </c>
      <c r="D20" s="54" t="s">
        <v>41</v>
      </c>
      <c r="E20" s="54"/>
      <c r="F20" s="187" t="s">
        <v>5445</v>
      </c>
      <c r="G20" s="188" t="s">
        <v>41</v>
      </c>
      <c r="H20" s="188" t="s">
        <v>2210</v>
      </c>
      <c r="I20" s="188" t="s">
        <v>2210</v>
      </c>
      <c r="J20" s="188" t="s">
        <v>41</v>
      </c>
      <c r="K20" s="188" t="s">
        <v>41</v>
      </c>
      <c r="L20" s="188" t="s">
        <v>3643</v>
      </c>
      <c r="M20" s="188" t="s">
        <v>2210</v>
      </c>
      <c r="N20" s="188" t="s">
        <v>2731</v>
      </c>
      <c r="O20" s="188" t="s">
        <v>2587</v>
      </c>
      <c r="P20" s="188" t="s">
        <v>2587</v>
      </c>
      <c r="Q20" s="188" t="s">
        <v>39</v>
      </c>
      <c r="R20" s="188" t="s">
        <v>39</v>
      </c>
      <c r="S20" s="188" t="s">
        <v>1904</v>
      </c>
      <c r="T20" s="188" t="s">
        <v>2821</v>
      </c>
      <c r="U20" s="188" t="s">
        <v>2210</v>
      </c>
      <c r="V20" s="188" t="s">
        <v>39</v>
      </c>
      <c r="W20" s="188" t="s">
        <v>39</v>
      </c>
      <c r="X20" s="188" t="s">
        <v>39</v>
      </c>
      <c r="Y20" s="188" t="s">
        <v>3736</v>
      </c>
      <c r="Z20" s="188" t="s">
        <v>2210</v>
      </c>
      <c r="AA20" s="188" t="s">
        <v>2210</v>
      </c>
      <c r="AB20" s="188" t="s">
        <v>2210</v>
      </c>
      <c r="AC20" s="188" t="s">
        <v>2210</v>
      </c>
      <c r="AD20" s="188" t="s">
        <v>2210</v>
      </c>
      <c r="AE20" s="188" t="s">
        <v>2210</v>
      </c>
      <c r="AF20" s="188" t="s">
        <v>2210</v>
      </c>
      <c r="AG20" s="188" t="s">
        <v>41</v>
      </c>
      <c r="AH20" s="188" t="s">
        <v>3669</v>
      </c>
      <c r="AI20" s="188" t="s">
        <v>2210</v>
      </c>
      <c r="AJ20" s="188" t="s">
        <v>2210</v>
      </c>
      <c r="AK20" s="188" t="s">
        <v>306</v>
      </c>
      <c r="AL20" s="188" t="s">
        <v>306</v>
      </c>
      <c r="AM20" s="188" t="s">
        <v>1159</v>
      </c>
      <c r="AN20" s="188" t="s">
        <v>159</v>
      </c>
      <c r="AO20" s="188" t="s">
        <v>2210</v>
      </c>
      <c r="AP20" s="188" t="s">
        <v>2210</v>
      </c>
      <c r="AQ20" s="188" t="s">
        <v>2587</v>
      </c>
      <c r="AR20" s="188" t="s">
        <v>306</v>
      </c>
      <c r="AS20" s="188" t="s">
        <v>306</v>
      </c>
      <c r="AT20" s="188" t="s">
        <v>312</v>
      </c>
      <c r="AU20" s="188" t="s">
        <v>312</v>
      </c>
      <c r="AV20" s="188" t="s">
        <v>312</v>
      </c>
      <c r="AW20" s="188" t="s">
        <v>312</v>
      </c>
      <c r="AX20" s="188" t="s">
        <v>39</v>
      </c>
      <c r="AY20" s="188" t="s">
        <v>41</v>
      </c>
      <c r="AZ20" s="188" t="s">
        <v>41</v>
      </c>
      <c r="BA20" s="188" t="s">
        <v>1499</v>
      </c>
      <c r="BB20" s="188" t="s">
        <v>1499</v>
      </c>
      <c r="BC20" s="188" t="s">
        <v>361</v>
      </c>
      <c r="BD20" s="188" t="s">
        <v>2210</v>
      </c>
      <c r="BE20" s="188" t="s">
        <v>1159</v>
      </c>
      <c r="BF20" s="188" t="s">
        <v>39</v>
      </c>
      <c r="BG20" s="188" t="s">
        <v>1313</v>
      </c>
      <c r="BH20" s="188" t="s">
        <v>1159</v>
      </c>
      <c r="BI20" s="188" t="s">
        <v>1159</v>
      </c>
      <c r="BJ20" s="188" t="s">
        <v>1313</v>
      </c>
      <c r="BK20" s="188" t="s">
        <v>1313</v>
      </c>
      <c r="BL20" s="188" t="s">
        <v>1313</v>
      </c>
      <c r="BM20" s="188" t="s">
        <v>3217</v>
      </c>
      <c r="BN20" s="188" t="s">
        <v>3217</v>
      </c>
      <c r="BO20" s="54" t="s">
        <v>312</v>
      </c>
      <c r="BP20" s="54" t="s">
        <v>312</v>
      </c>
      <c r="BQ20" s="188" t="s">
        <v>2210</v>
      </c>
      <c r="BR20" s="188" t="s">
        <v>1600</v>
      </c>
      <c r="BS20" s="188" t="s">
        <v>1600</v>
      </c>
      <c r="BT20" s="188" t="s">
        <v>41</v>
      </c>
    </row>
    <row r="21" spans="1:80" s="2" customFormat="1" ht="9" customHeight="1">
      <c r="A21" s="95" t="s">
        <v>688</v>
      </c>
      <c r="B21" s="94" t="s">
        <v>5052</v>
      </c>
      <c r="C21" s="94" t="s">
        <v>5052</v>
      </c>
      <c r="D21" s="94" t="s">
        <v>4909</v>
      </c>
      <c r="E21" s="94"/>
      <c r="F21" s="95" t="s">
        <v>688</v>
      </c>
      <c r="G21" s="94"/>
      <c r="H21" s="94" t="s">
        <v>3119</v>
      </c>
      <c r="I21" s="94" t="s">
        <v>3117</v>
      </c>
      <c r="J21" s="94" t="s">
        <v>1995</v>
      </c>
      <c r="K21" s="94" t="s">
        <v>1995</v>
      </c>
      <c r="L21" s="94" t="s">
        <v>3642</v>
      </c>
      <c r="M21" s="94" t="s">
        <v>2047</v>
      </c>
      <c r="N21" s="94" t="s">
        <v>2566</v>
      </c>
      <c r="O21" s="94" t="s">
        <v>1213</v>
      </c>
      <c r="P21" s="94" t="s">
        <v>1213</v>
      </c>
      <c r="Q21" s="94" t="s">
        <v>1389</v>
      </c>
      <c r="R21" s="94" t="s">
        <v>1389</v>
      </c>
      <c r="S21" s="94" t="s">
        <v>1389</v>
      </c>
      <c r="T21" s="94" t="s">
        <v>2816</v>
      </c>
      <c r="U21" s="94" t="s">
        <v>3807</v>
      </c>
      <c r="V21" s="94" t="s">
        <v>1389</v>
      </c>
      <c r="W21" s="94" t="s">
        <v>1685</v>
      </c>
      <c r="X21" s="94" t="s">
        <v>1389</v>
      </c>
      <c r="Y21" s="94" t="s">
        <v>3717</v>
      </c>
      <c r="Z21" s="94" t="s">
        <v>4104</v>
      </c>
      <c r="AA21" s="94" t="s">
        <v>4104</v>
      </c>
      <c r="AB21" s="94" t="s">
        <v>4104</v>
      </c>
      <c r="AC21" s="94" t="s">
        <v>815</v>
      </c>
      <c r="AD21" s="94" t="s">
        <v>3869</v>
      </c>
      <c r="AE21" s="94" t="s">
        <v>3870</v>
      </c>
      <c r="AF21" s="94" t="s">
        <v>3871</v>
      </c>
      <c r="AG21" s="94" t="s">
        <v>4181</v>
      </c>
      <c r="AH21" s="94" t="s">
        <v>3668</v>
      </c>
      <c r="AI21" s="94" t="s">
        <v>2422</v>
      </c>
      <c r="AJ21" s="94" t="s">
        <v>2390</v>
      </c>
      <c r="AK21" s="94" t="s">
        <v>2342</v>
      </c>
      <c r="AL21" s="94" t="s">
        <v>2278</v>
      </c>
      <c r="AM21" s="94" t="s">
        <v>1160</v>
      </c>
      <c r="AN21" s="94"/>
      <c r="AO21" s="94" t="s">
        <v>2495</v>
      </c>
      <c r="AP21" s="94" t="s">
        <v>2512</v>
      </c>
      <c r="AQ21" s="94" t="s">
        <v>1389</v>
      </c>
      <c r="AR21" s="94" t="s">
        <v>3371</v>
      </c>
      <c r="AS21" s="94" t="s">
        <v>3292</v>
      </c>
      <c r="AT21" s="94" t="s">
        <v>3529</v>
      </c>
      <c r="AU21" s="94" t="s">
        <v>3529</v>
      </c>
      <c r="AV21" s="94" t="s">
        <v>3529</v>
      </c>
      <c r="AW21" s="94" t="s">
        <v>3529</v>
      </c>
      <c r="AX21" s="94"/>
      <c r="AY21" s="94"/>
      <c r="AZ21" s="94"/>
      <c r="BA21" s="94" t="s">
        <v>1461</v>
      </c>
      <c r="BB21" s="94" t="s">
        <v>1461</v>
      </c>
      <c r="BC21" s="94"/>
      <c r="BD21" s="94" t="s">
        <v>2890</v>
      </c>
      <c r="BE21" s="94" t="s">
        <v>1214</v>
      </c>
      <c r="BF21" s="94" t="s">
        <v>1389</v>
      </c>
      <c r="BG21" s="94" t="s">
        <v>1715</v>
      </c>
      <c r="BH21" s="94" t="s">
        <v>2918</v>
      </c>
      <c r="BI21" s="94" t="s">
        <v>2918</v>
      </c>
      <c r="BJ21" s="94" t="s">
        <v>1367</v>
      </c>
      <c r="BK21" s="94" t="s">
        <v>1312</v>
      </c>
      <c r="BL21" s="94" t="s">
        <v>771</v>
      </c>
      <c r="BM21" s="94" t="s">
        <v>3216</v>
      </c>
      <c r="BN21" s="94" t="s">
        <v>3216</v>
      </c>
      <c r="BO21" s="94" t="s">
        <v>2145</v>
      </c>
      <c r="BP21" s="94" t="s">
        <v>2145</v>
      </c>
      <c r="BQ21" s="94" t="s">
        <v>1394</v>
      </c>
      <c r="BR21" s="94" t="s">
        <v>1599</v>
      </c>
      <c r="BS21" s="94" t="s">
        <v>1599</v>
      </c>
      <c r="BT21" s="94"/>
    </row>
    <row r="22" spans="1:80" s="14" customFormat="1" ht="27">
      <c r="A22" s="187" t="s">
        <v>5200</v>
      </c>
      <c r="B22" s="73" t="s">
        <v>39</v>
      </c>
      <c r="C22" s="73" t="s">
        <v>39</v>
      </c>
      <c r="D22" s="73" t="s">
        <v>39</v>
      </c>
      <c r="E22" s="73"/>
      <c r="F22" s="187" t="s">
        <v>5192</v>
      </c>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c r="BM22" s="189"/>
      <c r="BN22" s="189"/>
      <c r="BO22" s="189"/>
      <c r="BP22" s="189"/>
      <c r="BQ22" s="189"/>
      <c r="BR22" s="189"/>
      <c r="BS22" s="189"/>
      <c r="BT22" s="189"/>
      <c r="BW22" s="226"/>
      <c r="BX22" s="228"/>
      <c r="BY22" s="153"/>
      <c r="BZ22" s="226"/>
      <c r="CA22" s="226"/>
      <c r="CB22" s="226"/>
    </row>
    <row r="23" spans="1:80" s="2" customFormat="1" ht="9" customHeight="1">
      <c r="A23" s="207"/>
      <c r="B23" s="94" t="s">
        <v>39</v>
      </c>
      <c r="C23" s="94" t="s">
        <v>39</v>
      </c>
      <c r="D23" s="94" t="s">
        <v>39</v>
      </c>
      <c r="E23" s="94"/>
      <c r="F23" s="95"/>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W23" s="19"/>
      <c r="BX23" s="20"/>
      <c r="BY23" s="11"/>
      <c r="BZ23" s="19"/>
      <c r="CA23" s="19"/>
      <c r="CB23" s="19"/>
    </row>
    <row r="24" spans="1:80" s="14" customFormat="1" ht="18">
      <c r="A24" s="53" t="s">
        <v>5671</v>
      </c>
      <c r="B24" s="54" t="s">
        <v>41</v>
      </c>
      <c r="C24" s="54" t="s">
        <v>41</v>
      </c>
      <c r="D24" s="54" t="s">
        <v>39</v>
      </c>
      <c r="E24" s="54"/>
      <c r="F24" s="187" t="s">
        <v>5673</v>
      </c>
      <c r="G24" s="54" t="s">
        <v>41</v>
      </c>
      <c r="H24" s="54" t="s">
        <v>41</v>
      </c>
      <c r="I24" s="54" t="s">
        <v>41</v>
      </c>
      <c r="J24" s="54" t="s">
        <v>41</v>
      </c>
      <c r="K24" s="54" t="s">
        <v>41</v>
      </c>
      <c r="L24" s="54" t="s">
        <v>41</v>
      </c>
      <c r="M24" s="123" t="s">
        <v>41</v>
      </c>
      <c r="N24" s="54" t="s">
        <v>41</v>
      </c>
      <c r="O24" s="54" t="s">
        <v>41</v>
      </c>
      <c r="P24" s="54" t="s">
        <v>41</v>
      </c>
      <c r="Q24" s="54" t="s">
        <v>41</v>
      </c>
      <c r="R24" s="54" t="s">
        <v>41</v>
      </c>
      <c r="S24" s="54" t="s">
        <v>41</v>
      </c>
      <c r="T24" s="54" t="s">
        <v>39</v>
      </c>
      <c r="U24" s="54" t="s">
        <v>41</v>
      </c>
      <c r="V24" s="54" t="s">
        <v>39</v>
      </c>
      <c r="W24" s="54" t="s">
        <v>41</v>
      </c>
      <c r="X24" s="54" t="s">
        <v>39</v>
      </c>
      <c r="Y24" s="54" t="s">
        <v>41</v>
      </c>
      <c r="Z24" s="123" t="s">
        <v>41</v>
      </c>
      <c r="AA24" s="123" t="s">
        <v>41</v>
      </c>
      <c r="AB24" s="123" t="s">
        <v>41</v>
      </c>
      <c r="AC24" s="54" t="s">
        <v>41</v>
      </c>
      <c r="AD24" s="54" t="s">
        <v>39</v>
      </c>
      <c r="AE24" s="54" t="s">
        <v>41</v>
      </c>
      <c r="AF24" s="54" t="s">
        <v>41</v>
      </c>
      <c r="AG24" s="54" t="s">
        <v>4176</v>
      </c>
      <c r="AH24" s="54" t="s">
        <v>41</v>
      </c>
      <c r="AI24" s="54" t="s">
        <v>41</v>
      </c>
      <c r="AJ24" s="54" t="s">
        <v>41</v>
      </c>
      <c r="AK24" s="54" t="s">
        <v>41</v>
      </c>
      <c r="AL24" s="54" t="s">
        <v>41</v>
      </c>
      <c r="AM24" s="54" t="s">
        <v>39</v>
      </c>
      <c r="AN24" s="54" t="s">
        <v>39</v>
      </c>
      <c r="AO24" s="54" t="s">
        <v>41</v>
      </c>
      <c r="AP24" s="54" t="s">
        <v>41</v>
      </c>
      <c r="AQ24" s="73" t="s">
        <v>39</v>
      </c>
      <c r="AR24" s="54" t="s">
        <v>41</v>
      </c>
      <c r="AS24" s="54" t="s">
        <v>41</v>
      </c>
      <c r="AT24" s="54" t="s">
        <v>41</v>
      </c>
      <c r="AU24" s="54" t="s">
        <v>41</v>
      </c>
      <c r="AV24" s="54" t="s">
        <v>41</v>
      </c>
      <c r="AW24" s="54" t="s">
        <v>41</v>
      </c>
      <c r="AX24" s="54" t="s">
        <v>39</v>
      </c>
      <c r="AY24" s="54" t="s">
        <v>41</v>
      </c>
      <c r="AZ24" s="54" t="s">
        <v>41</v>
      </c>
      <c r="BA24" s="54" t="s">
        <v>39</v>
      </c>
      <c r="BB24" s="54" t="s">
        <v>41</v>
      </c>
      <c r="BC24" s="54" t="s">
        <v>41</v>
      </c>
      <c r="BD24" s="54" t="s">
        <v>41</v>
      </c>
      <c r="BE24" s="54" t="s">
        <v>41</v>
      </c>
      <c r="BF24" s="54" t="s">
        <v>41</v>
      </c>
      <c r="BG24" s="54" t="s">
        <v>41</v>
      </c>
      <c r="BH24" s="54" t="s">
        <v>41</v>
      </c>
      <c r="BI24" s="54" t="s">
        <v>41</v>
      </c>
      <c r="BJ24" s="54" t="s">
        <v>41</v>
      </c>
      <c r="BK24" s="54" t="s">
        <v>41</v>
      </c>
      <c r="BL24" s="54" t="s">
        <v>41</v>
      </c>
      <c r="BM24" s="54" t="s">
        <v>2173</v>
      </c>
      <c r="BN24" s="54" t="s">
        <v>2173</v>
      </c>
      <c r="BO24" s="54" t="s">
        <v>41</v>
      </c>
      <c r="BP24" s="54" t="s">
        <v>41</v>
      </c>
      <c r="BQ24" s="54" t="s">
        <v>2173</v>
      </c>
      <c r="BR24" s="54" t="s">
        <v>41</v>
      </c>
      <c r="BS24" s="54" t="s">
        <v>41</v>
      </c>
      <c r="BT24" s="54" t="s">
        <v>41</v>
      </c>
      <c r="BW24" s="30">
        <v>11</v>
      </c>
      <c r="BX24" s="99" t="s">
        <v>2735</v>
      </c>
      <c r="BY24" s="30"/>
      <c r="BZ24" s="30"/>
      <c r="CA24" s="30"/>
      <c r="CB24" s="30"/>
    </row>
    <row r="25" spans="1:80" s="2" customFormat="1" ht="9" customHeight="1">
      <c r="A25" s="95" t="s">
        <v>688</v>
      </c>
      <c r="B25" s="210" t="s">
        <v>4942</v>
      </c>
      <c r="C25" s="210" t="s">
        <v>4942</v>
      </c>
      <c r="D25" s="94" t="s">
        <v>39</v>
      </c>
      <c r="E25" s="210"/>
      <c r="F25" s="95" t="s">
        <v>688</v>
      </c>
      <c r="G25" s="94"/>
      <c r="H25" s="94" t="s">
        <v>3094</v>
      </c>
      <c r="I25" s="94" t="s">
        <v>3094</v>
      </c>
      <c r="J25" s="94" t="s">
        <v>1989</v>
      </c>
      <c r="K25" s="94" t="s">
        <v>1989</v>
      </c>
      <c r="L25" s="94"/>
      <c r="M25" s="94" t="s">
        <v>2069</v>
      </c>
      <c r="N25" s="94" t="s">
        <v>3021</v>
      </c>
      <c r="O25" s="94" t="s">
        <v>1208</v>
      </c>
      <c r="P25" s="94" t="s">
        <v>1208</v>
      </c>
      <c r="Q25" s="94" t="s">
        <v>2599</v>
      </c>
      <c r="R25" s="94" t="s">
        <v>2599</v>
      </c>
      <c r="S25" s="94" t="s">
        <v>1401</v>
      </c>
      <c r="T25" s="94" t="s">
        <v>39</v>
      </c>
      <c r="U25" s="94" t="s">
        <v>1276</v>
      </c>
      <c r="V25" s="94" t="s">
        <v>39</v>
      </c>
      <c r="W25" s="94" t="s">
        <v>1658</v>
      </c>
      <c r="X25" s="94" t="s">
        <v>39</v>
      </c>
      <c r="Y25" s="94" t="s">
        <v>1399</v>
      </c>
      <c r="Z25" s="94" t="s">
        <v>4099</v>
      </c>
      <c r="AA25" s="94" t="s">
        <v>4099</v>
      </c>
      <c r="AB25" s="94" t="s">
        <v>4099</v>
      </c>
      <c r="AC25" s="94" t="s">
        <v>800</v>
      </c>
      <c r="AD25" s="94" t="s">
        <v>39</v>
      </c>
      <c r="AE25" s="94" t="s">
        <v>3862</v>
      </c>
      <c r="AF25" s="94" t="s">
        <v>3863</v>
      </c>
      <c r="AG25" s="94" t="s">
        <v>4175</v>
      </c>
      <c r="AH25" s="94" t="s">
        <v>3383</v>
      </c>
      <c r="AI25" s="94" t="s">
        <v>2408</v>
      </c>
      <c r="AJ25" s="94" t="s">
        <v>2364</v>
      </c>
      <c r="AK25" s="94" t="s">
        <v>2300</v>
      </c>
      <c r="AL25" s="94" t="s">
        <v>697</v>
      </c>
      <c r="AM25" s="94" t="s">
        <v>39</v>
      </c>
      <c r="AN25" s="94"/>
      <c r="AO25" s="94" t="s">
        <v>2455</v>
      </c>
      <c r="AP25" s="94" t="s">
        <v>2455</v>
      </c>
      <c r="AQ25" s="94" t="s">
        <v>39</v>
      </c>
      <c r="AR25" s="94" t="s">
        <v>3331</v>
      </c>
      <c r="AS25" s="94" t="s">
        <v>3279</v>
      </c>
      <c r="AT25" s="94" t="s">
        <v>3490</v>
      </c>
      <c r="AU25" s="94" t="s">
        <v>3490</v>
      </c>
      <c r="AV25" s="94" t="s">
        <v>3490</v>
      </c>
      <c r="AW25" s="94" t="s">
        <v>3490</v>
      </c>
      <c r="AX25" s="94"/>
      <c r="AY25" s="94"/>
      <c r="AZ25" s="94"/>
      <c r="BA25" s="94" t="s">
        <v>39</v>
      </c>
      <c r="BB25" s="94" t="s">
        <v>1432</v>
      </c>
      <c r="BC25" s="94"/>
      <c r="BD25" s="94" t="s">
        <v>2600</v>
      </c>
      <c r="BE25" s="94" t="s">
        <v>1223</v>
      </c>
      <c r="BF25" s="94" t="s">
        <v>2600</v>
      </c>
      <c r="BG25" s="94" t="s">
        <v>1710</v>
      </c>
      <c r="BH25" s="94" t="s">
        <v>877</v>
      </c>
      <c r="BI25" s="94" t="s">
        <v>877</v>
      </c>
      <c r="BJ25" s="94" t="s">
        <v>1369</v>
      </c>
      <c r="BK25" s="94" t="s">
        <v>1314</v>
      </c>
      <c r="BL25" s="94" t="s">
        <v>767</v>
      </c>
      <c r="BM25" s="94" t="s">
        <v>3202</v>
      </c>
      <c r="BN25" s="94" t="s">
        <v>3202</v>
      </c>
      <c r="BO25" s="94" t="s">
        <v>2147</v>
      </c>
      <c r="BP25" s="94" t="s">
        <v>2147</v>
      </c>
      <c r="BQ25" s="94" t="s">
        <v>2172</v>
      </c>
      <c r="BR25" s="94" t="s">
        <v>1638</v>
      </c>
      <c r="BS25" s="94" t="s">
        <v>1638</v>
      </c>
      <c r="BT25" s="94"/>
      <c r="BW25" s="96">
        <v>12</v>
      </c>
      <c r="BX25" s="99" t="s">
        <v>3042</v>
      </c>
      <c r="BY25" s="35"/>
      <c r="BZ25" s="35"/>
      <c r="CA25" s="35"/>
      <c r="CB25" s="35"/>
    </row>
    <row r="26" spans="1:80" s="192" customFormat="1" ht="18">
      <c r="A26" s="187" t="s">
        <v>4976</v>
      </c>
      <c r="B26" s="54" t="s">
        <v>41</v>
      </c>
      <c r="C26" s="54" t="s">
        <v>41</v>
      </c>
      <c r="D26" s="54" t="s">
        <v>39</v>
      </c>
      <c r="E26" s="54"/>
      <c r="F26" s="187" t="s">
        <v>4976</v>
      </c>
      <c r="G26" s="188" t="s">
        <v>41</v>
      </c>
      <c r="H26" s="188" t="s">
        <v>41</v>
      </c>
      <c r="I26" s="188" t="s">
        <v>41</v>
      </c>
      <c r="J26" s="188" t="s">
        <v>41</v>
      </c>
      <c r="K26" s="188" t="s">
        <v>41</v>
      </c>
      <c r="L26" s="188" t="s">
        <v>39</v>
      </c>
      <c r="M26" s="188" t="s">
        <v>41</v>
      </c>
      <c r="N26" s="188" t="s">
        <v>41</v>
      </c>
      <c r="O26" s="188" t="s">
        <v>39</v>
      </c>
      <c r="P26" s="188" t="s">
        <v>39</v>
      </c>
      <c r="Q26" s="188" t="s">
        <v>39</v>
      </c>
      <c r="R26" s="188" t="s">
        <v>39</v>
      </c>
      <c r="S26" s="188" t="s">
        <v>39</v>
      </c>
      <c r="T26" s="188" t="s">
        <v>39</v>
      </c>
      <c r="U26" s="188" t="s">
        <v>39</v>
      </c>
      <c r="V26" s="188" t="s">
        <v>39</v>
      </c>
      <c r="W26" s="188" t="s">
        <v>39</v>
      </c>
      <c r="X26" s="188" t="s">
        <v>39</v>
      </c>
      <c r="Y26" s="188" t="s">
        <v>41</v>
      </c>
      <c r="Z26" s="188" t="s">
        <v>41</v>
      </c>
      <c r="AA26" s="188" t="s">
        <v>41</v>
      </c>
      <c r="AB26" s="188" t="s">
        <v>41</v>
      </c>
      <c r="AC26" s="188" t="s">
        <v>41</v>
      </c>
      <c r="AD26" s="188" t="s">
        <v>39</v>
      </c>
      <c r="AE26" s="188" t="s">
        <v>41</v>
      </c>
      <c r="AF26" s="188" t="s">
        <v>41</v>
      </c>
      <c r="AG26" s="188" t="s">
        <v>4177</v>
      </c>
      <c r="AH26" s="188" t="s">
        <v>41</v>
      </c>
      <c r="AI26" s="188" t="s">
        <v>39</v>
      </c>
      <c r="AJ26" s="188" t="s">
        <v>41</v>
      </c>
      <c r="AK26" s="188" t="s">
        <v>41</v>
      </c>
      <c r="AL26" s="188" t="s">
        <v>41</v>
      </c>
      <c r="AM26" s="188" t="s">
        <v>39</v>
      </c>
      <c r="AN26" s="188" t="s">
        <v>39</v>
      </c>
      <c r="AO26" s="188" t="s">
        <v>41</v>
      </c>
      <c r="AP26" s="188" t="s">
        <v>41</v>
      </c>
      <c r="AQ26" s="189" t="s">
        <v>39</v>
      </c>
      <c r="AR26" s="188" t="s">
        <v>41</v>
      </c>
      <c r="AS26" s="188" t="s">
        <v>41</v>
      </c>
      <c r="AT26" s="188" t="s">
        <v>41</v>
      </c>
      <c r="AU26" s="188" t="s">
        <v>41</v>
      </c>
      <c r="AV26" s="188" t="s">
        <v>41</v>
      </c>
      <c r="AW26" s="188" t="s">
        <v>41</v>
      </c>
      <c r="AX26" s="188" t="s">
        <v>39</v>
      </c>
      <c r="AY26" s="188" t="s">
        <v>39</v>
      </c>
      <c r="AZ26" s="188" t="s">
        <v>39</v>
      </c>
      <c r="BA26" s="188" t="s">
        <v>39</v>
      </c>
      <c r="BB26" s="188" t="s">
        <v>41</v>
      </c>
      <c r="BC26" s="188" t="s">
        <v>39</v>
      </c>
      <c r="BD26" s="188" t="s">
        <v>39</v>
      </c>
      <c r="BE26" s="188" t="s">
        <v>39</v>
      </c>
      <c r="BF26" s="188" t="s">
        <v>39</v>
      </c>
      <c r="BG26" s="188" t="s">
        <v>39</v>
      </c>
      <c r="BH26" s="188" t="s">
        <v>41</v>
      </c>
      <c r="BI26" s="188" t="s">
        <v>41</v>
      </c>
      <c r="BJ26" s="188" t="s">
        <v>41</v>
      </c>
      <c r="BK26" s="188" t="s">
        <v>41</v>
      </c>
      <c r="BL26" s="188" t="s">
        <v>41</v>
      </c>
      <c r="BM26" s="188" t="s">
        <v>39</v>
      </c>
      <c r="BN26" s="188" t="s">
        <v>39</v>
      </c>
      <c r="BO26" s="188" t="s">
        <v>41</v>
      </c>
      <c r="BP26" s="188" t="s">
        <v>41</v>
      </c>
      <c r="BQ26" s="188" t="s">
        <v>2181</v>
      </c>
      <c r="BR26" s="188" t="s">
        <v>39</v>
      </c>
      <c r="BS26" s="188" t="s">
        <v>39</v>
      </c>
      <c r="BT26" s="188" t="s">
        <v>39</v>
      </c>
      <c r="BW26" s="195">
        <v>13</v>
      </c>
      <c r="BX26" s="194" t="s">
        <v>3043</v>
      </c>
      <c r="BY26" s="193"/>
      <c r="BZ26" s="193"/>
      <c r="CA26" s="193"/>
      <c r="CB26" s="193"/>
    </row>
    <row r="27" spans="1:80" s="2" customFormat="1" ht="9" customHeight="1">
      <c r="A27" s="95" t="s">
        <v>688</v>
      </c>
      <c r="B27" s="210" t="s">
        <v>4943</v>
      </c>
      <c r="C27" s="210" t="s">
        <v>4943</v>
      </c>
      <c r="D27" s="94" t="s">
        <v>39</v>
      </c>
      <c r="E27" s="210"/>
      <c r="F27" s="95" t="s">
        <v>688</v>
      </c>
      <c r="G27" s="94"/>
      <c r="H27" s="94" t="s">
        <v>3113</v>
      </c>
      <c r="I27" s="94" t="s">
        <v>3114</v>
      </c>
      <c r="J27" s="94" t="s">
        <v>1990</v>
      </c>
      <c r="K27" s="94" t="s">
        <v>1990</v>
      </c>
      <c r="L27" s="94"/>
      <c r="M27" s="94" t="s">
        <v>2070</v>
      </c>
      <c r="N27" s="94" t="s">
        <v>3021</v>
      </c>
      <c r="O27" s="94" t="s">
        <v>39</v>
      </c>
      <c r="P27" s="94" t="s">
        <v>39</v>
      </c>
      <c r="Q27" s="94" t="s">
        <v>39</v>
      </c>
      <c r="R27" s="94" t="s">
        <v>39</v>
      </c>
      <c r="S27" s="94" t="s">
        <v>39</v>
      </c>
      <c r="T27" s="94" t="s">
        <v>39</v>
      </c>
      <c r="U27" s="94" t="s">
        <v>39</v>
      </c>
      <c r="V27" s="94" t="s">
        <v>39</v>
      </c>
      <c r="W27" s="94" t="s">
        <v>39</v>
      </c>
      <c r="X27" s="94" t="s">
        <v>39</v>
      </c>
      <c r="Y27" s="94" t="s">
        <v>1399</v>
      </c>
      <c r="Z27" s="94" t="s">
        <v>4100</v>
      </c>
      <c r="AA27" s="94" t="s">
        <v>4100</v>
      </c>
      <c r="AB27" s="94" t="s">
        <v>4100</v>
      </c>
      <c r="AC27" s="94" t="s">
        <v>800</v>
      </c>
      <c r="AD27" s="94" t="s">
        <v>39</v>
      </c>
      <c r="AE27" s="94" t="s">
        <v>3864</v>
      </c>
      <c r="AF27" s="94" t="s">
        <v>3865</v>
      </c>
      <c r="AG27" s="94" t="s">
        <v>4178</v>
      </c>
      <c r="AH27" s="94" t="s">
        <v>3383</v>
      </c>
      <c r="AI27" s="94" t="s">
        <v>39</v>
      </c>
      <c r="AJ27" s="94" t="s">
        <v>2365</v>
      </c>
      <c r="AK27" s="94" t="s">
        <v>2301</v>
      </c>
      <c r="AL27" s="94" t="s">
        <v>698</v>
      </c>
      <c r="AM27" s="94" t="s">
        <v>39</v>
      </c>
      <c r="AN27" s="94"/>
      <c r="AO27" s="94" t="s">
        <v>2456</v>
      </c>
      <c r="AP27" s="94" t="s">
        <v>2456</v>
      </c>
      <c r="AQ27" s="94" t="s">
        <v>39</v>
      </c>
      <c r="AR27" s="94" t="s">
        <v>3332</v>
      </c>
      <c r="AS27" s="94" t="s">
        <v>3280</v>
      </c>
      <c r="AT27" s="94" t="s">
        <v>3488</v>
      </c>
      <c r="AU27" s="94" t="s">
        <v>3488</v>
      </c>
      <c r="AV27" s="94" t="s">
        <v>3488</v>
      </c>
      <c r="AW27" s="94" t="s">
        <v>3488</v>
      </c>
      <c r="AX27" s="94"/>
      <c r="AY27" s="94"/>
      <c r="AZ27" s="94"/>
      <c r="BA27" s="94" t="s">
        <v>39</v>
      </c>
      <c r="BB27" s="94" t="s">
        <v>1433</v>
      </c>
      <c r="BC27" s="94"/>
      <c r="BD27" s="94" t="s">
        <v>39</v>
      </c>
      <c r="BE27" s="94" t="s">
        <v>39</v>
      </c>
      <c r="BF27" s="94" t="s">
        <v>39</v>
      </c>
      <c r="BG27" s="94" t="s">
        <v>39</v>
      </c>
      <c r="BH27" s="94" t="s">
        <v>878</v>
      </c>
      <c r="BI27" s="94" t="s">
        <v>878</v>
      </c>
      <c r="BJ27" s="94" t="s">
        <v>1306</v>
      </c>
      <c r="BK27" s="94" t="s">
        <v>1307</v>
      </c>
      <c r="BL27" s="94" t="s">
        <v>768</v>
      </c>
      <c r="BM27" s="94" t="s">
        <v>39</v>
      </c>
      <c r="BN27" s="94" t="s">
        <v>39</v>
      </c>
      <c r="BO27" s="94" t="s">
        <v>2147</v>
      </c>
      <c r="BP27" s="94" t="s">
        <v>2147</v>
      </c>
      <c r="BQ27" s="94" t="s">
        <v>2180</v>
      </c>
      <c r="BR27" s="94" t="s">
        <v>39</v>
      </c>
      <c r="BS27" s="94" t="s">
        <v>39</v>
      </c>
      <c r="BT27" s="94"/>
      <c r="BW27" s="100">
        <v>14</v>
      </c>
      <c r="BX27" s="99" t="s">
        <v>1398</v>
      </c>
      <c r="BY27" s="35"/>
      <c r="BZ27" s="35"/>
      <c r="CA27" s="35"/>
      <c r="CB27" s="35"/>
    </row>
    <row r="28" spans="1:80" s="192" customFormat="1" ht="18">
      <c r="A28" s="187" t="s">
        <v>5672</v>
      </c>
      <c r="B28" s="54" t="s">
        <v>41</v>
      </c>
      <c r="C28" s="54" t="s">
        <v>41</v>
      </c>
      <c r="D28" s="54" t="s">
        <v>5251</v>
      </c>
      <c r="E28" s="54"/>
      <c r="F28" s="187" t="s">
        <v>5674</v>
      </c>
      <c r="G28" s="188" t="s">
        <v>41</v>
      </c>
      <c r="H28" s="188" t="s">
        <v>41</v>
      </c>
      <c r="I28" s="188" t="s">
        <v>41</v>
      </c>
      <c r="J28" s="188" t="s">
        <v>41</v>
      </c>
      <c r="K28" s="188" t="s">
        <v>41</v>
      </c>
      <c r="L28" s="188" t="s">
        <v>41</v>
      </c>
      <c r="M28" s="188" t="s">
        <v>41</v>
      </c>
      <c r="N28" s="188" t="s">
        <v>41</v>
      </c>
      <c r="O28" s="188" t="s">
        <v>41</v>
      </c>
      <c r="P28" s="188" t="s">
        <v>41</v>
      </c>
      <c r="Q28" s="188" t="s">
        <v>41</v>
      </c>
      <c r="R28" s="188" t="s">
        <v>41</v>
      </c>
      <c r="S28" s="188" t="s">
        <v>41</v>
      </c>
      <c r="T28" s="188" t="s">
        <v>39</v>
      </c>
      <c r="U28" s="188" t="s">
        <v>41</v>
      </c>
      <c r="V28" s="188" t="s">
        <v>39</v>
      </c>
      <c r="W28" s="188" t="s">
        <v>41</v>
      </c>
      <c r="X28" s="188" t="s">
        <v>39</v>
      </c>
      <c r="Y28" s="188" t="s">
        <v>41</v>
      </c>
      <c r="Z28" s="188" t="s">
        <v>41</v>
      </c>
      <c r="AA28" s="188" t="s">
        <v>41</v>
      </c>
      <c r="AB28" s="188" t="s">
        <v>41</v>
      </c>
      <c r="AC28" s="188" t="s">
        <v>41</v>
      </c>
      <c r="AD28" s="188" t="s">
        <v>41</v>
      </c>
      <c r="AE28" s="188" t="s">
        <v>41</v>
      </c>
      <c r="AF28" s="188" t="s">
        <v>41</v>
      </c>
      <c r="AG28" s="188" t="s">
        <v>4176</v>
      </c>
      <c r="AH28" s="188" t="s">
        <v>41</v>
      </c>
      <c r="AI28" s="188" t="s">
        <v>41</v>
      </c>
      <c r="AJ28" s="188" t="s">
        <v>41</v>
      </c>
      <c r="AK28" s="188" t="s">
        <v>41</v>
      </c>
      <c r="AL28" s="188" t="s">
        <v>41</v>
      </c>
      <c r="AM28" s="188" t="s">
        <v>41</v>
      </c>
      <c r="AN28" s="188" t="s">
        <v>41</v>
      </c>
      <c r="AO28" s="188" t="s">
        <v>41</v>
      </c>
      <c r="AP28" s="188" t="s">
        <v>41</v>
      </c>
      <c r="AQ28" s="188" t="s">
        <v>41</v>
      </c>
      <c r="AR28" s="188" t="s">
        <v>41</v>
      </c>
      <c r="AS28" s="188" t="s">
        <v>41</v>
      </c>
      <c r="AT28" s="188" t="s">
        <v>41</v>
      </c>
      <c r="AU28" s="188" t="s">
        <v>41</v>
      </c>
      <c r="AV28" s="188" t="s">
        <v>41</v>
      </c>
      <c r="AW28" s="188" t="s">
        <v>41</v>
      </c>
      <c r="AX28" s="188" t="s">
        <v>39</v>
      </c>
      <c r="AY28" s="188" t="s">
        <v>41</v>
      </c>
      <c r="AZ28" s="188" t="s">
        <v>41</v>
      </c>
      <c r="BA28" s="188" t="s">
        <v>39</v>
      </c>
      <c r="BB28" s="188" t="s">
        <v>41</v>
      </c>
      <c r="BC28" s="188" t="s">
        <v>41</v>
      </c>
      <c r="BD28" s="188" t="s">
        <v>41</v>
      </c>
      <c r="BE28" s="188" t="s">
        <v>41</v>
      </c>
      <c r="BF28" s="188" t="s">
        <v>41</v>
      </c>
      <c r="BG28" s="188" t="s">
        <v>41</v>
      </c>
      <c r="BH28" s="188" t="s">
        <v>41</v>
      </c>
      <c r="BI28" s="188" t="s">
        <v>41</v>
      </c>
      <c r="BJ28" s="188" t="s">
        <v>41</v>
      </c>
      <c r="BK28" s="188" t="s">
        <v>41</v>
      </c>
      <c r="BL28" s="188" t="s">
        <v>41</v>
      </c>
      <c r="BM28" s="188" t="s">
        <v>41</v>
      </c>
      <c r="BN28" s="188" t="s">
        <v>41</v>
      </c>
      <c r="BO28" s="188" t="s">
        <v>41</v>
      </c>
      <c r="BP28" s="188" t="s">
        <v>41</v>
      </c>
      <c r="BQ28" s="188" t="s">
        <v>41</v>
      </c>
      <c r="BR28" s="188" t="s">
        <v>41</v>
      </c>
      <c r="BS28" s="188" t="s">
        <v>41</v>
      </c>
      <c r="BT28" s="188" t="s">
        <v>41</v>
      </c>
      <c r="BW28" s="193">
        <v>9</v>
      </c>
      <c r="BX28" s="194" t="s">
        <v>2685</v>
      </c>
      <c r="BY28" s="193"/>
      <c r="BZ28" s="193"/>
      <c r="CA28" s="193"/>
      <c r="CB28" s="193"/>
    </row>
    <row r="29" spans="1:80" s="2" customFormat="1" ht="9" customHeight="1">
      <c r="A29" s="95" t="s">
        <v>688</v>
      </c>
      <c r="B29" s="210" t="s">
        <v>4942</v>
      </c>
      <c r="C29" s="210" t="s">
        <v>4942</v>
      </c>
      <c r="D29" s="94" t="s">
        <v>4853</v>
      </c>
      <c r="E29" s="210"/>
      <c r="F29" s="95" t="s">
        <v>688</v>
      </c>
      <c r="G29" s="94"/>
      <c r="H29" s="94" t="s">
        <v>3092</v>
      </c>
      <c r="I29" s="94" t="s">
        <v>3092</v>
      </c>
      <c r="J29" s="94" t="s">
        <v>1989</v>
      </c>
      <c r="K29" s="94" t="s">
        <v>1989</v>
      </c>
      <c r="L29" s="94"/>
      <c r="M29" s="94" t="s">
        <v>2068</v>
      </c>
      <c r="N29" s="94" t="s">
        <v>3021</v>
      </c>
      <c r="O29" s="94" t="s">
        <v>1206</v>
      </c>
      <c r="P29" s="94" t="s">
        <v>1206</v>
      </c>
      <c r="Q29" s="94" t="s">
        <v>2598</v>
      </c>
      <c r="R29" s="94" t="s">
        <v>2598</v>
      </c>
      <c r="S29" s="94" t="s">
        <v>1400</v>
      </c>
      <c r="T29" s="94" t="s">
        <v>39</v>
      </c>
      <c r="U29" s="94" t="s">
        <v>3800</v>
      </c>
      <c r="V29" s="94" t="s">
        <v>39</v>
      </c>
      <c r="W29" s="94" t="s">
        <v>1658</v>
      </c>
      <c r="X29" s="94" t="s">
        <v>39</v>
      </c>
      <c r="Y29" s="94" t="s">
        <v>1399</v>
      </c>
      <c r="Z29" s="94" t="s">
        <v>4041</v>
      </c>
      <c r="AA29" s="94" t="s">
        <v>4041</v>
      </c>
      <c r="AB29" s="94" t="s">
        <v>4041</v>
      </c>
      <c r="AC29" s="94" t="s">
        <v>800</v>
      </c>
      <c r="AD29" s="94" t="s">
        <v>3859</v>
      </c>
      <c r="AE29" s="94" t="s">
        <v>3860</v>
      </c>
      <c r="AF29" s="94" t="s">
        <v>3861</v>
      </c>
      <c r="AG29" s="94" t="s">
        <v>4180</v>
      </c>
      <c r="AH29" s="94" t="s">
        <v>2738</v>
      </c>
      <c r="AI29" s="94" t="s">
        <v>2407</v>
      </c>
      <c r="AJ29" s="94" t="s">
        <v>2363</v>
      </c>
      <c r="AK29" s="94" t="s">
        <v>2299</v>
      </c>
      <c r="AL29" s="94" t="s">
        <v>696</v>
      </c>
      <c r="AM29" s="94" t="s">
        <v>1146</v>
      </c>
      <c r="AN29" s="94"/>
      <c r="AO29" s="94" t="s">
        <v>2455</v>
      </c>
      <c r="AP29" s="94" t="s">
        <v>2455</v>
      </c>
      <c r="AQ29" s="94" t="s">
        <v>2565</v>
      </c>
      <c r="AR29" s="94" t="s">
        <v>3330</v>
      </c>
      <c r="AS29" s="94" t="s">
        <v>3278</v>
      </c>
      <c r="AT29" s="94" t="s">
        <v>3491</v>
      </c>
      <c r="AU29" s="94" t="s">
        <v>3491</v>
      </c>
      <c r="AV29" s="94" t="s">
        <v>3491</v>
      </c>
      <c r="AW29" s="94" t="s">
        <v>3491</v>
      </c>
      <c r="AX29" s="94"/>
      <c r="AY29" s="94"/>
      <c r="AZ29" s="94"/>
      <c r="BA29" s="94" t="s">
        <v>39</v>
      </c>
      <c r="BB29" s="94" t="s">
        <v>1431</v>
      </c>
      <c r="BC29" s="94"/>
      <c r="BD29" s="94" t="s">
        <v>2599</v>
      </c>
      <c r="BE29" s="94" t="s">
        <v>2737</v>
      </c>
      <c r="BF29" s="94" t="s">
        <v>2599</v>
      </c>
      <c r="BG29" s="94" t="s">
        <v>1708</v>
      </c>
      <c r="BH29" s="94" t="s">
        <v>876</v>
      </c>
      <c r="BI29" s="94" t="s">
        <v>876</v>
      </c>
      <c r="BJ29" s="94" t="s">
        <v>1363</v>
      </c>
      <c r="BK29" s="94" t="s">
        <v>1305</v>
      </c>
      <c r="BL29" s="94" t="s">
        <v>766</v>
      </c>
      <c r="BM29" s="94" t="s">
        <v>3202</v>
      </c>
      <c r="BN29" s="94" t="s">
        <v>3202</v>
      </c>
      <c r="BO29" s="94" t="s">
        <v>2147</v>
      </c>
      <c r="BP29" s="94" t="s">
        <v>2147</v>
      </c>
      <c r="BQ29" s="94" t="s">
        <v>2171</v>
      </c>
      <c r="BR29" s="94" t="s">
        <v>1590</v>
      </c>
      <c r="BS29" s="94" t="s">
        <v>1590</v>
      </c>
      <c r="BT29" s="94"/>
      <c r="BW29" s="30">
        <v>10</v>
      </c>
      <c r="BX29" s="97" t="s">
        <v>88</v>
      </c>
      <c r="BY29" s="35"/>
      <c r="BZ29" s="35"/>
      <c r="CA29" s="35"/>
      <c r="CB29" s="35"/>
    </row>
    <row r="30" spans="1:80" s="14" customFormat="1" ht="27">
      <c r="A30" s="53" t="s">
        <v>1</v>
      </c>
      <c r="B30" s="54" t="s">
        <v>5121</v>
      </c>
      <c r="C30" s="54" t="s">
        <v>5121</v>
      </c>
      <c r="D30" s="54" t="s">
        <v>41</v>
      </c>
      <c r="E30" s="54"/>
      <c r="F30" s="53" t="s">
        <v>1</v>
      </c>
      <c r="G30" s="54" t="s">
        <v>41</v>
      </c>
      <c r="H30" s="54" t="s">
        <v>41</v>
      </c>
      <c r="I30" s="54" t="s">
        <v>41</v>
      </c>
      <c r="J30" s="54" t="s">
        <v>41</v>
      </c>
      <c r="K30" s="54" t="s">
        <v>41</v>
      </c>
      <c r="L30" s="54" t="s">
        <v>41</v>
      </c>
      <c r="M30" s="123" t="s">
        <v>41</v>
      </c>
      <c r="N30" s="54" t="s">
        <v>41</v>
      </c>
      <c r="O30" s="54" t="s">
        <v>41</v>
      </c>
      <c r="P30" s="54" t="s">
        <v>41</v>
      </c>
      <c r="Q30" s="54" t="s">
        <v>41</v>
      </c>
      <c r="R30" s="54" t="s">
        <v>41</v>
      </c>
      <c r="S30" s="54" t="s">
        <v>41</v>
      </c>
      <c r="T30" s="54" t="s">
        <v>662</v>
      </c>
      <c r="U30" s="54" t="s">
        <v>41</v>
      </c>
      <c r="V30" s="54" t="s">
        <v>39</v>
      </c>
      <c r="W30" s="54" t="s">
        <v>41</v>
      </c>
      <c r="X30" s="54" t="s">
        <v>39</v>
      </c>
      <c r="Y30" s="54" t="s">
        <v>41</v>
      </c>
      <c r="Z30" s="123" t="s">
        <v>41</v>
      </c>
      <c r="AA30" s="123" t="s">
        <v>41</v>
      </c>
      <c r="AB30" s="123" t="s">
        <v>41</v>
      </c>
      <c r="AC30" s="54" t="s">
        <v>41</v>
      </c>
      <c r="AD30" s="54" t="s">
        <v>41</v>
      </c>
      <c r="AE30" s="54" t="s">
        <v>41</v>
      </c>
      <c r="AF30" s="54" t="s">
        <v>41</v>
      </c>
      <c r="AG30" s="54" t="s">
        <v>41</v>
      </c>
      <c r="AH30" s="54" t="s">
        <v>41</v>
      </c>
      <c r="AI30" s="54" t="s">
        <v>41</v>
      </c>
      <c r="AJ30" s="54" t="s">
        <v>41</v>
      </c>
      <c r="AK30" s="54" t="s">
        <v>41</v>
      </c>
      <c r="AL30" s="54" t="s">
        <v>41</v>
      </c>
      <c r="AM30" s="54" t="s">
        <v>41</v>
      </c>
      <c r="AN30" s="54" t="s">
        <v>41</v>
      </c>
      <c r="AO30" s="54" t="s">
        <v>41</v>
      </c>
      <c r="AP30" s="54" t="s">
        <v>41</v>
      </c>
      <c r="AQ30" s="54" t="s">
        <v>41</v>
      </c>
      <c r="AR30" s="54" t="s">
        <v>41</v>
      </c>
      <c r="AS30" s="54" t="s">
        <v>41</v>
      </c>
      <c r="AT30" s="54" t="s">
        <v>41</v>
      </c>
      <c r="AU30" s="54" t="s">
        <v>41</v>
      </c>
      <c r="AV30" s="54" t="s">
        <v>41</v>
      </c>
      <c r="AW30" s="54" t="s">
        <v>41</v>
      </c>
      <c r="AX30" s="54" t="s">
        <v>39</v>
      </c>
      <c r="AY30" s="54" t="s">
        <v>41</v>
      </c>
      <c r="AZ30" s="54" t="s">
        <v>41</v>
      </c>
      <c r="BA30" s="54" t="s">
        <v>41</v>
      </c>
      <c r="BB30" s="54" t="s">
        <v>41</v>
      </c>
      <c r="BC30" s="54" t="s">
        <v>360</v>
      </c>
      <c r="BD30" s="54" t="s">
        <v>41</v>
      </c>
      <c r="BE30" s="54" t="s">
        <v>41</v>
      </c>
      <c r="BF30" s="54" t="s">
        <v>41</v>
      </c>
      <c r="BG30" s="54" t="s">
        <v>41</v>
      </c>
      <c r="BH30" s="54" t="s">
        <v>41</v>
      </c>
      <c r="BI30" s="54" t="s">
        <v>41</v>
      </c>
      <c r="BJ30" s="54" t="s">
        <v>41</v>
      </c>
      <c r="BK30" s="54" t="s">
        <v>41</v>
      </c>
      <c r="BL30" s="54" t="s">
        <v>41</v>
      </c>
      <c r="BM30" s="54" t="s">
        <v>41</v>
      </c>
      <c r="BN30" s="54" t="s">
        <v>41</v>
      </c>
      <c r="BO30" s="54" t="s">
        <v>41</v>
      </c>
      <c r="BP30" s="54" t="s">
        <v>41</v>
      </c>
      <c r="BQ30" s="54" t="s">
        <v>41</v>
      </c>
      <c r="BR30" s="54" t="s">
        <v>41</v>
      </c>
      <c r="BS30" s="54" t="s">
        <v>41</v>
      </c>
      <c r="BT30" s="54" t="s">
        <v>41</v>
      </c>
      <c r="BW30" s="113">
        <v>15</v>
      </c>
      <c r="BX30" s="99" t="s">
        <v>618</v>
      </c>
      <c r="BY30" s="30"/>
      <c r="BZ30" s="110"/>
      <c r="CA30" s="30"/>
      <c r="CB30" s="30"/>
    </row>
    <row r="31" spans="1:80" s="2" customFormat="1" ht="9" customHeight="1">
      <c r="A31" s="95" t="s">
        <v>688</v>
      </c>
      <c r="B31" s="94" t="s">
        <v>5122</v>
      </c>
      <c r="C31" s="94" t="s">
        <v>5122</v>
      </c>
      <c r="D31" s="94" t="s">
        <v>4853</v>
      </c>
      <c r="E31" s="94"/>
      <c r="F31" s="95" t="s">
        <v>688</v>
      </c>
      <c r="G31" s="94"/>
      <c r="H31" s="94" t="s">
        <v>3092</v>
      </c>
      <c r="I31" s="94" t="s">
        <v>3092</v>
      </c>
      <c r="J31" s="94" t="s">
        <v>1991</v>
      </c>
      <c r="K31" s="94" t="s">
        <v>1991</v>
      </c>
      <c r="L31" s="94"/>
      <c r="M31" s="94" t="s">
        <v>2066</v>
      </c>
      <c r="N31" s="94" t="s">
        <v>2733</v>
      </c>
      <c r="O31" s="94" t="s">
        <v>1206</v>
      </c>
      <c r="P31" s="94" t="s">
        <v>1206</v>
      </c>
      <c r="Q31" s="94" t="s">
        <v>2598</v>
      </c>
      <c r="R31" s="94" t="s">
        <v>2598</v>
      </c>
      <c r="S31" s="94" t="s">
        <v>1399</v>
      </c>
      <c r="T31" s="94" t="s">
        <v>2807</v>
      </c>
      <c r="U31" s="94" t="s">
        <v>1354</v>
      </c>
      <c r="V31" s="94" t="s">
        <v>39</v>
      </c>
      <c r="W31" s="94" t="s">
        <v>1658</v>
      </c>
      <c r="X31" s="94" t="s">
        <v>39</v>
      </c>
      <c r="Y31" s="94" t="s">
        <v>1400</v>
      </c>
      <c r="Z31" s="94" t="s">
        <v>4041</v>
      </c>
      <c r="AA31" s="94" t="s">
        <v>4041</v>
      </c>
      <c r="AB31" s="94" t="s">
        <v>4041</v>
      </c>
      <c r="AC31" s="94" t="s">
        <v>799</v>
      </c>
      <c r="AD31" s="94" t="s">
        <v>3859</v>
      </c>
      <c r="AE31" s="94" t="s">
        <v>3860</v>
      </c>
      <c r="AF31" s="94" t="s">
        <v>3861</v>
      </c>
      <c r="AG31" s="94" t="s">
        <v>4178</v>
      </c>
      <c r="AH31" s="94" t="s">
        <v>2738</v>
      </c>
      <c r="AI31" s="94" t="s">
        <v>2409</v>
      </c>
      <c r="AJ31" s="94" t="s">
        <v>2366</v>
      </c>
      <c r="AK31" s="94" t="s">
        <v>2303</v>
      </c>
      <c r="AL31" s="94" t="s">
        <v>2245</v>
      </c>
      <c r="AM31" s="94" t="s">
        <v>1146</v>
      </c>
      <c r="AN31" s="94"/>
      <c r="AO31" s="94" t="s">
        <v>2458</v>
      </c>
      <c r="AP31" s="94" t="s">
        <v>2458</v>
      </c>
      <c r="AQ31" s="94" t="s">
        <v>2565</v>
      </c>
      <c r="AR31" s="94" t="s">
        <v>3330</v>
      </c>
      <c r="AS31" s="94" t="s">
        <v>3278</v>
      </c>
      <c r="AT31" s="94" t="s">
        <v>3492</v>
      </c>
      <c r="AU31" s="94" t="s">
        <v>3492</v>
      </c>
      <c r="AV31" s="94" t="s">
        <v>3492</v>
      </c>
      <c r="AW31" s="94" t="s">
        <v>3492</v>
      </c>
      <c r="AX31" s="94"/>
      <c r="AY31" s="94"/>
      <c r="AZ31" s="94"/>
      <c r="BA31" s="94" t="s">
        <v>1432</v>
      </c>
      <c r="BB31" s="94" t="s">
        <v>1440</v>
      </c>
      <c r="BC31" s="94"/>
      <c r="BD31" s="94" t="s">
        <v>2599</v>
      </c>
      <c r="BE31" s="94" t="s">
        <v>2738</v>
      </c>
      <c r="BF31" s="94" t="s">
        <v>2599</v>
      </c>
      <c r="BG31" s="94" t="s">
        <v>1708</v>
      </c>
      <c r="BH31" s="94" t="s">
        <v>2917</v>
      </c>
      <c r="BI31" s="94" t="s">
        <v>2917</v>
      </c>
      <c r="BJ31" s="94" t="s">
        <v>1305</v>
      </c>
      <c r="BK31" s="94" t="s">
        <v>1306</v>
      </c>
      <c r="BL31" s="94" t="s">
        <v>769</v>
      </c>
      <c r="BM31" s="94" t="s">
        <v>3202</v>
      </c>
      <c r="BN31" s="94" t="s">
        <v>3202</v>
      </c>
      <c r="BO31" s="94" t="s">
        <v>2147</v>
      </c>
      <c r="BP31" s="94" t="s">
        <v>2147</v>
      </c>
      <c r="BQ31" s="94" t="s">
        <v>2170</v>
      </c>
      <c r="BR31" s="94" t="s">
        <v>1590</v>
      </c>
      <c r="BS31" s="94" t="s">
        <v>1590</v>
      </c>
      <c r="BT31" s="94"/>
      <c r="BW31" s="100">
        <v>16</v>
      </c>
      <c r="BX31" s="99" t="s">
        <v>3798</v>
      </c>
      <c r="BY31" s="35"/>
      <c r="BZ31" s="35"/>
      <c r="CA31" s="35"/>
      <c r="CB31" s="35"/>
    </row>
    <row r="32" spans="1:80" s="192" customFormat="1" ht="27">
      <c r="A32" s="187" t="s">
        <v>5195</v>
      </c>
      <c r="B32" s="54" t="s">
        <v>41</v>
      </c>
      <c r="C32" s="54" t="s">
        <v>41</v>
      </c>
      <c r="D32" s="54" t="s">
        <v>39</v>
      </c>
      <c r="E32" s="54"/>
      <c r="F32" s="187" t="s">
        <v>4681</v>
      </c>
      <c r="G32" s="188" t="s">
        <v>200</v>
      </c>
      <c r="H32" s="188" t="s">
        <v>94</v>
      </c>
      <c r="I32" s="188" t="s">
        <v>94</v>
      </c>
      <c r="J32" s="188" t="s">
        <v>1921</v>
      </c>
      <c r="K32" s="188" t="s">
        <v>1921</v>
      </c>
      <c r="L32" s="188" t="s">
        <v>649</v>
      </c>
      <c r="M32" s="188" t="s">
        <v>94</v>
      </c>
      <c r="N32" s="188" t="s">
        <v>3023</v>
      </c>
      <c r="O32" s="188" t="s">
        <v>94</v>
      </c>
      <c r="P32" s="188" t="s">
        <v>94</v>
      </c>
      <c r="Q32" s="188" t="s">
        <v>94</v>
      </c>
      <c r="R32" s="188" t="s">
        <v>94</v>
      </c>
      <c r="S32" s="188" t="s">
        <v>41</v>
      </c>
      <c r="T32" s="188" t="s">
        <v>41</v>
      </c>
      <c r="U32" s="188" t="s">
        <v>3808</v>
      </c>
      <c r="V32" s="188" t="s">
        <v>200</v>
      </c>
      <c r="W32" s="188" t="s">
        <v>200</v>
      </c>
      <c r="X32" s="188" t="s">
        <v>1392</v>
      </c>
      <c r="Y32" s="188" t="s">
        <v>41</v>
      </c>
      <c r="Z32" s="188" t="s">
        <v>94</v>
      </c>
      <c r="AA32" s="188" t="s">
        <v>94</v>
      </c>
      <c r="AB32" s="188" t="s">
        <v>94</v>
      </c>
      <c r="AC32" s="188" t="s">
        <v>200</v>
      </c>
      <c r="AD32" s="188" t="s">
        <v>3926</v>
      </c>
      <c r="AE32" s="188" t="s">
        <v>3927</v>
      </c>
      <c r="AF32" s="188" t="s">
        <v>3927</v>
      </c>
      <c r="AG32" s="188" t="s">
        <v>94</v>
      </c>
      <c r="AH32" s="188" t="s">
        <v>94</v>
      </c>
      <c r="AI32" s="188" t="s">
        <v>94</v>
      </c>
      <c r="AJ32" s="188" t="s">
        <v>94</v>
      </c>
      <c r="AK32" s="188" t="s">
        <v>41</v>
      </c>
      <c r="AL32" s="188" t="s">
        <v>41</v>
      </c>
      <c r="AM32" s="188" t="s">
        <v>1147</v>
      </c>
      <c r="AN32" s="188" t="s">
        <v>94</v>
      </c>
      <c r="AO32" s="188" t="s">
        <v>309</v>
      </c>
      <c r="AP32" s="188" t="s">
        <v>41</v>
      </c>
      <c r="AQ32" s="188" t="s">
        <v>94</v>
      </c>
      <c r="AR32" s="188" t="s">
        <v>309</v>
      </c>
      <c r="AS32" s="188" t="s">
        <v>3287</v>
      </c>
      <c r="AT32" s="188" t="s">
        <v>41</v>
      </c>
      <c r="AU32" s="188" t="s">
        <v>41</v>
      </c>
      <c r="AV32" s="188" t="s">
        <v>41</v>
      </c>
      <c r="AW32" s="188" t="s">
        <v>41</v>
      </c>
      <c r="AX32" s="188" t="s">
        <v>39</v>
      </c>
      <c r="AY32" s="188" t="s">
        <v>94</v>
      </c>
      <c r="AZ32" s="188" t="s">
        <v>39</v>
      </c>
      <c r="BA32" s="188" t="s">
        <v>200</v>
      </c>
      <c r="BB32" s="188" t="s">
        <v>200</v>
      </c>
      <c r="BC32" s="188" t="s">
        <v>272</v>
      </c>
      <c r="BD32" s="188" t="s">
        <v>200</v>
      </c>
      <c r="BE32" s="188" t="s">
        <v>3385</v>
      </c>
      <c r="BF32" s="188" t="s">
        <v>94</v>
      </c>
      <c r="BG32" s="188" t="s">
        <v>94</v>
      </c>
      <c r="BH32" s="188" t="s">
        <v>94</v>
      </c>
      <c r="BI32" s="188" t="s">
        <v>94</v>
      </c>
      <c r="BJ32" s="188" t="s">
        <v>1296</v>
      </c>
      <c r="BK32" s="188" t="s">
        <v>1296</v>
      </c>
      <c r="BL32" s="188" t="s">
        <v>94</v>
      </c>
      <c r="BM32" s="188" t="s">
        <v>1410</v>
      </c>
      <c r="BN32" s="188" t="s">
        <v>1410</v>
      </c>
      <c r="BO32" s="188" t="s">
        <v>94</v>
      </c>
      <c r="BP32" s="188" t="s">
        <v>94</v>
      </c>
      <c r="BQ32" s="188" t="s">
        <v>2162</v>
      </c>
      <c r="BR32" s="188" t="s">
        <v>94</v>
      </c>
      <c r="BS32" s="188" t="s">
        <v>94</v>
      </c>
      <c r="BT32" s="188" t="s">
        <v>200</v>
      </c>
    </row>
    <row r="33" spans="1:80" s="2" customFormat="1" ht="9" customHeight="1">
      <c r="A33" s="95" t="s">
        <v>688</v>
      </c>
      <c r="B33" s="94" t="s">
        <v>5046</v>
      </c>
      <c r="C33" s="94" t="s">
        <v>5046</v>
      </c>
      <c r="D33" s="94" t="s">
        <v>4910</v>
      </c>
      <c r="E33" s="94"/>
      <c r="F33" s="95" t="s">
        <v>688</v>
      </c>
      <c r="G33" s="94"/>
      <c r="H33" s="94" t="s">
        <v>3179</v>
      </c>
      <c r="I33" s="94" t="s">
        <v>3178</v>
      </c>
      <c r="J33" s="94" t="s">
        <v>1930</v>
      </c>
      <c r="K33" s="94" t="s">
        <v>1961</v>
      </c>
      <c r="L33" s="94"/>
      <c r="M33" s="94" t="s">
        <v>2050</v>
      </c>
      <c r="N33" s="94" t="s">
        <v>3022</v>
      </c>
      <c r="O33" s="94" t="s">
        <v>1212</v>
      </c>
      <c r="P33" s="94" t="s">
        <v>1212</v>
      </c>
      <c r="Q33" s="94" t="s">
        <v>1214</v>
      </c>
      <c r="R33" s="94" t="s">
        <v>1214</v>
      </c>
      <c r="S33" s="94" t="s">
        <v>1403</v>
      </c>
      <c r="T33" s="94" t="s">
        <v>2854</v>
      </c>
      <c r="U33" s="94" t="s">
        <v>1287</v>
      </c>
      <c r="V33" s="94" t="s">
        <v>3800</v>
      </c>
      <c r="W33" s="94" t="s">
        <v>1687</v>
      </c>
      <c r="X33" s="94" t="s">
        <v>1212</v>
      </c>
      <c r="Y33" s="94" t="s">
        <v>3712</v>
      </c>
      <c r="Z33" s="94" t="s">
        <v>4105</v>
      </c>
      <c r="AA33" s="94" t="s">
        <v>4105</v>
      </c>
      <c r="AB33" s="94" t="s">
        <v>4105</v>
      </c>
      <c r="AC33" s="94" t="s">
        <v>833</v>
      </c>
      <c r="AD33" s="94" t="s">
        <v>3888</v>
      </c>
      <c r="AE33" s="94" t="s">
        <v>3928</v>
      </c>
      <c r="AF33" s="94" t="s">
        <v>3929</v>
      </c>
      <c r="AG33" s="94" t="s">
        <v>1212</v>
      </c>
      <c r="AH33" s="94" t="s">
        <v>1212</v>
      </c>
      <c r="AI33" s="94" t="s">
        <v>2428</v>
      </c>
      <c r="AJ33" s="94" t="s">
        <v>2399</v>
      </c>
      <c r="AK33" s="94" t="s">
        <v>2357</v>
      </c>
      <c r="AL33" s="94" t="s">
        <v>2289</v>
      </c>
      <c r="AM33" s="94" t="s">
        <v>1146</v>
      </c>
      <c r="AN33" s="94"/>
      <c r="AO33" s="94" t="s">
        <v>2558</v>
      </c>
      <c r="AP33" s="94" t="s">
        <v>2515</v>
      </c>
      <c r="AQ33" s="94" t="s">
        <v>1212</v>
      </c>
      <c r="AR33" s="94" t="s">
        <v>3285</v>
      </c>
      <c r="AS33" s="94" t="s">
        <v>3285</v>
      </c>
      <c r="AT33" s="94" t="s">
        <v>3489</v>
      </c>
      <c r="AU33" s="94" t="s">
        <v>3489</v>
      </c>
      <c r="AV33" s="94" t="s">
        <v>3489</v>
      </c>
      <c r="AW33" s="94" t="s">
        <v>3489</v>
      </c>
      <c r="AX33" s="94"/>
      <c r="AY33" s="94"/>
      <c r="AZ33" s="94"/>
      <c r="BA33" s="94" t="s">
        <v>1500</v>
      </c>
      <c r="BB33" s="94" t="s">
        <v>1462</v>
      </c>
      <c r="BC33" s="94"/>
      <c r="BD33" s="94" t="s">
        <v>1212</v>
      </c>
      <c r="BE33" s="94" t="s">
        <v>3384</v>
      </c>
      <c r="BF33" s="94" t="s">
        <v>1212</v>
      </c>
      <c r="BG33" s="94" t="s">
        <v>1737</v>
      </c>
      <c r="BH33" s="94" t="s">
        <v>891</v>
      </c>
      <c r="BI33" s="94" t="s">
        <v>891</v>
      </c>
      <c r="BJ33" s="94" t="s">
        <v>1297</v>
      </c>
      <c r="BK33" s="94" t="s">
        <v>1297</v>
      </c>
      <c r="BL33" s="94" t="s">
        <v>775</v>
      </c>
      <c r="BM33" s="94" t="s">
        <v>3219</v>
      </c>
      <c r="BN33" s="94" t="s">
        <v>3219</v>
      </c>
      <c r="BO33" s="94" t="s">
        <v>2144</v>
      </c>
      <c r="BP33" s="94" t="s">
        <v>2144</v>
      </c>
      <c r="BQ33" s="94" t="s">
        <v>2213</v>
      </c>
      <c r="BR33" s="94" t="s">
        <v>1617</v>
      </c>
      <c r="BS33" s="94" t="s">
        <v>1617</v>
      </c>
      <c r="BT33" s="94"/>
      <c r="BW33" s="19"/>
      <c r="BX33" s="20"/>
      <c r="BY33" s="11"/>
      <c r="BZ33" s="19"/>
      <c r="CA33" s="19"/>
      <c r="CB33" s="19"/>
    </row>
    <row r="34" spans="1:80" s="14" customFormat="1" ht="18">
      <c r="A34" s="53" t="s">
        <v>5196</v>
      </c>
      <c r="B34" s="54" t="s">
        <v>41</v>
      </c>
      <c r="C34" s="54" t="s">
        <v>41</v>
      </c>
      <c r="D34" s="54" t="s">
        <v>41</v>
      </c>
      <c r="E34" s="54"/>
      <c r="F34" s="53" t="s">
        <v>4810</v>
      </c>
      <c r="G34" s="54" t="s">
        <v>41</v>
      </c>
      <c r="H34" s="54" t="s">
        <v>41</v>
      </c>
      <c r="I34" s="54" t="s">
        <v>41</v>
      </c>
      <c r="J34" s="54" t="s">
        <v>41</v>
      </c>
      <c r="K34" s="54" t="s">
        <v>41</v>
      </c>
      <c r="L34" s="54" t="s">
        <v>41</v>
      </c>
      <c r="M34" s="123" t="s">
        <v>2652</v>
      </c>
      <c r="N34" s="54" t="s">
        <v>41</v>
      </c>
      <c r="O34" s="54" t="s">
        <v>2769</v>
      </c>
      <c r="P34" s="54" t="s">
        <v>326</v>
      </c>
      <c r="Q34" s="54" t="s">
        <v>94</v>
      </c>
      <c r="R34" s="54" t="s">
        <v>94</v>
      </c>
      <c r="S34" s="54" t="s">
        <v>41</v>
      </c>
      <c r="T34" s="54" t="s">
        <v>664</v>
      </c>
      <c r="U34" s="54" t="s">
        <v>41</v>
      </c>
      <c r="V34" s="54" t="s">
        <v>39</v>
      </c>
      <c r="W34" s="54" t="s">
        <v>39</v>
      </c>
      <c r="X34" s="54" t="s">
        <v>39</v>
      </c>
      <c r="Y34" s="54" t="s">
        <v>41</v>
      </c>
      <c r="Z34" s="123" t="s">
        <v>4076</v>
      </c>
      <c r="AA34" s="123" t="s">
        <v>3287</v>
      </c>
      <c r="AB34" s="123" t="s">
        <v>3287</v>
      </c>
      <c r="AC34" s="54" t="s">
        <v>309</v>
      </c>
      <c r="AD34" s="54" t="s">
        <v>3287</v>
      </c>
      <c r="AE34" s="54" t="s">
        <v>3287</v>
      </c>
      <c r="AF34" s="54" t="s">
        <v>3287</v>
      </c>
      <c r="AG34" s="54" t="s">
        <v>41</v>
      </c>
      <c r="AH34" s="54" t="s">
        <v>3671</v>
      </c>
      <c r="AI34" s="54" t="s">
        <v>41</v>
      </c>
      <c r="AJ34" s="54" t="s">
        <v>41</v>
      </c>
      <c r="AK34" s="54" t="s">
        <v>41</v>
      </c>
      <c r="AL34" s="54" t="s">
        <v>41</v>
      </c>
      <c r="AM34" s="54" t="s">
        <v>41</v>
      </c>
      <c r="AN34" s="54" t="s">
        <v>41</v>
      </c>
      <c r="AO34" s="54" t="s">
        <v>309</v>
      </c>
      <c r="AP34" s="54" t="s">
        <v>309</v>
      </c>
      <c r="AQ34" s="54" t="s">
        <v>41</v>
      </c>
      <c r="AR34" s="54" t="s">
        <v>3287</v>
      </c>
      <c r="AS34" s="54" t="s">
        <v>3287</v>
      </c>
      <c r="AT34" s="54" t="s">
        <v>41</v>
      </c>
      <c r="AU34" s="54" t="s">
        <v>41</v>
      </c>
      <c r="AV34" s="54" t="s">
        <v>41</v>
      </c>
      <c r="AW34" s="54" t="s">
        <v>41</v>
      </c>
      <c r="AX34" s="54" t="s">
        <v>39</v>
      </c>
      <c r="AY34" s="54" t="s">
        <v>326</v>
      </c>
      <c r="AZ34" s="54" t="s">
        <v>326</v>
      </c>
      <c r="BA34" s="54" t="s">
        <v>41</v>
      </c>
      <c r="BB34" s="54" t="s">
        <v>41</v>
      </c>
      <c r="BC34" s="54" t="s">
        <v>638</v>
      </c>
      <c r="BD34" s="54" t="s">
        <v>326</v>
      </c>
      <c r="BE34" s="54" t="s">
        <v>39</v>
      </c>
      <c r="BF34" s="54" t="s">
        <v>94</v>
      </c>
      <c r="BG34" s="54" t="s">
        <v>2769</v>
      </c>
      <c r="BH34" s="54" t="s">
        <v>41</v>
      </c>
      <c r="BI34" s="54" t="s">
        <v>41</v>
      </c>
      <c r="BJ34" s="54" t="s">
        <v>326</v>
      </c>
      <c r="BK34" s="54" t="s">
        <v>326</v>
      </c>
      <c r="BL34" s="54" t="s">
        <v>41</v>
      </c>
      <c r="BM34" s="54" t="s">
        <v>326</v>
      </c>
      <c r="BN34" s="54" t="s">
        <v>326</v>
      </c>
      <c r="BO34" s="54" t="s">
        <v>326</v>
      </c>
      <c r="BP34" s="54" t="s">
        <v>326</v>
      </c>
      <c r="BQ34" s="54" t="s">
        <v>41</v>
      </c>
      <c r="BR34" s="54" t="s">
        <v>41</v>
      </c>
      <c r="BS34" s="54" t="s">
        <v>41</v>
      </c>
      <c r="BT34" s="54" t="s">
        <v>41</v>
      </c>
      <c r="BW34" s="112">
        <v>31</v>
      </c>
      <c r="BX34" s="111" t="s">
        <v>2243</v>
      </c>
    </row>
    <row r="35" spans="1:80" s="2" customFormat="1" ht="9" customHeight="1">
      <c r="A35" s="95" t="s">
        <v>688</v>
      </c>
      <c r="B35" s="94" t="s">
        <v>5046</v>
      </c>
      <c r="C35" s="94" t="s">
        <v>5046</v>
      </c>
      <c r="D35" s="94" t="s">
        <v>4910</v>
      </c>
      <c r="E35" s="94"/>
      <c r="F35" s="95" t="s">
        <v>688</v>
      </c>
      <c r="G35" s="94"/>
      <c r="H35" s="94" t="s">
        <v>3091</v>
      </c>
      <c r="I35" s="94" t="s">
        <v>3091</v>
      </c>
      <c r="J35" s="94" t="s">
        <v>1929</v>
      </c>
      <c r="K35" s="94" t="s">
        <v>1960</v>
      </c>
      <c r="L35" s="94"/>
      <c r="M35" s="94" t="s">
        <v>2050</v>
      </c>
      <c r="N35" s="94" t="s">
        <v>3022</v>
      </c>
      <c r="O35" s="94" t="s">
        <v>1215</v>
      </c>
      <c r="P35" s="94" t="s">
        <v>1215</v>
      </c>
      <c r="Q35" s="94" t="s">
        <v>1214</v>
      </c>
      <c r="R35" s="94" t="s">
        <v>1214</v>
      </c>
      <c r="S35" s="94" t="s">
        <v>1403</v>
      </c>
      <c r="T35" s="94" t="s">
        <v>2815</v>
      </c>
      <c r="U35" s="94" t="s">
        <v>1286</v>
      </c>
      <c r="V35" s="94" t="s">
        <v>3844</v>
      </c>
      <c r="W35" s="94" t="s">
        <v>1687</v>
      </c>
      <c r="X35" s="94" t="s">
        <v>1212</v>
      </c>
      <c r="Y35" s="94" t="s">
        <v>3713</v>
      </c>
      <c r="Z35" s="94" t="s">
        <v>4075</v>
      </c>
      <c r="AA35" s="94" t="s">
        <v>4074</v>
      </c>
      <c r="AB35" s="94" t="s">
        <v>4074</v>
      </c>
      <c r="AC35" s="94" t="s">
        <v>798</v>
      </c>
      <c r="AD35" s="94" t="s">
        <v>3888</v>
      </c>
      <c r="AE35" s="94" t="s">
        <v>3889</v>
      </c>
      <c r="AF35" s="94" t="s">
        <v>3890</v>
      </c>
      <c r="AG35" s="94" t="s">
        <v>4188</v>
      </c>
      <c r="AH35" s="94" t="s">
        <v>3670</v>
      </c>
      <c r="AI35" s="94" t="s">
        <v>2423</v>
      </c>
      <c r="AJ35" s="94" t="s">
        <v>2391</v>
      </c>
      <c r="AK35" s="94" t="s">
        <v>2348</v>
      </c>
      <c r="AL35" s="94" t="s">
        <v>2283</v>
      </c>
      <c r="AM35" s="94" t="s">
        <v>1146</v>
      </c>
      <c r="AN35" s="94"/>
      <c r="AO35" s="94" t="s">
        <v>2558</v>
      </c>
      <c r="AP35" s="94" t="s">
        <v>2517</v>
      </c>
      <c r="AQ35" s="94" t="s">
        <v>1212</v>
      </c>
      <c r="AR35" s="94" t="s">
        <v>3285</v>
      </c>
      <c r="AS35" s="94" t="s">
        <v>3285</v>
      </c>
      <c r="AT35" s="94" t="s">
        <v>3489</v>
      </c>
      <c r="AU35" s="94" t="s">
        <v>3489</v>
      </c>
      <c r="AV35" s="94" t="s">
        <v>3489</v>
      </c>
      <c r="AW35" s="94" t="s">
        <v>3489</v>
      </c>
      <c r="AX35" s="94"/>
      <c r="AY35" s="94"/>
      <c r="AZ35" s="94"/>
      <c r="BA35" s="94" t="s">
        <v>1500</v>
      </c>
      <c r="BB35" s="94" t="s">
        <v>1462</v>
      </c>
      <c r="BC35" s="94"/>
      <c r="BD35" s="94" t="s">
        <v>2891</v>
      </c>
      <c r="BE35" s="94" t="s">
        <v>3384</v>
      </c>
      <c r="BF35" s="94" t="s">
        <v>1212</v>
      </c>
      <c r="BG35" s="94" t="s">
        <v>2857</v>
      </c>
      <c r="BH35" s="94" t="s">
        <v>2917</v>
      </c>
      <c r="BI35" s="94" t="s">
        <v>2917</v>
      </c>
      <c r="BJ35" s="94" t="s">
        <v>1295</v>
      </c>
      <c r="BK35" s="94" t="s">
        <v>1295</v>
      </c>
      <c r="BL35" s="94" t="s">
        <v>775</v>
      </c>
      <c r="BM35" s="94" t="s">
        <v>3219</v>
      </c>
      <c r="BN35" s="94" t="s">
        <v>3219</v>
      </c>
      <c r="BO35" s="94" t="s">
        <v>2143</v>
      </c>
      <c r="BP35" s="94" t="s">
        <v>2143</v>
      </c>
      <c r="BQ35" s="94" t="s">
        <v>2213</v>
      </c>
      <c r="BR35" s="94" t="s">
        <v>1601</v>
      </c>
      <c r="BS35" s="94" t="s">
        <v>1601</v>
      </c>
      <c r="BT35" s="94"/>
      <c r="BW35" s="96">
        <v>32</v>
      </c>
      <c r="BX35" s="111" t="s">
        <v>2238</v>
      </c>
      <c r="BY35" s="11"/>
      <c r="BZ35" s="19"/>
      <c r="CA35" s="19"/>
      <c r="CB35" s="19"/>
    </row>
    <row r="36" spans="1:80" s="2" customFormat="1" ht="18">
      <c r="A36" s="187" t="s">
        <v>5436</v>
      </c>
      <c r="B36" s="54" t="s">
        <v>5197</v>
      </c>
      <c r="C36" s="54" t="s">
        <v>5197</v>
      </c>
      <c r="D36" s="54" t="s">
        <v>39</v>
      </c>
      <c r="E36" s="54"/>
      <c r="F36" s="187" t="s">
        <v>5183</v>
      </c>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4"/>
      <c r="BV36" s="14"/>
      <c r="BW36" s="112"/>
      <c r="BX36" s="111"/>
      <c r="BY36" s="153"/>
      <c r="BZ36" s="19"/>
      <c r="CA36" s="19"/>
      <c r="CB36" s="19"/>
    </row>
    <row r="37" spans="1:80" s="2" customFormat="1" ht="9" customHeight="1">
      <c r="A37" s="95"/>
      <c r="B37" s="94"/>
      <c r="C37" s="94"/>
      <c r="D37" s="94" t="s">
        <v>4910</v>
      </c>
      <c r="E37" s="94"/>
      <c r="F37" s="95"/>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4"/>
      <c r="BW37" s="96"/>
      <c r="BX37" s="111"/>
      <c r="BY37" s="11"/>
      <c r="BZ37" s="19"/>
      <c r="CA37" s="19"/>
      <c r="CB37" s="19"/>
    </row>
    <row r="38" spans="1:80" s="192" customFormat="1" ht="27" customHeight="1">
      <c r="A38" s="187" t="s">
        <v>5184</v>
      </c>
      <c r="B38" s="54" t="s">
        <v>5199</v>
      </c>
      <c r="C38" s="54" t="s">
        <v>5199</v>
      </c>
      <c r="D38" s="54" t="s">
        <v>41</v>
      </c>
      <c r="E38" s="54"/>
      <c r="F38" s="187" t="s">
        <v>5184</v>
      </c>
      <c r="G38" s="188" t="s">
        <v>689</v>
      </c>
      <c r="H38" s="188" t="s">
        <v>94</v>
      </c>
      <c r="I38" s="188" t="s">
        <v>94</v>
      </c>
      <c r="J38" s="188" t="s">
        <v>1921</v>
      </c>
      <c r="K38" s="188" t="s">
        <v>1921</v>
      </c>
      <c r="L38" s="188" t="s">
        <v>649</v>
      </c>
      <c r="M38" s="188" t="s">
        <v>94</v>
      </c>
      <c r="N38" s="188" t="s">
        <v>200</v>
      </c>
      <c r="O38" s="188" t="s">
        <v>39</v>
      </c>
      <c r="P38" s="188" t="s">
        <v>39</v>
      </c>
      <c r="Q38" s="188" t="s">
        <v>94</v>
      </c>
      <c r="R38" s="188" t="s">
        <v>94</v>
      </c>
      <c r="S38" s="188" t="s">
        <v>1902</v>
      </c>
      <c r="T38" s="188" t="s">
        <v>200</v>
      </c>
      <c r="U38" s="188" t="s">
        <v>94</v>
      </c>
      <c r="V38" s="188" t="s">
        <v>200</v>
      </c>
      <c r="W38" s="188" t="s">
        <v>200</v>
      </c>
      <c r="X38" s="188" t="s">
        <v>1393</v>
      </c>
      <c r="Y38" s="188" t="s">
        <v>200</v>
      </c>
      <c r="Z38" s="188" t="s">
        <v>94</v>
      </c>
      <c r="AA38" s="188" t="s">
        <v>94</v>
      </c>
      <c r="AB38" s="188" t="s">
        <v>94</v>
      </c>
      <c r="AC38" s="188" t="s">
        <v>200</v>
      </c>
      <c r="AD38" s="188" t="s">
        <v>3926</v>
      </c>
      <c r="AE38" s="188" t="s">
        <v>3287</v>
      </c>
      <c r="AF38" s="188" t="s">
        <v>3287</v>
      </c>
      <c r="AG38" s="188" t="s">
        <v>4216</v>
      </c>
      <c r="AH38" s="188" t="s">
        <v>94</v>
      </c>
      <c r="AI38" s="188" t="s">
        <v>39</v>
      </c>
      <c r="AJ38" s="188" t="s">
        <v>39</v>
      </c>
      <c r="AK38" s="188" t="s">
        <v>94</v>
      </c>
      <c r="AL38" s="188" t="s">
        <v>94</v>
      </c>
      <c r="AM38" s="188" t="s">
        <v>39</v>
      </c>
      <c r="AN38" s="188" t="s">
        <v>39</v>
      </c>
      <c r="AO38" s="188" t="s">
        <v>309</v>
      </c>
      <c r="AP38" s="188" t="s">
        <v>309</v>
      </c>
      <c r="AQ38" s="188" t="s">
        <v>39</v>
      </c>
      <c r="AR38" s="188" t="s">
        <v>309</v>
      </c>
      <c r="AS38" s="188" t="s">
        <v>3287</v>
      </c>
      <c r="AT38" s="188" t="s">
        <v>41</v>
      </c>
      <c r="AU38" s="188" t="s">
        <v>41</v>
      </c>
      <c r="AV38" s="188" t="s">
        <v>41</v>
      </c>
      <c r="AW38" s="188" t="s">
        <v>41</v>
      </c>
      <c r="AX38" s="188" t="s">
        <v>39</v>
      </c>
      <c r="AY38" s="188" t="s">
        <v>94</v>
      </c>
      <c r="AZ38" s="188" t="s">
        <v>39</v>
      </c>
      <c r="BA38" s="188" t="s">
        <v>200</v>
      </c>
      <c r="BB38" s="188" t="s">
        <v>1463</v>
      </c>
      <c r="BC38" s="188" t="s">
        <v>39</v>
      </c>
      <c r="BD38" s="188" t="s">
        <v>200</v>
      </c>
      <c r="BE38" s="188" t="s">
        <v>3385</v>
      </c>
      <c r="BF38" s="188" t="s">
        <v>200</v>
      </c>
      <c r="BG38" s="188" t="s">
        <v>39</v>
      </c>
      <c r="BH38" s="188" t="s">
        <v>94</v>
      </c>
      <c r="BI38" s="188" t="s">
        <v>94</v>
      </c>
      <c r="BJ38" s="188" t="s">
        <v>1294</v>
      </c>
      <c r="BK38" s="188" t="s">
        <v>1294</v>
      </c>
      <c r="BL38" s="188" t="s">
        <v>94</v>
      </c>
      <c r="BM38" s="188" t="s">
        <v>3190</v>
      </c>
      <c r="BN38" s="188" t="s">
        <v>3190</v>
      </c>
      <c r="BO38" s="188" t="s">
        <v>94</v>
      </c>
      <c r="BP38" s="188" t="s">
        <v>94</v>
      </c>
      <c r="BQ38" s="188" t="s">
        <v>2162</v>
      </c>
      <c r="BR38" s="188" t="s">
        <v>94</v>
      </c>
      <c r="BS38" s="188" t="s">
        <v>94</v>
      </c>
      <c r="BT38" s="188" t="s">
        <v>200</v>
      </c>
    </row>
    <row r="39" spans="1:80" s="2" customFormat="1" ht="9" customHeight="1">
      <c r="A39" s="95" t="s">
        <v>688</v>
      </c>
      <c r="B39" s="94" t="s">
        <v>5046</v>
      </c>
      <c r="C39" s="94" t="s">
        <v>5046</v>
      </c>
      <c r="D39" s="94" t="s">
        <v>4910</v>
      </c>
      <c r="E39" s="94"/>
      <c r="F39" s="95" t="s">
        <v>688</v>
      </c>
      <c r="G39" s="94"/>
      <c r="H39" s="94" t="s">
        <v>3179</v>
      </c>
      <c r="I39" s="94" t="s">
        <v>3178</v>
      </c>
      <c r="J39" s="94" t="s">
        <v>1930</v>
      </c>
      <c r="K39" s="94" t="s">
        <v>1961</v>
      </c>
      <c r="L39" s="94"/>
      <c r="M39" s="94" t="s">
        <v>2050</v>
      </c>
      <c r="N39" s="94" t="s">
        <v>3022</v>
      </c>
      <c r="O39" s="94" t="s">
        <v>1215</v>
      </c>
      <c r="P39" s="94" t="s">
        <v>1215</v>
      </c>
      <c r="Q39" s="94" t="s">
        <v>1214</v>
      </c>
      <c r="R39" s="94" t="s">
        <v>1214</v>
      </c>
      <c r="S39" s="94" t="s">
        <v>1403</v>
      </c>
      <c r="T39" s="94" t="s">
        <v>2805</v>
      </c>
      <c r="U39" s="94" t="s">
        <v>1287</v>
      </c>
      <c r="V39" s="94" t="s">
        <v>3800</v>
      </c>
      <c r="W39" s="94" t="s">
        <v>1687</v>
      </c>
      <c r="X39" s="94" t="s">
        <v>1212</v>
      </c>
      <c r="Y39" s="94" t="s">
        <v>3713</v>
      </c>
      <c r="Z39" s="94" t="s">
        <v>4105</v>
      </c>
      <c r="AA39" s="94" t="s">
        <v>4105</v>
      </c>
      <c r="AB39" s="94" t="s">
        <v>4105</v>
      </c>
      <c r="AC39" s="94" t="s">
        <v>833</v>
      </c>
      <c r="AD39" s="94" t="s">
        <v>3888</v>
      </c>
      <c r="AE39" s="94" t="s">
        <v>3928</v>
      </c>
      <c r="AF39" s="94" t="s">
        <v>3929</v>
      </c>
      <c r="AG39" s="94" t="s">
        <v>4217</v>
      </c>
      <c r="AH39" s="94" t="s">
        <v>1212</v>
      </c>
      <c r="AI39" s="94" t="s">
        <v>2428</v>
      </c>
      <c r="AJ39" s="94" t="s">
        <v>2399</v>
      </c>
      <c r="AK39" s="94" t="s">
        <v>2356</v>
      </c>
      <c r="AL39" s="94" t="s">
        <v>2288</v>
      </c>
      <c r="AM39" s="94" t="s">
        <v>39</v>
      </c>
      <c r="AN39" s="94"/>
      <c r="AO39" s="94" t="s">
        <v>2558</v>
      </c>
      <c r="AP39" s="94" t="s">
        <v>2517</v>
      </c>
      <c r="AQ39" s="94" t="s">
        <v>1212</v>
      </c>
      <c r="AR39" s="94" t="s">
        <v>3285</v>
      </c>
      <c r="AS39" s="94" t="s">
        <v>3285</v>
      </c>
      <c r="AT39" s="94" t="s">
        <v>3489</v>
      </c>
      <c r="AU39" s="94" t="s">
        <v>3489</v>
      </c>
      <c r="AV39" s="94" t="s">
        <v>3489</v>
      </c>
      <c r="AW39" s="94" t="s">
        <v>3489</v>
      </c>
      <c r="AX39" s="94"/>
      <c r="AY39" s="94"/>
      <c r="AZ39" s="94"/>
      <c r="BA39" s="94" t="s">
        <v>1500</v>
      </c>
      <c r="BB39" s="94" t="s">
        <v>1462</v>
      </c>
      <c r="BC39" s="94"/>
      <c r="BD39" s="94" t="s">
        <v>1212</v>
      </c>
      <c r="BE39" s="94" t="s">
        <v>3384</v>
      </c>
      <c r="BF39" s="94" t="s">
        <v>1212</v>
      </c>
      <c r="BG39" s="94" t="s">
        <v>2857</v>
      </c>
      <c r="BH39" s="94" t="s">
        <v>891</v>
      </c>
      <c r="BI39" s="94" t="s">
        <v>891</v>
      </c>
      <c r="BJ39" s="94" t="s">
        <v>1293</v>
      </c>
      <c r="BK39" s="94" t="s">
        <v>1293</v>
      </c>
      <c r="BL39" s="94" t="s">
        <v>775</v>
      </c>
      <c r="BM39" s="94" t="s">
        <v>3219</v>
      </c>
      <c r="BN39" s="94" t="s">
        <v>3219</v>
      </c>
      <c r="BO39" s="94" t="s">
        <v>2144</v>
      </c>
      <c r="BP39" s="94" t="s">
        <v>2144</v>
      </c>
      <c r="BQ39" s="94" t="s">
        <v>2213</v>
      </c>
      <c r="BR39" s="94" t="s">
        <v>1617</v>
      </c>
      <c r="BS39" s="94" t="s">
        <v>1617</v>
      </c>
      <c r="BT39" s="94"/>
      <c r="BW39" s="19"/>
      <c r="BX39" s="20"/>
      <c r="BY39" s="11"/>
      <c r="BZ39" s="19"/>
      <c r="CA39" s="19"/>
      <c r="CB39" s="19"/>
    </row>
    <row r="40" spans="1:80" s="192" customFormat="1" ht="27">
      <c r="A40" s="187" t="s">
        <v>5440</v>
      </c>
      <c r="B40" s="54" t="s">
        <v>1292</v>
      </c>
      <c r="C40" s="54" t="s">
        <v>1292</v>
      </c>
      <c r="D40" s="54" t="s">
        <v>3741</v>
      </c>
      <c r="E40" s="54"/>
      <c r="F40" s="187" t="s">
        <v>4682</v>
      </c>
      <c r="G40" s="188" t="s">
        <v>41</v>
      </c>
      <c r="H40" s="188" t="s">
        <v>901</v>
      </c>
      <c r="I40" s="188" t="s">
        <v>901</v>
      </c>
      <c r="J40" s="188" t="s">
        <v>41</v>
      </c>
      <c r="K40" s="188" t="s">
        <v>41</v>
      </c>
      <c r="L40" s="188" t="s">
        <v>41</v>
      </c>
      <c r="M40" s="188" t="s">
        <v>901</v>
      </c>
      <c r="N40" s="188" t="s">
        <v>901</v>
      </c>
      <c r="O40" s="188" t="s">
        <v>901</v>
      </c>
      <c r="P40" s="188" t="s">
        <v>901</v>
      </c>
      <c r="Q40" s="188" t="s">
        <v>901</v>
      </c>
      <c r="R40" s="188" t="s">
        <v>901</v>
      </c>
      <c r="S40" s="188" t="s">
        <v>901</v>
      </c>
      <c r="T40" s="188" t="s">
        <v>2820</v>
      </c>
      <c r="U40" s="188" t="s">
        <v>41</v>
      </c>
      <c r="V40" s="188" t="s">
        <v>41</v>
      </c>
      <c r="W40" s="188" t="s">
        <v>41</v>
      </c>
      <c r="X40" s="188" t="s">
        <v>39</v>
      </c>
      <c r="Y40" s="188" t="s">
        <v>3741</v>
      </c>
      <c r="Z40" s="188" t="s">
        <v>41</v>
      </c>
      <c r="AA40" s="188" t="s">
        <v>41</v>
      </c>
      <c r="AB40" s="188" t="s">
        <v>41</v>
      </c>
      <c r="AC40" s="188" t="s">
        <v>3286</v>
      </c>
      <c r="AD40" s="188" t="s">
        <v>39</v>
      </c>
      <c r="AE40" s="188" t="s">
        <v>41</v>
      </c>
      <c r="AF40" s="188" t="s">
        <v>41</v>
      </c>
      <c r="AG40" s="188" t="s">
        <v>4174</v>
      </c>
      <c r="AH40" s="188" t="s">
        <v>41</v>
      </c>
      <c r="AI40" s="188" t="s">
        <v>3741</v>
      </c>
      <c r="AJ40" s="188" t="s">
        <v>3741</v>
      </c>
      <c r="AK40" s="188" t="s">
        <v>3741</v>
      </c>
      <c r="AL40" s="188" t="s">
        <v>3286</v>
      </c>
      <c r="AM40" s="188" t="s">
        <v>41</v>
      </c>
      <c r="AN40" s="188" t="s">
        <v>41</v>
      </c>
      <c r="AO40" s="188" t="s">
        <v>3286</v>
      </c>
      <c r="AP40" s="188" t="s">
        <v>3286</v>
      </c>
      <c r="AQ40" s="188" t="s">
        <v>3741</v>
      </c>
      <c r="AR40" s="188" t="s">
        <v>3286</v>
      </c>
      <c r="AS40" s="188" t="s">
        <v>3286</v>
      </c>
      <c r="AT40" s="188" t="s">
        <v>1292</v>
      </c>
      <c r="AU40" s="188" t="s">
        <v>1292</v>
      </c>
      <c r="AV40" s="188" t="s">
        <v>1292</v>
      </c>
      <c r="AW40" s="188" t="s">
        <v>1292</v>
      </c>
      <c r="AX40" s="188" t="s">
        <v>39</v>
      </c>
      <c r="AY40" s="188" t="s">
        <v>41</v>
      </c>
      <c r="AZ40" s="188" t="s">
        <v>41</v>
      </c>
      <c r="BA40" s="188" t="s">
        <v>41</v>
      </c>
      <c r="BB40" s="188" t="s">
        <v>41</v>
      </c>
      <c r="BC40" s="188" t="s">
        <v>365</v>
      </c>
      <c r="BD40" s="188" t="s">
        <v>2892</v>
      </c>
      <c r="BE40" s="188" t="s">
        <v>901</v>
      </c>
      <c r="BF40" s="188" t="s">
        <v>901</v>
      </c>
      <c r="BG40" s="188" t="s">
        <v>901</v>
      </c>
      <c r="BH40" s="188" t="s">
        <v>901</v>
      </c>
      <c r="BI40" s="188" t="s">
        <v>901</v>
      </c>
      <c r="BJ40" s="188" t="s">
        <v>1292</v>
      </c>
      <c r="BK40" s="188" t="s">
        <v>1292</v>
      </c>
      <c r="BL40" s="188" t="s">
        <v>2958</v>
      </c>
      <c r="BM40" s="188" t="s">
        <v>3208</v>
      </c>
      <c r="BN40" s="188" t="s">
        <v>3208</v>
      </c>
      <c r="BO40" s="188" t="s">
        <v>1292</v>
      </c>
      <c r="BP40" s="188" t="s">
        <v>1292</v>
      </c>
      <c r="BQ40" s="188" t="s">
        <v>41</v>
      </c>
      <c r="BR40" s="188" t="s">
        <v>901</v>
      </c>
      <c r="BS40" s="188" t="s">
        <v>901</v>
      </c>
      <c r="BT40" s="188" t="s">
        <v>420</v>
      </c>
      <c r="BW40" s="193">
        <v>7</v>
      </c>
      <c r="BX40" s="194" t="s">
        <v>634</v>
      </c>
      <c r="BY40" s="193"/>
      <c r="BZ40" s="193"/>
      <c r="CA40" s="193"/>
      <c r="CB40" s="193"/>
    </row>
    <row r="41" spans="1:80" s="2" customFormat="1" ht="9" customHeight="1">
      <c r="A41" s="95" t="s">
        <v>688</v>
      </c>
      <c r="B41" s="94" t="s">
        <v>4975</v>
      </c>
      <c r="C41" s="94" t="s">
        <v>4975</v>
      </c>
      <c r="D41" s="94" t="s">
        <v>4910</v>
      </c>
      <c r="E41" s="94"/>
      <c r="F41" s="95" t="s">
        <v>688</v>
      </c>
      <c r="G41" s="94"/>
      <c r="H41" s="94" t="s">
        <v>3090</v>
      </c>
      <c r="I41" s="94" t="s">
        <v>3090</v>
      </c>
      <c r="J41" s="94" t="s">
        <v>1986</v>
      </c>
      <c r="K41" s="94" t="s">
        <v>1986</v>
      </c>
      <c r="L41" s="94"/>
      <c r="M41" s="94" t="s">
        <v>2065</v>
      </c>
      <c r="N41" s="94" t="s">
        <v>3020</v>
      </c>
      <c r="O41" s="94" t="s">
        <v>2737</v>
      </c>
      <c r="P41" s="94" t="s">
        <v>2737</v>
      </c>
      <c r="Q41" s="94" t="s">
        <v>2597</v>
      </c>
      <c r="R41" s="94" t="s">
        <v>2597</v>
      </c>
      <c r="S41" s="94" t="s">
        <v>1403</v>
      </c>
      <c r="T41" s="94" t="s">
        <v>2815</v>
      </c>
      <c r="U41" s="94" t="s">
        <v>2454</v>
      </c>
      <c r="V41" s="94" t="s">
        <v>2463</v>
      </c>
      <c r="W41" s="94" t="s">
        <v>1658</v>
      </c>
      <c r="X41" s="94" t="s">
        <v>39</v>
      </c>
      <c r="Y41" s="94" t="s">
        <v>2598</v>
      </c>
      <c r="Z41" s="94" t="s">
        <v>4103</v>
      </c>
      <c r="AA41" s="94" t="s">
        <v>4103</v>
      </c>
      <c r="AB41" s="94" t="s">
        <v>4103</v>
      </c>
      <c r="AC41" s="94" t="s">
        <v>797</v>
      </c>
      <c r="AD41" s="94" t="s">
        <v>39</v>
      </c>
      <c r="AE41" s="94" t="s">
        <v>3857</v>
      </c>
      <c r="AF41" s="94" t="s">
        <v>3858</v>
      </c>
      <c r="AG41" s="94" t="s">
        <v>4175</v>
      </c>
      <c r="AH41" s="94" t="s">
        <v>3383</v>
      </c>
      <c r="AI41" s="94" t="s">
        <v>2406</v>
      </c>
      <c r="AJ41" s="94" t="s">
        <v>2362</v>
      </c>
      <c r="AK41" s="94" t="s">
        <v>2298</v>
      </c>
      <c r="AL41" s="94" t="s">
        <v>695</v>
      </c>
      <c r="AM41" s="94" t="s">
        <v>1146</v>
      </c>
      <c r="AN41" s="94"/>
      <c r="AO41" s="94" t="s">
        <v>2457</v>
      </c>
      <c r="AP41" s="94" t="s">
        <v>2457</v>
      </c>
      <c r="AQ41" s="94" t="s">
        <v>1212</v>
      </c>
      <c r="AR41" s="94" t="s">
        <v>3285</v>
      </c>
      <c r="AS41" s="94" t="s">
        <v>3285</v>
      </c>
      <c r="AT41" s="94" t="s">
        <v>3486</v>
      </c>
      <c r="AU41" s="94" t="s">
        <v>3486</v>
      </c>
      <c r="AV41" s="94" t="s">
        <v>3486</v>
      </c>
      <c r="AW41" s="94" t="s">
        <v>3486</v>
      </c>
      <c r="AX41" s="94"/>
      <c r="AY41" s="94"/>
      <c r="AZ41" s="94"/>
      <c r="BA41" s="94" t="s">
        <v>1445</v>
      </c>
      <c r="BB41" s="94" t="s">
        <v>1445</v>
      </c>
      <c r="BC41" s="94"/>
      <c r="BD41" s="94" t="s">
        <v>2597</v>
      </c>
      <c r="BE41" s="94" t="s">
        <v>1213</v>
      </c>
      <c r="BF41" s="94" t="s">
        <v>2597</v>
      </c>
      <c r="BG41" s="94" t="s">
        <v>1706</v>
      </c>
      <c r="BH41" s="94" t="s">
        <v>875</v>
      </c>
      <c r="BI41" s="94" t="s">
        <v>875</v>
      </c>
      <c r="BJ41" s="94" t="s">
        <v>1291</v>
      </c>
      <c r="BK41" s="94" t="s">
        <v>1291</v>
      </c>
      <c r="BL41" s="94" t="s">
        <v>765</v>
      </c>
      <c r="BM41" s="94" t="s">
        <v>3207</v>
      </c>
      <c r="BN41" s="94" t="s">
        <v>3207</v>
      </c>
      <c r="BO41" s="94" t="s">
        <v>2142</v>
      </c>
      <c r="BP41" s="94" t="s">
        <v>2142</v>
      </c>
      <c r="BQ41" s="94" t="s">
        <v>2175</v>
      </c>
      <c r="BR41" s="94" t="s">
        <v>1591</v>
      </c>
      <c r="BS41" s="94" t="s">
        <v>1591</v>
      </c>
      <c r="BT41" s="94"/>
      <c r="BW41" s="30">
        <v>8</v>
      </c>
      <c r="BX41" s="97" t="s">
        <v>4167</v>
      </c>
      <c r="BY41" s="35"/>
      <c r="BZ41" s="35"/>
      <c r="CA41" s="35"/>
      <c r="CB41" s="35"/>
    </row>
    <row r="42" spans="1:80" s="191" customFormat="1" ht="27">
      <c r="A42" s="187" t="s">
        <v>146</v>
      </c>
      <c r="B42" s="54" t="s">
        <v>5049</v>
      </c>
      <c r="C42" s="54" t="s">
        <v>5049</v>
      </c>
      <c r="D42" s="54" t="s">
        <v>41</v>
      </c>
      <c r="E42" s="54"/>
      <c r="F42" s="187" t="s">
        <v>146</v>
      </c>
      <c r="G42" s="188" t="s">
        <v>41</v>
      </c>
      <c r="H42" s="188" t="s">
        <v>41</v>
      </c>
      <c r="I42" s="188" t="s">
        <v>41</v>
      </c>
      <c r="J42" s="188" t="s">
        <v>41</v>
      </c>
      <c r="K42" s="188" t="s">
        <v>41</v>
      </c>
      <c r="L42" s="188" t="s">
        <v>41</v>
      </c>
      <c r="M42" s="188" t="s">
        <v>41</v>
      </c>
      <c r="N42" s="188" t="s">
        <v>41</v>
      </c>
      <c r="O42" s="188" t="s">
        <v>41</v>
      </c>
      <c r="P42" s="188" t="s">
        <v>41</v>
      </c>
      <c r="Q42" s="188" t="s">
        <v>41</v>
      </c>
      <c r="R42" s="188" t="s">
        <v>41</v>
      </c>
      <c r="S42" s="188" t="s">
        <v>41</v>
      </c>
      <c r="T42" s="188" t="s">
        <v>41</v>
      </c>
      <c r="U42" s="188" t="s">
        <v>41</v>
      </c>
      <c r="V42" s="188" t="s">
        <v>41</v>
      </c>
      <c r="W42" s="188" t="s">
        <v>41</v>
      </c>
      <c r="X42" s="188" t="s">
        <v>41</v>
      </c>
      <c r="Y42" s="188" t="s">
        <v>41</v>
      </c>
      <c r="Z42" s="188" t="s">
        <v>41</v>
      </c>
      <c r="AA42" s="188" t="s">
        <v>41</v>
      </c>
      <c r="AB42" s="188" t="s">
        <v>41</v>
      </c>
      <c r="AC42" s="188" t="s">
        <v>41</v>
      </c>
      <c r="AD42" s="188" t="s">
        <v>41</v>
      </c>
      <c r="AE42" s="188" t="s">
        <v>3940</v>
      </c>
      <c r="AF42" s="188" t="s">
        <v>3940</v>
      </c>
      <c r="AG42" s="188" t="s">
        <v>4209</v>
      </c>
      <c r="AH42" s="188" t="s">
        <v>41</v>
      </c>
      <c r="AI42" s="188" t="s">
        <v>41</v>
      </c>
      <c r="AJ42" s="188" t="s">
        <v>41</v>
      </c>
      <c r="AK42" s="188" t="s">
        <v>41</v>
      </c>
      <c r="AL42" s="188" t="s">
        <v>41</v>
      </c>
      <c r="AM42" s="188" t="s">
        <v>41</v>
      </c>
      <c r="AN42" s="188" t="s">
        <v>41</v>
      </c>
      <c r="AO42" s="188" t="s">
        <v>41</v>
      </c>
      <c r="AP42" s="188" t="s">
        <v>41</v>
      </c>
      <c r="AQ42" s="188" t="s">
        <v>41</v>
      </c>
      <c r="AR42" s="188" t="s">
        <v>41</v>
      </c>
      <c r="AS42" s="188" t="s">
        <v>41</v>
      </c>
      <c r="AT42" s="188" t="s">
        <v>41</v>
      </c>
      <c r="AU42" s="188" t="s">
        <v>41</v>
      </c>
      <c r="AV42" s="188" t="s">
        <v>41</v>
      </c>
      <c r="AW42" s="188" t="s">
        <v>41</v>
      </c>
      <c r="AX42" s="188" t="s">
        <v>39</v>
      </c>
      <c r="AY42" s="188" t="s">
        <v>41</v>
      </c>
      <c r="AZ42" s="188" t="s">
        <v>41</v>
      </c>
      <c r="BA42" s="188" t="s">
        <v>41</v>
      </c>
      <c r="BB42" s="188" t="s">
        <v>41</v>
      </c>
      <c r="BC42" s="188" t="s">
        <v>41</v>
      </c>
      <c r="BD42" s="188" t="s">
        <v>41</v>
      </c>
      <c r="BE42" s="188" t="s">
        <v>41</v>
      </c>
      <c r="BF42" s="188" t="s">
        <v>41</v>
      </c>
      <c r="BG42" s="188" t="s">
        <v>41</v>
      </c>
      <c r="BH42" s="188" t="s">
        <v>41</v>
      </c>
      <c r="BI42" s="188" t="s">
        <v>41</v>
      </c>
      <c r="BJ42" s="188" t="s">
        <v>41</v>
      </c>
      <c r="BK42" s="188" t="s">
        <v>41</v>
      </c>
      <c r="BL42" s="188" t="s">
        <v>41</v>
      </c>
      <c r="BM42" s="188" t="s">
        <v>41</v>
      </c>
      <c r="BN42" s="188" t="s">
        <v>41</v>
      </c>
      <c r="BO42" s="188" t="s">
        <v>41</v>
      </c>
      <c r="BP42" s="188" t="s">
        <v>41</v>
      </c>
      <c r="BQ42" s="188" t="s">
        <v>41</v>
      </c>
      <c r="BR42" s="188" t="s">
        <v>41</v>
      </c>
      <c r="BS42" s="188" t="s">
        <v>41</v>
      </c>
      <c r="BT42" s="188" t="s">
        <v>449</v>
      </c>
    </row>
    <row r="43" spans="1:80" s="2" customFormat="1" ht="9" customHeight="1">
      <c r="A43" s="95" t="s">
        <v>688</v>
      </c>
      <c r="B43" s="94" t="s">
        <v>5048</v>
      </c>
      <c r="C43" s="94" t="s">
        <v>5048</v>
      </c>
      <c r="D43" s="94" t="s">
        <v>4911</v>
      </c>
      <c r="E43" s="94"/>
      <c r="F43" s="95" t="s">
        <v>688</v>
      </c>
      <c r="G43" s="94" t="s">
        <v>1168</v>
      </c>
      <c r="H43" s="94" t="s">
        <v>1168</v>
      </c>
      <c r="I43" s="94" t="s">
        <v>1168</v>
      </c>
      <c r="J43" s="94" t="s">
        <v>1986</v>
      </c>
      <c r="K43" s="94" t="s">
        <v>1986</v>
      </c>
      <c r="L43" s="94" t="s">
        <v>1168</v>
      </c>
      <c r="M43" s="94" t="s">
        <v>2673</v>
      </c>
      <c r="N43" s="94" t="s">
        <v>1168</v>
      </c>
      <c r="O43" s="94" t="s">
        <v>1168</v>
      </c>
      <c r="P43" s="94" t="s">
        <v>1168</v>
      </c>
      <c r="Q43" s="94" t="s">
        <v>1168</v>
      </c>
      <c r="R43" s="94" t="s">
        <v>1168</v>
      </c>
      <c r="S43" s="94" t="s">
        <v>1168</v>
      </c>
      <c r="T43" s="94" t="s">
        <v>1168</v>
      </c>
      <c r="U43" s="94" t="s">
        <v>1168</v>
      </c>
      <c r="V43" s="94" t="s">
        <v>1168</v>
      </c>
      <c r="W43" s="94" t="s">
        <v>1168</v>
      </c>
      <c r="X43" s="94" t="s">
        <v>1168</v>
      </c>
      <c r="Y43" s="94" t="s">
        <v>1168</v>
      </c>
      <c r="Z43" s="94" t="s">
        <v>1168</v>
      </c>
      <c r="AA43" s="94" t="s">
        <v>1168</v>
      </c>
      <c r="AB43" s="94" t="s">
        <v>1168</v>
      </c>
      <c r="AC43" s="94" t="s">
        <v>1168</v>
      </c>
      <c r="AD43" s="94" t="s">
        <v>1168</v>
      </c>
      <c r="AE43" s="94" t="s">
        <v>3941</v>
      </c>
      <c r="AF43" s="94" t="s">
        <v>3942</v>
      </c>
      <c r="AG43" s="94"/>
      <c r="AH43" s="94" t="s">
        <v>3383</v>
      </c>
      <c r="AI43" s="94" t="s">
        <v>1168</v>
      </c>
      <c r="AJ43" s="94" t="s">
        <v>1168</v>
      </c>
      <c r="AK43" s="94" t="s">
        <v>2358</v>
      </c>
      <c r="AL43" s="94" t="s">
        <v>2290</v>
      </c>
      <c r="AM43" s="94" t="s">
        <v>1168</v>
      </c>
      <c r="AN43" s="94" t="s">
        <v>1168</v>
      </c>
      <c r="AO43" s="94" t="s">
        <v>1168</v>
      </c>
      <c r="AP43" s="94" t="s">
        <v>2516</v>
      </c>
      <c r="AQ43" s="94" t="s">
        <v>1168</v>
      </c>
      <c r="AR43" s="94" t="s">
        <v>1168</v>
      </c>
      <c r="AS43" s="94" t="s">
        <v>1168</v>
      </c>
      <c r="AT43" s="94" t="s">
        <v>1168</v>
      </c>
      <c r="AU43" s="94" t="s">
        <v>1168</v>
      </c>
      <c r="AV43" s="94" t="s">
        <v>1168</v>
      </c>
      <c r="AW43" s="94" t="s">
        <v>1168</v>
      </c>
      <c r="AX43" s="94"/>
      <c r="AY43" s="94" t="s">
        <v>1168</v>
      </c>
      <c r="AZ43" s="94" t="s">
        <v>1168</v>
      </c>
      <c r="BA43" s="94" t="s">
        <v>1168</v>
      </c>
      <c r="BB43" s="94" t="s">
        <v>1168</v>
      </c>
      <c r="BC43" s="94" t="s">
        <v>1168</v>
      </c>
      <c r="BD43" s="94" t="s">
        <v>1168</v>
      </c>
      <c r="BE43" s="94" t="s">
        <v>1168</v>
      </c>
      <c r="BF43" s="94" t="s">
        <v>1168</v>
      </c>
      <c r="BG43" s="94" t="s">
        <v>1168</v>
      </c>
      <c r="BH43" s="94" t="s">
        <v>1168</v>
      </c>
      <c r="BI43" s="94" t="s">
        <v>1168</v>
      </c>
      <c r="BJ43" s="94" t="s">
        <v>1168</v>
      </c>
      <c r="BK43" s="94" t="s">
        <v>1168</v>
      </c>
      <c r="BL43" s="94" t="s">
        <v>1168</v>
      </c>
      <c r="BM43" s="94" t="s">
        <v>1168</v>
      </c>
      <c r="BN43" s="94" t="s">
        <v>1168</v>
      </c>
      <c r="BO43" s="94" t="s">
        <v>1168</v>
      </c>
      <c r="BP43" s="94" t="s">
        <v>1168</v>
      </c>
      <c r="BQ43" s="94" t="s">
        <v>1168</v>
      </c>
      <c r="BR43" s="94" t="s">
        <v>1168</v>
      </c>
      <c r="BS43" s="94" t="s">
        <v>1168</v>
      </c>
      <c r="BT43" s="94"/>
      <c r="BW43" s="19"/>
      <c r="BX43" s="20"/>
      <c r="BY43" s="11"/>
      <c r="BZ43" s="19"/>
      <c r="CA43" s="19"/>
      <c r="CB43" s="19"/>
    </row>
    <row r="44" spans="1:80" s="2" customFormat="1" ht="27">
      <c r="A44" s="187" t="s">
        <v>5201</v>
      </c>
      <c r="B44" s="73" t="s">
        <v>39</v>
      </c>
      <c r="C44" s="73" t="s">
        <v>39</v>
      </c>
      <c r="D44" s="73" t="s">
        <v>39</v>
      </c>
      <c r="E44" s="73"/>
      <c r="F44" s="187" t="s">
        <v>5201</v>
      </c>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W44" s="19"/>
      <c r="BX44" s="20"/>
      <c r="BY44" s="11"/>
      <c r="BZ44" s="19"/>
      <c r="CA44" s="19"/>
      <c r="CB44" s="19"/>
    </row>
    <row r="45" spans="1:80" s="2" customFormat="1" ht="9" customHeight="1">
      <c r="A45" s="95"/>
      <c r="B45" s="94"/>
      <c r="C45" s="94"/>
      <c r="D45" s="94"/>
      <c r="E45" s="94"/>
      <c r="F45" s="95"/>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4"/>
      <c r="BW45" s="19"/>
      <c r="BX45" s="20"/>
      <c r="BY45" s="11"/>
      <c r="BZ45" s="19"/>
      <c r="CA45" s="19"/>
      <c r="CB45" s="19"/>
    </row>
    <row r="46" spans="1:80" s="14" customFormat="1" ht="18">
      <c r="A46" s="53" t="s">
        <v>5432</v>
      </c>
      <c r="B46" s="54" t="s">
        <v>41</v>
      </c>
      <c r="C46" s="54" t="s">
        <v>41</v>
      </c>
      <c r="D46" s="54" t="s">
        <v>41</v>
      </c>
      <c r="E46" s="54"/>
      <c r="F46" s="187" t="s">
        <v>4851</v>
      </c>
      <c r="G46" s="188" t="s">
        <v>41</v>
      </c>
      <c r="H46" s="188" t="s">
        <v>613</v>
      </c>
      <c r="I46" s="188" t="s">
        <v>613</v>
      </c>
      <c r="J46" s="188" t="s">
        <v>613</v>
      </c>
      <c r="K46" s="188" t="s">
        <v>613</v>
      </c>
      <c r="L46" s="188" t="s">
        <v>34</v>
      </c>
      <c r="M46" s="188" t="s">
        <v>613</v>
      </c>
      <c r="N46" s="188" t="s">
        <v>613</v>
      </c>
      <c r="O46" s="188" t="s">
        <v>613</v>
      </c>
      <c r="P46" s="188" t="s">
        <v>613</v>
      </c>
      <c r="Q46" s="188" t="s">
        <v>39</v>
      </c>
      <c r="R46" s="188" t="s">
        <v>39</v>
      </c>
      <c r="S46" s="188" t="s">
        <v>613</v>
      </c>
      <c r="T46" s="188" t="s">
        <v>39</v>
      </c>
      <c r="U46" s="188" t="s">
        <v>41</v>
      </c>
      <c r="V46" s="188" t="s">
        <v>39</v>
      </c>
      <c r="W46" s="188" t="s">
        <v>613</v>
      </c>
      <c r="X46" s="188" t="s">
        <v>39</v>
      </c>
      <c r="Y46" s="188" t="s">
        <v>613</v>
      </c>
      <c r="Z46" s="188" t="s">
        <v>41</v>
      </c>
      <c r="AA46" s="188" t="s">
        <v>41</v>
      </c>
      <c r="AB46" s="188" t="s">
        <v>41</v>
      </c>
      <c r="AC46" s="188" t="s">
        <v>613</v>
      </c>
      <c r="AD46" s="188" t="s">
        <v>613</v>
      </c>
      <c r="AE46" s="188" t="s">
        <v>613</v>
      </c>
      <c r="AF46" s="188" t="s">
        <v>613</v>
      </c>
      <c r="AG46" s="188" t="s">
        <v>41</v>
      </c>
      <c r="AH46" s="188" t="s">
        <v>41</v>
      </c>
      <c r="AI46" s="188" t="s">
        <v>613</v>
      </c>
      <c r="AJ46" s="188" t="s">
        <v>613</v>
      </c>
      <c r="AK46" s="188" t="s">
        <v>613</v>
      </c>
      <c r="AL46" s="188" t="s">
        <v>613</v>
      </c>
      <c r="AM46" s="188" t="s">
        <v>41</v>
      </c>
      <c r="AN46" s="188" t="s">
        <v>41</v>
      </c>
      <c r="AO46" s="188" t="s">
        <v>613</v>
      </c>
      <c r="AP46" s="188" t="s">
        <v>613</v>
      </c>
      <c r="AQ46" s="188" t="s">
        <v>613</v>
      </c>
      <c r="AR46" s="188" t="s">
        <v>613</v>
      </c>
      <c r="AS46" s="188" t="s">
        <v>613</v>
      </c>
      <c r="AT46" s="188" t="s">
        <v>613</v>
      </c>
      <c r="AU46" s="188" t="s">
        <v>613</v>
      </c>
      <c r="AV46" s="188" t="s">
        <v>613</v>
      </c>
      <c r="AW46" s="188" t="s">
        <v>613</v>
      </c>
      <c r="AX46" s="188" t="s">
        <v>39</v>
      </c>
      <c r="AY46" s="188" t="s">
        <v>613</v>
      </c>
      <c r="AZ46" s="188" t="s">
        <v>613</v>
      </c>
      <c r="BA46" s="188" t="s">
        <v>41</v>
      </c>
      <c r="BB46" s="188" t="s">
        <v>41</v>
      </c>
      <c r="BC46" s="188" t="s">
        <v>613</v>
      </c>
      <c r="BD46" s="188" t="s">
        <v>613</v>
      </c>
      <c r="BE46" s="188" t="s">
        <v>613</v>
      </c>
      <c r="BF46" s="188" t="s">
        <v>613</v>
      </c>
      <c r="BG46" s="188" t="s">
        <v>613</v>
      </c>
      <c r="BH46" s="188" t="s">
        <v>879</v>
      </c>
      <c r="BI46" s="188" t="s">
        <v>879</v>
      </c>
      <c r="BJ46" s="188" t="s">
        <v>613</v>
      </c>
      <c r="BK46" s="188" t="s">
        <v>613</v>
      </c>
      <c r="BL46" s="188" t="s">
        <v>613</v>
      </c>
      <c r="BM46" s="188" t="s">
        <v>613</v>
      </c>
      <c r="BN46" s="188" t="s">
        <v>613</v>
      </c>
      <c r="BO46" s="188" t="s">
        <v>613</v>
      </c>
      <c r="BP46" s="188" t="s">
        <v>613</v>
      </c>
      <c r="BQ46" s="188" t="s">
        <v>41</v>
      </c>
      <c r="BR46" s="188" t="s">
        <v>41</v>
      </c>
      <c r="BS46" s="188" t="s">
        <v>41</v>
      </c>
      <c r="BT46" s="188" t="s">
        <v>41</v>
      </c>
      <c r="BW46" s="113">
        <v>17</v>
      </c>
      <c r="BX46" s="99" t="s">
        <v>3799</v>
      </c>
      <c r="BY46" s="30"/>
      <c r="BZ46" s="30"/>
      <c r="CA46" s="30"/>
      <c r="CB46" s="30"/>
    </row>
    <row r="47" spans="1:80" s="2" customFormat="1" ht="9" customHeight="1">
      <c r="A47" s="95" t="s">
        <v>688</v>
      </c>
      <c r="B47" s="94" t="s">
        <v>4977</v>
      </c>
      <c r="C47" s="94" t="s">
        <v>4977</v>
      </c>
      <c r="D47" s="94" t="s">
        <v>4853</v>
      </c>
      <c r="E47" s="94"/>
      <c r="F47" s="95" t="s">
        <v>688</v>
      </c>
      <c r="G47" s="94"/>
      <c r="H47" s="94" t="s">
        <v>3089</v>
      </c>
      <c r="I47" s="94" t="s">
        <v>3089</v>
      </c>
      <c r="J47" s="94" t="s">
        <v>1992</v>
      </c>
      <c r="K47" s="94" t="s">
        <v>1992</v>
      </c>
      <c r="L47" s="94"/>
      <c r="M47" s="94" t="s">
        <v>2067</v>
      </c>
      <c r="N47" s="94" t="s">
        <v>2730</v>
      </c>
      <c r="O47" s="94" t="s">
        <v>2738</v>
      </c>
      <c r="P47" s="94" t="s">
        <v>2738</v>
      </c>
      <c r="Q47" s="94" t="s">
        <v>39</v>
      </c>
      <c r="R47" s="94" t="s">
        <v>39</v>
      </c>
      <c r="S47" s="94" t="s">
        <v>1402</v>
      </c>
      <c r="T47" s="94" t="s">
        <v>39</v>
      </c>
      <c r="U47" s="94" t="s">
        <v>2463</v>
      </c>
      <c r="V47" s="94" t="s">
        <v>39</v>
      </c>
      <c r="W47" s="94" t="s">
        <v>1658</v>
      </c>
      <c r="X47" s="94" t="s">
        <v>39</v>
      </c>
      <c r="Y47" s="94" t="s">
        <v>2597</v>
      </c>
      <c r="Z47" s="94" t="s">
        <v>4100</v>
      </c>
      <c r="AA47" s="94" t="s">
        <v>4100</v>
      </c>
      <c r="AB47" s="94" t="s">
        <v>4100</v>
      </c>
      <c r="AC47" s="94" t="s">
        <v>794</v>
      </c>
      <c r="AD47" s="94" t="s">
        <v>3866</v>
      </c>
      <c r="AE47" s="94" t="s">
        <v>3867</v>
      </c>
      <c r="AF47" s="94" t="s">
        <v>3868</v>
      </c>
      <c r="AG47" s="94" t="s">
        <v>4179</v>
      </c>
      <c r="AH47" s="94" t="s">
        <v>3383</v>
      </c>
      <c r="AI47" s="94" t="s">
        <v>2410</v>
      </c>
      <c r="AJ47" s="94" t="s">
        <v>2303</v>
      </c>
      <c r="AK47" s="94" t="s">
        <v>2345</v>
      </c>
      <c r="AL47" s="94" t="s">
        <v>2344</v>
      </c>
      <c r="AM47" s="94" t="s">
        <v>1146</v>
      </c>
      <c r="AN47" s="94"/>
      <c r="AO47" s="94" t="s">
        <v>2459</v>
      </c>
      <c r="AP47" s="94" t="s">
        <v>2459</v>
      </c>
      <c r="AQ47" s="94" t="s">
        <v>2565</v>
      </c>
      <c r="AR47" s="94" t="s">
        <v>3285</v>
      </c>
      <c r="AS47" s="94" t="s">
        <v>3285</v>
      </c>
      <c r="AT47" s="94" t="s">
        <v>3485</v>
      </c>
      <c r="AU47" s="94" t="s">
        <v>3485</v>
      </c>
      <c r="AV47" s="94" t="s">
        <v>3485</v>
      </c>
      <c r="AW47" s="94" t="s">
        <v>3485</v>
      </c>
      <c r="AX47" s="94"/>
      <c r="AY47" s="94"/>
      <c r="AZ47" s="94"/>
      <c r="BA47" s="94" t="s">
        <v>1444</v>
      </c>
      <c r="BB47" s="94" t="s">
        <v>1444</v>
      </c>
      <c r="BC47" s="94"/>
      <c r="BD47" s="94" t="s">
        <v>2598</v>
      </c>
      <c r="BE47" s="94" t="s">
        <v>1256</v>
      </c>
      <c r="BF47" s="94" t="s">
        <v>2598</v>
      </c>
      <c r="BG47" s="94" t="s">
        <v>1709</v>
      </c>
      <c r="BH47" s="94" t="s">
        <v>880</v>
      </c>
      <c r="BI47" s="94" t="s">
        <v>880</v>
      </c>
      <c r="BJ47" s="94" t="s">
        <v>1290</v>
      </c>
      <c r="BK47" s="94" t="s">
        <v>1290</v>
      </c>
      <c r="BL47" s="94" t="s">
        <v>770</v>
      </c>
      <c r="BM47" s="94" t="s">
        <v>3206</v>
      </c>
      <c r="BN47" s="94" t="s">
        <v>3206</v>
      </c>
      <c r="BO47" s="94" t="s">
        <v>2141</v>
      </c>
      <c r="BP47" s="94" t="s">
        <v>2141</v>
      </c>
      <c r="BQ47" s="94" t="s">
        <v>2174</v>
      </c>
      <c r="BR47" s="94" t="s">
        <v>1589</v>
      </c>
      <c r="BS47" s="94" t="s">
        <v>1589</v>
      </c>
      <c r="BT47" s="94"/>
      <c r="BW47" s="100">
        <v>18</v>
      </c>
      <c r="BX47" s="97" t="s">
        <v>1651</v>
      </c>
      <c r="BY47" s="35"/>
      <c r="BZ47" s="35"/>
      <c r="CA47" s="35"/>
      <c r="CB47" s="35"/>
    </row>
    <row r="48" spans="1:80" ht="18">
      <c r="A48" s="187" t="s">
        <v>5202</v>
      </c>
      <c r="B48" s="73" t="s">
        <v>5203</v>
      </c>
      <c r="C48" s="73" t="s">
        <v>5203</v>
      </c>
      <c r="D48" s="54" t="s">
        <v>39</v>
      </c>
      <c r="E48" s="73"/>
      <c r="F48" s="187" t="s">
        <v>5202</v>
      </c>
      <c r="BO48" s="235"/>
      <c r="BP48" s="235"/>
    </row>
    <row r="49" spans="1:80" ht="9" customHeight="1">
      <c r="A49" s="95"/>
      <c r="B49" s="94" t="s">
        <v>5204</v>
      </c>
      <c r="C49" s="94" t="s">
        <v>5204</v>
      </c>
      <c r="D49" s="94" t="s">
        <v>39</v>
      </c>
      <c r="E49" s="94"/>
      <c r="F49" s="95" t="s">
        <v>688</v>
      </c>
      <c r="BO49" s="94"/>
      <c r="BP49" s="94"/>
    </row>
    <row r="50" spans="1:80" ht="9" customHeight="1">
      <c r="B50" s="73"/>
      <c r="C50" s="73"/>
      <c r="D50" s="73"/>
      <c r="E50" s="184"/>
      <c r="BO50" s="94"/>
      <c r="BP50" s="94"/>
    </row>
    <row r="51" spans="1:80" ht="36">
      <c r="A51" s="261" t="s">
        <v>5805</v>
      </c>
      <c r="B51" s="202" t="str">
        <f>B1</f>
        <v xml:space="preserve">Interlloyd Premium Plus </v>
      </c>
      <c r="C51" s="202" t="str">
        <f>C1</f>
        <v xml:space="preserve">Interlloyd Premium Plus HB </v>
      </c>
      <c r="D51" s="202" t="str">
        <f>D1</f>
        <v>Interlloyd Protect</v>
      </c>
      <c r="E51" s="202"/>
      <c r="F51" s="259" t="s">
        <v>5582</v>
      </c>
      <c r="BO51" s="176"/>
      <c r="BP51" s="176"/>
    </row>
    <row r="52" spans="1:80" s="14" customFormat="1" ht="261">
      <c r="A52" s="263" t="s">
        <v>6202</v>
      </c>
      <c r="B52" s="76" t="s">
        <v>5815</v>
      </c>
      <c r="C52" s="76" t="s">
        <v>5815</v>
      </c>
      <c r="D52" s="76" t="s">
        <v>5825</v>
      </c>
      <c r="E52" s="76"/>
      <c r="F52" s="263" t="s">
        <v>5806</v>
      </c>
      <c r="G52" s="188" t="s">
        <v>39</v>
      </c>
      <c r="H52" s="188" t="s">
        <v>3095</v>
      </c>
      <c r="I52" s="188" t="s">
        <v>3095</v>
      </c>
      <c r="J52" s="188" t="s">
        <v>1934</v>
      </c>
      <c r="K52" s="188" t="s">
        <v>1920</v>
      </c>
      <c r="L52" s="188" t="s">
        <v>3645</v>
      </c>
      <c r="M52" s="188" t="s">
        <v>2648</v>
      </c>
      <c r="N52" s="188" t="s">
        <v>3037</v>
      </c>
      <c r="O52" s="188" t="s">
        <v>530</v>
      </c>
      <c r="P52" s="188" t="s">
        <v>530</v>
      </c>
      <c r="Q52" s="188" t="s">
        <v>3067</v>
      </c>
      <c r="R52" s="188" t="s">
        <v>3067</v>
      </c>
      <c r="S52" s="188" t="s">
        <v>530</v>
      </c>
      <c r="T52" s="188" t="s">
        <v>2817</v>
      </c>
      <c r="U52" s="188" t="s">
        <v>3801</v>
      </c>
      <c r="V52" s="188" t="s">
        <v>530</v>
      </c>
      <c r="W52" s="188" t="s">
        <v>530</v>
      </c>
      <c r="X52" s="188" t="s">
        <v>530</v>
      </c>
      <c r="Y52" s="188" t="s">
        <v>3739</v>
      </c>
      <c r="Z52" s="188" t="s">
        <v>4131</v>
      </c>
      <c r="AA52" s="188" t="s">
        <v>4028</v>
      </c>
      <c r="AB52" s="188" t="s">
        <v>4028</v>
      </c>
      <c r="AC52" s="188" t="s">
        <v>2938</v>
      </c>
      <c r="AD52" s="188" t="s">
        <v>530</v>
      </c>
      <c r="AE52" s="188" t="s">
        <v>530</v>
      </c>
      <c r="AF52" s="188" t="s">
        <v>3852</v>
      </c>
      <c r="AG52" s="188" t="s">
        <v>4171</v>
      </c>
      <c r="AH52" s="188" t="s">
        <v>3682</v>
      </c>
      <c r="AI52" s="188" t="s">
        <v>530</v>
      </c>
      <c r="AJ52" s="188" t="s">
        <v>530</v>
      </c>
      <c r="AK52" s="188" t="s">
        <v>2282</v>
      </c>
      <c r="AL52" s="188" t="s">
        <v>2282</v>
      </c>
      <c r="AM52" s="188" t="s">
        <v>530</v>
      </c>
      <c r="AN52" s="188" t="s">
        <v>39</v>
      </c>
      <c r="AO52" s="188" t="s">
        <v>1766</v>
      </c>
      <c r="AP52" s="188" t="s">
        <v>2556</v>
      </c>
      <c r="AQ52" s="188" t="s">
        <v>530</v>
      </c>
      <c r="AR52" s="188" t="s">
        <v>530</v>
      </c>
      <c r="AS52" s="188" t="s">
        <v>3283</v>
      </c>
      <c r="AT52" s="188" t="s">
        <v>3561</v>
      </c>
      <c r="AU52" s="188" t="s">
        <v>3561</v>
      </c>
      <c r="AV52" s="188" t="s">
        <v>3494</v>
      </c>
      <c r="AW52" s="188" t="s">
        <v>3494</v>
      </c>
      <c r="AX52" s="188" t="s">
        <v>39</v>
      </c>
      <c r="AY52" s="188" t="s">
        <v>530</v>
      </c>
      <c r="AZ52" s="188" t="s">
        <v>530</v>
      </c>
      <c r="BA52" s="188" t="s">
        <v>530</v>
      </c>
      <c r="BB52" s="188" t="s">
        <v>1438</v>
      </c>
      <c r="BC52" s="188" t="s">
        <v>363</v>
      </c>
      <c r="BD52" s="188" t="s">
        <v>2615</v>
      </c>
      <c r="BE52" s="188" t="s">
        <v>2615</v>
      </c>
      <c r="BF52" s="188" t="s">
        <v>2615</v>
      </c>
      <c r="BG52" s="188" t="s">
        <v>530</v>
      </c>
      <c r="BH52" s="188" t="s">
        <v>863</v>
      </c>
      <c r="BI52" s="188" t="s">
        <v>863</v>
      </c>
      <c r="BJ52" s="188" t="s">
        <v>1362</v>
      </c>
      <c r="BK52" s="188" t="s">
        <v>1301</v>
      </c>
      <c r="BL52" s="188" t="s">
        <v>530</v>
      </c>
      <c r="BM52" s="188" t="s">
        <v>3199</v>
      </c>
      <c r="BN52" s="188" t="s">
        <v>3198</v>
      </c>
      <c r="BO52" s="188" t="s">
        <v>5594</v>
      </c>
      <c r="BP52" s="188" t="s">
        <v>5594</v>
      </c>
      <c r="BQ52" s="188" t="s">
        <v>2212</v>
      </c>
      <c r="BR52" s="188" t="s">
        <v>1595</v>
      </c>
      <c r="BS52" s="188" t="s">
        <v>1595</v>
      </c>
      <c r="BT52" s="188" t="s">
        <v>41</v>
      </c>
    </row>
    <row r="53" spans="1:80" s="2" customFormat="1" ht="9" customHeight="1">
      <c r="A53" s="95" t="s">
        <v>688</v>
      </c>
      <c r="B53" s="94" t="s">
        <v>5794</v>
      </c>
      <c r="C53" s="94" t="s">
        <v>5794</v>
      </c>
      <c r="D53" s="94" t="s">
        <v>1257</v>
      </c>
      <c r="E53" s="94"/>
      <c r="F53" s="95" t="s">
        <v>688</v>
      </c>
      <c r="G53" s="94"/>
      <c r="H53" s="94" t="s">
        <v>3096</v>
      </c>
      <c r="I53" s="94" t="s">
        <v>3096</v>
      </c>
      <c r="J53" s="94" t="s">
        <v>1932</v>
      </c>
      <c r="K53" s="94" t="s">
        <v>1958</v>
      </c>
      <c r="L53" s="94" t="s">
        <v>3644</v>
      </c>
      <c r="M53" s="94" t="s">
        <v>2649</v>
      </c>
      <c r="N53" s="94" t="s">
        <v>3035</v>
      </c>
      <c r="O53" s="94" t="s">
        <v>1257</v>
      </c>
      <c r="P53" s="94" t="s">
        <v>1257</v>
      </c>
      <c r="Q53" s="94" t="s">
        <v>3048</v>
      </c>
      <c r="R53" s="94" t="s">
        <v>3048</v>
      </c>
      <c r="S53" s="94" t="s">
        <v>1908</v>
      </c>
      <c r="T53" s="94" t="s">
        <v>2813</v>
      </c>
      <c r="U53" s="94" t="s">
        <v>1278</v>
      </c>
      <c r="V53" s="94" t="s">
        <v>1257</v>
      </c>
      <c r="W53" s="94" t="s">
        <v>1686</v>
      </c>
      <c r="X53" s="94" t="s">
        <v>1391</v>
      </c>
      <c r="Y53" s="94" t="s">
        <v>3740</v>
      </c>
      <c r="Z53" s="94" t="s">
        <v>4043</v>
      </c>
      <c r="AA53" s="94" t="s">
        <v>4042</v>
      </c>
      <c r="AB53" s="94" t="s">
        <v>4042</v>
      </c>
      <c r="AC53" s="94" t="s">
        <v>803</v>
      </c>
      <c r="AD53" s="94" t="s">
        <v>1257</v>
      </c>
      <c r="AE53" s="94" t="s">
        <v>1257</v>
      </c>
      <c r="AF53" s="94" t="s">
        <v>3853</v>
      </c>
      <c r="AG53" s="94" t="s">
        <v>4172</v>
      </c>
      <c r="AH53" s="94" t="s">
        <v>3680</v>
      </c>
      <c r="AI53" s="94" t="s">
        <v>2436</v>
      </c>
      <c r="AJ53" s="94" t="s">
        <v>2436</v>
      </c>
      <c r="AK53" s="94" t="s">
        <v>2346</v>
      </c>
      <c r="AL53" s="94" t="s">
        <v>2280</v>
      </c>
      <c r="AM53" s="94" t="s">
        <v>1161</v>
      </c>
      <c r="AN53" s="94"/>
      <c r="AO53" s="94" t="s">
        <v>2555</v>
      </c>
      <c r="AP53" s="94" t="s">
        <v>2554</v>
      </c>
      <c r="AQ53" s="94" t="s">
        <v>1257</v>
      </c>
      <c r="AR53" s="94" t="s">
        <v>3375</v>
      </c>
      <c r="AS53" s="94" t="s">
        <v>3284</v>
      </c>
      <c r="AT53" s="94" t="s">
        <v>3493</v>
      </c>
      <c r="AU53" s="94" t="s">
        <v>3493</v>
      </c>
      <c r="AV53" s="94" t="s">
        <v>3493</v>
      </c>
      <c r="AW53" s="94" t="s">
        <v>3493</v>
      </c>
      <c r="AX53" s="94"/>
      <c r="AY53" s="94"/>
      <c r="AZ53" s="94"/>
      <c r="BA53" s="94" t="s">
        <v>1493</v>
      </c>
      <c r="BB53" s="94" t="s">
        <v>1439</v>
      </c>
      <c r="BC53" s="94"/>
      <c r="BD53" s="94" t="s">
        <v>1257</v>
      </c>
      <c r="BE53" s="94" t="s">
        <v>1257</v>
      </c>
      <c r="BF53" s="94" t="s">
        <v>1257</v>
      </c>
      <c r="BG53" s="94" t="s">
        <v>1734</v>
      </c>
      <c r="BH53" s="94" t="s">
        <v>2934</v>
      </c>
      <c r="BI53" s="94" t="s">
        <v>2934</v>
      </c>
      <c r="BJ53" s="94" t="s">
        <v>1302</v>
      </c>
      <c r="BK53" s="94" t="s">
        <v>1361</v>
      </c>
      <c r="BL53" s="94" t="s">
        <v>763</v>
      </c>
      <c r="BM53" s="94" t="s">
        <v>3197</v>
      </c>
      <c r="BN53" s="94" t="s">
        <v>3196</v>
      </c>
      <c r="BO53" s="94" t="s">
        <v>2136</v>
      </c>
      <c r="BP53" s="94" t="s">
        <v>2136</v>
      </c>
      <c r="BQ53" s="94" t="s">
        <v>2216</v>
      </c>
      <c r="BR53" s="94" t="s">
        <v>1615</v>
      </c>
      <c r="BS53" s="94" t="s">
        <v>1615</v>
      </c>
      <c r="BT53" s="94"/>
    </row>
    <row r="54" spans="1:80" s="192" customFormat="1" ht="45">
      <c r="A54" s="263" t="s">
        <v>5260</v>
      </c>
      <c r="B54" s="54" t="s">
        <v>5817</v>
      </c>
      <c r="C54" s="54" t="s">
        <v>5817</v>
      </c>
      <c r="D54" s="54" t="s">
        <v>5258</v>
      </c>
      <c r="E54" s="54"/>
      <c r="F54" s="263" t="s">
        <v>5808</v>
      </c>
      <c r="G54" s="188" t="s">
        <v>41</v>
      </c>
      <c r="H54" s="188" t="s">
        <v>3099</v>
      </c>
      <c r="I54" s="188" t="s">
        <v>3260</v>
      </c>
      <c r="J54" s="188" t="s">
        <v>3260</v>
      </c>
      <c r="K54" s="188" t="s">
        <v>3260</v>
      </c>
      <c r="L54" s="188" t="s">
        <v>41</v>
      </c>
      <c r="M54" s="188" t="s">
        <v>2629</v>
      </c>
      <c r="N54" s="188" t="s">
        <v>3039</v>
      </c>
      <c r="O54" s="188" t="s">
        <v>41</v>
      </c>
      <c r="P54" s="188" t="s">
        <v>41</v>
      </c>
      <c r="Q54" s="188" t="s">
        <v>3049</v>
      </c>
      <c r="R54" s="188" t="s">
        <v>3049</v>
      </c>
      <c r="S54" s="188" t="s">
        <v>1909</v>
      </c>
      <c r="T54" s="188" t="s">
        <v>2818</v>
      </c>
      <c r="U54" s="188" t="s">
        <v>41</v>
      </c>
      <c r="V54" s="188" t="s">
        <v>39</v>
      </c>
      <c r="W54" s="188" t="s">
        <v>3018</v>
      </c>
      <c r="X54" s="188" t="s">
        <v>39</v>
      </c>
      <c r="Y54" s="188" t="s">
        <v>3738</v>
      </c>
      <c r="Z54" s="188" t="s">
        <v>41</v>
      </c>
      <c r="AA54" s="188" t="s">
        <v>41</v>
      </c>
      <c r="AB54" s="188" t="s">
        <v>690</v>
      </c>
      <c r="AC54" s="188" t="s">
        <v>4022</v>
      </c>
      <c r="AD54" s="188" t="s">
        <v>39</v>
      </c>
      <c r="AE54" s="188" t="s">
        <v>2140</v>
      </c>
      <c r="AF54" s="188" t="s">
        <v>4019</v>
      </c>
      <c r="AG54" s="188" t="s">
        <v>41</v>
      </c>
      <c r="AH54" s="188" t="s">
        <v>4020</v>
      </c>
      <c r="AI54" s="188" t="s">
        <v>39</v>
      </c>
      <c r="AJ54" s="188" t="s">
        <v>39</v>
      </c>
      <c r="AK54" s="188" t="s">
        <v>1765</v>
      </c>
      <c r="AL54" s="188" t="s">
        <v>1765</v>
      </c>
      <c r="AM54" s="188" t="s">
        <v>41</v>
      </c>
      <c r="AN54" s="188" t="s">
        <v>41</v>
      </c>
      <c r="AO54" s="188" t="s">
        <v>1765</v>
      </c>
      <c r="AP54" s="188" t="s">
        <v>1765</v>
      </c>
      <c r="AQ54" s="188" t="s">
        <v>1878</v>
      </c>
      <c r="AR54" s="188" t="s">
        <v>2140</v>
      </c>
      <c r="AS54" s="188" t="s">
        <v>2140</v>
      </c>
      <c r="AT54" s="188" t="s">
        <v>1765</v>
      </c>
      <c r="AU54" s="188" t="s">
        <v>1765</v>
      </c>
      <c r="AV54" s="188" t="s">
        <v>1765</v>
      </c>
      <c r="AW54" s="188" t="s">
        <v>1765</v>
      </c>
      <c r="AX54" s="188" t="s">
        <v>39</v>
      </c>
      <c r="AY54" s="188" t="s">
        <v>41</v>
      </c>
      <c r="AZ54" s="188" t="s">
        <v>41</v>
      </c>
      <c r="BA54" s="188" t="s">
        <v>1492</v>
      </c>
      <c r="BB54" s="188" t="s">
        <v>690</v>
      </c>
      <c r="BC54" s="188" t="s">
        <v>362</v>
      </c>
      <c r="BD54" s="188" t="s">
        <v>2901</v>
      </c>
      <c r="BE54" s="188" t="s">
        <v>3394</v>
      </c>
      <c r="BF54" s="188" t="s">
        <v>2616</v>
      </c>
      <c r="BG54" s="188" t="s">
        <v>41</v>
      </c>
      <c r="BH54" s="188" t="s">
        <v>883</v>
      </c>
      <c r="BI54" s="188" t="s">
        <v>883</v>
      </c>
      <c r="BJ54" s="188" t="s">
        <v>1303</v>
      </c>
      <c r="BK54" s="188" t="s">
        <v>1303</v>
      </c>
      <c r="BL54" s="188" t="s">
        <v>3015</v>
      </c>
      <c r="BM54" s="188" t="s">
        <v>41</v>
      </c>
      <c r="BN54" s="188" t="s">
        <v>41</v>
      </c>
      <c r="BO54" s="188" t="s">
        <v>3411</v>
      </c>
      <c r="BP54" s="188" t="s">
        <v>2140</v>
      </c>
      <c r="BQ54" s="188" t="s">
        <v>2161</v>
      </c>
      <c r="BR54" s="188" t="s">
        <v>938</v>
      </c>
      <c r="BS54" s="188" t="s">
        <v>938</v>
      </c>
      <c r="BT54" s="188" t="s">
        <v>41</v>
      </c>
      <c r="BW54" s="193">
        <v>1</v>
      </c>
      <c r="BX54" s="194" t="s">
        <v>152</v>
      </c>
      <c r="BY54" s="193"/>
      <c r="BZ54" s="193">
        <v>1</v>
      </c>
      <c r="CA54" s="193">
        <v>1</v>
      </c>
      <c r="CB54" s="193">
        <v>1</v>
      </c>
    </row>
    <row r="55" spans="1:80" s="2" customFormat="1" ht="9" customHeight="1">
      <c r="A55" s="95" t="s">
        <v>688</v>
      </c>
      <c r="B55" s="94" t="s">
        <v>5051</v>
      </c>
      <c r="C55" s="94" t="s">
        <v>5051</v>
      </c>
      <c r="D55" s="94" t="s">
        <v>5023</v>
      </c>
      <c r="E55" s="94"/>
      <c r="F55" s="95" t="s">
        <v>688</v>
      </c>
      <c r="G55" s="94"/>
      <c r="H55" s="94" t="s">
        <v>3098</v>
      </c>
      <c r="I55" s="94" t="s">
        <v>3100</v>
      </c>
      <c r="J55" s="94" t="s">
        <v>1933</v>
      </c>
      <c r="K55" s="94" t="s">
        <v>1933</v>
      </c>
      <c r="L55" s="94" t="s">
        <v>3644</v>
      </c>
      <c r="M55" s="94" t="s">
        <v>2651</v>
      </c>
      <c r="N55" s="94" t="s">
        <v>3038</v>
      </c>
      <c r="O55" s="94" t="s">
        <v>1214</v>
      </c>
      <c r="P55" s="94" t="s">
        <v>1214</v>
      </c>
      <c r="Q55" s="94" t="s">
        <v>3047</v>
      </c>
      <c r="R55" s="94" t="s">
        <v>3047</v>
      </c>
      <c r="S55" s="94" t="s">
        <v>1908</v>
      </c>
      <c r="T55" s="94" t="s">
        <v>2814</v>
      </c>
      <c r="U55" s="94" t="s">
        <v>1278</v>
      </c>
      <c r="V55" s="94" t="s">
        <v>1875</v>
      </c>
      <c r="W55" s="94" t="s">
        <v>1686</v>
      </c>
      <c r="X55" s="94" t="s">
        <v>1391</v>
      </c>
      <c r="Y55" s="94" t="s">
        <v>3737</v>
      </c>
      <c r="Z55" s="94" t="s">
        <v>4043</v>
      </c>
      <c r="AA55" s="94" t="s">
        <v>4043</v>
      </c>
      <c r="AB55" s="94" t="s">
        <v>4082</v>
      </c>
      <c r="AC55" s="94" t="s">
        <v>2939</v>
      </c>
      <c r="AD55" s="94" t="s">
        <v>1875</v>
      </c>
      <c r="AE55" s="94" t="s">
        <v>3850</v>
      </c>
      <c r="AF55" s="94" t="s">
        <v>3851</v>
      </c>
      <c r="AG55" s="94" t="s">
        <v>4172</v>
      </c>
      <c r="AH55" s="94" t="s">
        <v>1214</v>
      </c>
      <c r="AI55" s="94" t="s">
        <v>2437</v>
      </c>
      <c r="AJ55" s="94" t="s">
        <v>2437</v>
      </c>
      <c r="AK55" s="94" t="s">
        <v>2343</v>
      </c>
      <c r="AL55" s="94" t="s">
        <v>2279</v>
      </c>
      <c r="AM55" s="94" t="s">
        <v>1146</v>
      </c>
      <c r="AN55" s="94"/>
      <c r="AO55" s="94" t="s">
        <v>2553</v>
      </c>
      <c r="AP55" s="94" t="s">
        <v>2513</v>
      </c>
      <c r="AQ55" s="94" t="s">
        <v>1257</v>
      </c>
      <c r="AR55" s="94" t="s">
        <v>3374</v>
      </c>
      <c r="AS55" s="94" t="s">
        <v>3282</v>
      </c>
      <c r="AT55" s="94" t="s">
        <v>3558</v>
      </c>
      <c r="AU55" s="94" t="s">
        <v>3558</v>
      </c>
      <c r="AV55" s="94" t="s">
        <v>3558</v>
      </c>
      <c r="AW55" s="94" t="s">
        <v>3558</v>
      </c>
      <c r="AX55" s="94"/>
      <c r="AY55" s="94"/>
      <c r="AZ55" s="94"/>
      <c r="BA55" s="94" t="s">
        <v>1491</v>
      </c>
      <c r="BB55" s="94" t="s">
        <v>1437</v>
      </c>
      <c r="BC55" s="94"/>
      <c r="BD55" s="94" t="s">
        <v>2900</v>
      </c>
      <c r="BE55" s="94" t="s">
        <v>3393</v>
      </c>
      <c r="BF55" s="94" t="s">
        <v>1257</v>
      </c>
      <c r="BG55" s="94" t="s">
        <v>2856</v>
      </c>
      <c r="BH55" s="94" t="s">
        <v>884</v>
      </c>
      <c r="BI55" s="94" t="s">
        <v>884</v>
      </c>
      <c r="BJ55" s="94" t="s">
        <v>1300</v>
      </c>
      <c r="BK55" s="94" t="s">
        <v>1300</v>
      </c>
      <c r="BL55" s="94" t="s">
        <v>763</v>
      </c>
      <c r="BM55" s="94" t="s">
        <v>3195</v>
      </c>
      <c r="BN55" s="94" t="s">
        <v>3194</v>
      </c>
      <c r="BO55" s="94" t="s">
        <v>2136</v>
      </c>
      <c r="BP55" s="94" t="s">
        <v>2137</v>
      </c>
      <c r="BQ55" s="94" t="s">
        <v>2217</v>
      </c>
      <c r="BR55" s="94" t="s">
        <v>1616</v>
      </c>
      <c r="BS55" s="94" t="s">
        <v>1616</v>
      </c>
      <c r="BT55" s="94"/>
      <c r="BW55" s="35">
        <v>2</v>
      </c>
      <c r="BX55" s="97" t="s">
        <v>643</v>
      </c>
      <c r="BY55" s="35"/>
      <c r="BZ55" s="35"/>
      <c r="CA55" s="35"/>
      <c r="CB55" s="35"/>
    </row>
    <row r="56" spans="1:80" ht="18">
      <c r="A56" s="263" t="s">
        <v>5193</v>
      </c>
      <c r="B56" s="54" t="s">
        <v>41</v>
      </c>
      <c r="C56" s="54" t="s">
        <v>41</v>
      </c>
      <c r="D56" s="54" t="s">
        <v>39</v>
      </c>
      <c r="E56" s="54"/>
      <c r="F56" s="263" t="s">
        <v>5193</v>
      </c>
      <c r="BO56" s="200"/>
      <c r="BP56" s="200"/>
    </row>
    <row r="57" spans="1:80" ht="9" customHeight="1">
      <c r="A57" s="95" t="s">
        <v>688</v>
      </c>
      <c r="B57" s="94" t="s">
        <v>5050</v>
      </c>
      <c r="C57" s="94" t="s">
        <v>5050</v>
      </c>
      <c r="D57" s="94" t="s">
        <v>5819</v>
      </c>
      <c r="E57" s="94"/>
      <c r="F57" s="95" t="s">
        <v>688</v>
      </c>
      <c r="BO57" s="200"/>
      <c r="BP57" s="200"/>
    </row>
    <row r="58" spans="1:80" s="192" customFormat="1" ht="27">
      <c r="A58" s="263" t="s">
        <v>31</v>
      </c>
      <c r="B58" s="54" t="s">
        <v>6037</v>
      </c>
      <c r="C58" s="54" t="s">
        <v>6037</v>
      </c>
      <c r="D58" s="54" t="s">
        <v>39</v>
      </c>
      <c r="E58" s="54"/>
      <c r="F58" s="263" t="s">
        <v>31</v>
      </c>
      <c r="G58" s="188" t="s">
        <v>271</v>
      </c>
      <c r="H58" s="188" t="s">
        <v>271</v>
      </c>
      <c r="I58" s="188" t="s">
        <v>271</v>
      </c>
      <c r="J58" s="188" t="s">
        <v>271</v>
      </c>
      <c r="K58" s="188" t="s">
        <v>271</v>
      </c>
      <c r="L58" s="188" t="s">
        <v>271</v>
      </c>
      <c r="M58" s="188" t="s">
        <v>271</v>
      </c>
      <c r="N58" s="188" t="s">
        <v>41</v>
      </c>
      <c r="O58" s="188" t="s">
        <v>2739</v>
      </c>
      <c r="P58" s="188" t="s">
        <v>2739</v>
      </c>
      <c r="Q58" s="188" t="s">
        <v>1767</v>
      </c>
      <c r="R58" s="188" t="s">
        <v>1767</v>
      </c>
      <c r="S58" s="188" t="s">
        <v>1907</v>
      </c>
      <c r="T58" s="188" t="s">
        <v>2819</v>
      </c>
      <c r="U58" s="188" t="s">
        <v>3802</v>
      </c>
      <c r="V58" s="188" t="s">
        <v>1683</v>
      </c>
      <c r="W58" s="188" t="s">
        <v>1683</v>
      </c>
      <c r="X58" s="188" t="s">
        <v>1148</v>
      </c>
      <c r="Y58" s="188" t="s">
        <v>1754</v>
      </c>
      <c r="Z58" s="188" t="s">
        <v>1767</v>
      </c>
      <c r="AA58" s="188" t="s">
        <v>1767</v>
      </c>
      <c r="AB58" s="188" t="s">
        <v>1767</v>
      </c>
      <c r="AC58" s="188" t="s">
        <v>1767</v>
      </c>
      <c r="AD58" s="188" t="s">
        <v>1148</v>
      </c>
      <c r="AE58" s="188" t="s">
        <v>3854</v>
      </c>
      <c r="AF58" s="188" t="s">
        <v>3854</v>
      </c>
      <c r="AG58" s="188" t="s">
        <v>1767</v>
      </c>
      <c r="AH58" s="188" t="s">
        <v>1767</v>
      </c>
      <c r="AI58" s="188" t="s">
        <v>1148</v>
      </c>
      <c r="AJ58" s="188" t="s">
        <v>1148</v>
      </c>
      <c r="AK58" s="188" t="s">
        <v>1767</v>
      </c>
      <c r="AL58" s="188" t="s">
        <v>1767</v>
      </c>
      <c r="AM58" s="188" t="s">
        <v>1148</v>
      </c>
      <c r="AN58" s="188" t="s">
        <v>41</v>
      </c>
      <c r="AO58" s="188" t="s">
        <v>1767</v>
      </c>
      <c r="AP58" s="188" t="s">
        <v>1767</v>
      </c>
      <c r="AQ58" s="188" t="s">
        <v>1767</v>
      </c>
      <c r="AR58" s="188" t="s">
        <v>3373</v>
      </c>
      <c r="AS58" s="188" t="s">
        <v>1767</v>
      </c>
      <c r="AT58" s="188" t="s">
        <v>364</v>
      </c>
      <c r="AU58" s="188" t="s">
        <v>364</v>
      </c>
      <c r="AV58" s="188" t="s">
        <v>41</v>
      </c>
      <c r="AW58" s="188" t="s">
        <v>41</v>
      </c>
      <c r="AX58" s="188" t="s">
        <v>39</v>
      </c>
      <c r="AY58" s="188" t="s">
        <v>41</v>
      </c>
      <c r="AZ58" s="188" t="s">
        <v>41</v>
      </c>
      <c r="BA58" s="188" t="s">
        <v>39</v>
      </c>
      <c r="BB58" s="188" t="s">
        <v>364</v>
      </c>
      <c r="BC58" s="188" t="s">
        <v>364</v>
      </c>
      <c r="BD58" s="188" t="s">
        <v>1148</v>
      </c>
      <c r="BE58" s="188" t="s">
        <v>1683</v>
      </c>
      <c r="BF58" s="188" t="s">
        <v>1683</v>
      </c>
      <c r="BG58" s="188" t="s">
        <v>2739</v>
      </c>
      <c r="BH58" s="188" t="s">
        <v>1683</v>
      </c>
      <c r="BI58" s="188" t="s">
        <v>1683</v>
      </c>
      <c r="BJ58" s="188" t="s">
        <v>1299</v>
      </c>
      <c r="BK58" s="188" t="s">
        <v>1299</v>
      </c>
      <c r="BL58" s="188" t="s">
        <v>41</v>
      </c>
      <c r="BM58" s="188" t="s">
        <v>1299</v>
      </c>
      <c r="BN58" s="188" t="s">
        <v>1299</v>
      </c>
      <c r="BO58" s="188" t="s">
        <v>3427</v>
      </c>
      <c r="BP58" s="188" t="s">
        <v>3427</v>
      </c>
      <c r="BQ58" s="188" t="s">
        <v>1299</v>
      </c>
      <c r="BR58" s="188" t="s">
        <v>1299</v>
      </c>
      <c r="BS58" s="188" t="s">
        <v>1299</v>
      </c>
      <c r="BT58" s="188" t="s">
        <v>438</v>
      </c>
      <c r="BW58" s="193">
        <v>5</v>
      </c>
      <c r="BX58" s="194" t="s">
        <v>1910</v>
      </c>
      <c r="BY58" s="193"/>
      <c r="BZ58" s="196"/>
      <c r="CA58" s="196"/>
      <c r="CB58" s="196"/>
    </row>
    <row r="59" spans="1:80" s="2" customFormat="1" ht="9" customHeight="1">
      <c r="A59" s="95" t="s">
        <v>688</v>
      </c>
      <c r="B59" s="94" t="s">
        <v>6039</v>
      </c>
      <c r="C59" s="94" t="s">
        <v>6039</v>
      </c>
      <c r="D59" s="94" t="s">
        <v>5819</v>
      </c>
      <c r="E59" s="94"/>
      <c r="F59" s="95" t="s">
        <v>688</v>
      </c>
      <c r="G59" s="94"/>
      <c r="H59" s="94" t="s">
        <v>3097</v>
      </c>
      <c r="I59" s="94" t="s">
        <v>3097</v>
      </c>
      <c r="J59" s="94" t="s">
        <v>1928</v>
      </c>
      <c r="K59" s="94" t="s">
        <v>1959</v>
      </c>
      <c r="L59" s="94" t="s">
        <v>3644</v>
      </c>
      <c r="M59" s="94" t="s">
        <v>2650</v>
      </c>
      <c r="N59" s="94" t="s">
        <v>2732</v>
      </c>
      <c r="O59" s="94" t="s">
        <v>1214</v>
      </c>
      <c r="P59" s="94" t="s">
        <v>1214</v>
      </c>
      <c r="Q59" s="94" t="s">
        <v>2501</v>
      </c>
      <c r="R59" s="94" t="s">
        <v>2501</v>
      </c>
      <c r="S59" s="94" t="s">
        <v>1257</v>
      </c>
      <c r="T59" s="94" t="s">
        <v>2812</v>
      </c>
      <c r="U59" s="94" t="s">
        <v>1278</v>
      </c>
      <c r="V59" s="94" t="s">
        <v>1390</v>
      </c>
      <c r="W59" s="94" t="s">
        <v>1684</v>
      </c>
      <c r="X59" s="94" t="s">
        <v>1390</v>
      </c>
      <c r="Y59" s="94" t="s">
        <v>1390</v>
      </c>
      <c r="Z59" s="94" t="s">
        <v>4043</v>
      </c>
      <c r="AA59" s="94" t="s">
        <v>4043</v>
      </c>
      <c r="AB59" s="94" t="s">
        <v>4043</v>
      </c>
      <c r="AC59" s="94" t="s">
        <v>804</v>
      </c>
      <c r="AD59" s="94" t="s">
        <v>1390</v>
      </c>
      <c r="AE59" s="94" t="s">
        <v>3855</v>
      </c>
      <c r="AF59" s="94" t="s">
        <v>3856</v>
      </c>
      <c r="AG59" s="94" t="s">
        <v>4173</v>
      </c>
      <c r="AH59" s="94" t="s">
        <v>3681</v>
      </c>
      <c r="AI59" s="94" t="s">
        <v>2438</v>
      </c>
      <c r="AJ59" s="94" t="s">
        <v>2438</v>
      </c>
      <c r="AK59" s="94" t="s">
        <v>2347</v>
      </c>
      <c r="AL59" s="94" t="s">
        <v>2281</v>
      </c>
      <c r="AM59" s="94" t="s">
        <v>1146</v>
      </c>
      <c r="AN59" s="94"/>
      <c r="AO59" s="94" t="s">
        <v>2557</v>
      </c>
      <c r="AP59" s="94" t="s">
        <v>2514</v>
      </c>
      <c r="AQ59" s="94" t="s">
        <v>1257</v>
      </c>
      <c r="AR59" s="94" t="s">
        <v>3372</v>
      </c>
      <c r="AS59" s="94" t="s">
        <v>3281</v>
      </c>
      <c r="AT59" s="94" t="s">
        <v>3530</v>
      </c>
      <c r="AU59" s="94" t="s">
        <v>3530</v>
      </c>
      <c r="AV59" s="94" t="s">
        <v>3530</v>
      </c>
      <c r="AW59" s="94" t="s">
        <v>3530</v>
      </c>
      <c r="AX59" s="94"/>
      <c r="AY59" s="94"/>
      <c r="AZ59" s="94"/>
      <c r="BA59" s="94" t="s">
        <v>39</v>
      </c>
      <c r="BB59" s="94" t="s">
        <v>1436</v>
      </c>
      <c r="BC59" s="94"/>
      <c r="BD59" s="94" t="s">
        <v>1390</v>
      </c>
      <c r="BE59" s="94" t="s">
        <v>1390</v>
      </c>
      <c r="BF59" s="94" t="s">
        <v>1390</v>
      </c>
      <c r="BG59" s="94" t="s">
        <v>2856</v>
      </c>
      <c r="BH59" s="94" t="s">
        <v>2935</v>
      </c>
      <c r="BI59" s="94" t="s">
        <v>2935</v>
      </c>
      <c r="BJ59" s="94" t="s">
        <v>1298</v>
      </c>
      <c r="BK59" s="94" t="s">
        <v>1298</v>
      </c>
      <c r="BL59" s="94" t="s">
        <v>764</v>
      </c>
      <c r="BM59" s="94" t="s">
        <v>3218</v>
      </c>
      <c r="BN59" s="94" t="s">
        <v>3218</v>
      </c>
      <c r="BO59" s="94" t="s">
        <v>2136</v>
      </c>
      <c r="BP59" s="94" t="s">
        <v>2136</v>
      </c>
      <c r="BQ59" s="94" t="s">
        <v>2211</v>
      </c>
      <c r="BR59" s="94" t="s">
        <v>1594</v>
      </c>
      <c r="BS59" s="94" t="s">
        <v>1594</v>
      </c>
      <c r="BT59" s="94"/>
      <c r="BW59" s="30">
        <v>6</v>
      </c>
      <c r="BX59" s="99" t="s">
        <v>1911</v>
      </c>
      <c r="BY59" s="35"/>
      <c r="BZ59" s="35"/>
      <c r="CA59" s="35"/>
      <c r="CB59" s="35"/>
    </row>
    <row r="60" spans="1:80">
      <c r="A60" s="263" t="s">
        <v>5809</v>
      </c>
      <c r="B60" s="54" t="s">
        <v>39</v>
      </c>
      <c r="C60" s="54" t="s">
        <v>39</v>
      </c>
      <c r="D60" s="54" t="s">
        <v>39</v>
      </c>
      <c r="E60" s="54"/>
      <c r="F60" s="263" t="s">
        <v>5809</v>
      </c>
      <c r="BO60" s="54"/>
      <c r="BP60" s="54"/>
    </row>
    <row r="61" spans="1:80" ht="9" customHeight="1">
      <c r="A61" s="95" t="s">
        <v>688</v>
      </c>
      <c r="B61" s="94" t="s">
        <v>5051</v>
      </c>
      <c r="C61" s="94" t="s">
        <v>5051</v>
      </c>
      <c r="D61" s="94" t="s">
        <v>5819</v>
      </c>
      <c r="E61" s="94"/>
      <c r="F61" s="95" t="s">
        <v>688</v>
      </c>
      <c r="BO61" s="94"/>
      <c r="BP61" s="94"/>
    </row>
    <row r="62" spans="1:80">
      <c r="A62" s="263" t="s">
        <v>5257</v>
      </c>
      <c r="B62" s="54" t="s">
        <v>39</v>
      </c>
      <c r="C62" s="54" t="s">
        <v>39</v>
      </c>
      <c r="D62" s="54" t="s">
        <v>39</v>
      </c>
      <c r="E62" s="54"/>
      <c r="F62" s="263" t="s">
        <v>5257</v>
      </c>
      <c r="BO62" s="200"/>
      <c r="BP62" s="200"/>
    </row>
    <row r="63" spans="1:80" ht="9" customHeight="1">
      <c r="A63" s="95" t="s">
        <v>688</v>
      </c>
      <c r="B63" s="94" t="s">
        <v>4971</v>
      </c>
      <c r="C63" s="94" t="s">
        <v>4971</v>
      </c>
      <c r="D63" s="94" t="s">
        <v>5819</v>
      </c>
      <c r="E63" s="94"/>
      <c r="F63" s="95" t="s">
        <v>688</v>
      </c>
      <c r="BO63" s="200"/>
      <c r="BP63" s="200"/>
    </row>
    <row r="64" spans="1:80" ht="27" customHeight="1">
      <c r="A64" s="263" t="s">
        <v>5812</v>
      </c>
      <c r="B64" s="54" t="s">
        <v>41</v>
      </c>
      <c r="C64" s="54" t="s">
        <v>6111</v>
      </c>
      <c r="D64" s="54" t="s">
        <v>41</v>
      </c>
      <c r="E64" s="54"/>
      <c r="F64" s="263" t="s">
        <v>5812</v>
      </c>
      <c r="BO64" s="200"/>
      <c r="BP64" s="200"/>
    </row>
    <row r="65" spans="1:72" ht="9" customHeight="1">
      <c r="A65" s="95" t="s">
        <v>688</v>
      </c>
      <c r="B65" s="94"/>
      <c r="C65" s="94" t="s">
        <v>5818</v>
      </c>
      <c r="D65" s="94" t="s">
        <v>4911</v>
      </c>
      <c r="E65" s="94"/>
      <c r="F65" s="95" t="s">
        <v>688</v>
      </c>
      <c r="BO65" s="200"/>
      <c r="BP65" s="200"/>
    </row>
    <row r="66" spans="1:72" ht="18">
      <c r="A66" s="263" t="s">
        <v>5811</v>
      </c>
      <c r="B66" s="54" t="s">
        <v>39</v>
      </c>
      <c r="C66" s="54" t="s">
        <v>39</v>
      </c>
      <c r="D66" s="54" t="s">
        <v>39</v>
      </c>
      <c r="E66" s="54"/>
      <c r="F66" s="263" t="s">
        <v>5811</v>
      </c>
      <c r="BO66" s="54"/>
      <c r="BP66" s="54"/>
    </row>
    <row r="67" spans="1:72" ht="9" customHeight="1">
      <c r="A67" s="95" t="s">
        <v>688</v>
      </c>
      <c r="B67" s="94" t="s">
        <v>5051</v>
      </c>
      <c r="C67" s="94" t="s">
        <v>5051</v>
      </c>
      <c r="D67" s="94" t="s">
        <v>5819</v>
      </c>
      <c r="E67" s="94"/>
      <c r="F67" s="95" t="s">
        <v>688</v>
      </c>
      <c r="BO67" s="94"/>
      <c r="BP67" s="94"/>
    </row>
    <row r="68" spans="1:72">
      <c r="A68" s="11"/>
      <c r="B68" s="204"/>
      <c r="C68" s="204"/>
      <c r="D68" s="204"/>
      <c r="E68" s="246"/>
    </row>
    <row r="69" spans="1:72">
      <c r="A69" s="176" t="s">
        <v>4684</v>
      </c>
      <c r="B69" s="202" t="str">
        <f>B1</f>
        <v xml:space="preserve">Interlloyd Premium Plus </v>
      </c>
      <c r="C69" s="202" t="str">
        <f>C1</f>
        <v xml:space="preserve">Interlloyd Premium Plus HB </v>
      </c>
      <c r="D69" s="202" t="str">
        <f>D1</f>
        <v>Interlloyd Protect</v>
      </c>
      <c r="E69" s="140"/>
      <c r="F69" s="50" t="s">
        <v>4684</v>
      </c>
      <c r="BO69" s="200"/>
      <c r="BP69" s="200"/>
    </row>
    <row r="70" spans="1:72" s="14" customFormat="1" ht="18">
      <c r="A70" s="53" t="s">
        <v>6194</v>
      </c>
      <c r="B70" s="54" t="s">
        <v>5054</v>
      </c>
      <c r="C70" s="54" t="s">
        <v>5054</v>
      </c>
      <c r="D70" s="54" t="s">
        <v>43</v>
      </c>
      <c r="E70" s="54"/>
      <c r="F70" s="53" t="s">
        <v>4833</v>
      </c>
      <c r="G70" s="54" t="s">
        <v>43</v>
      </c>
      <c r="H70" s="54" t="s">
        <v>3101</v>
      </c>
      <c r="I70" s="54" t="s">
        <v>3085</v>
      </c>
      <c r="J70" s="54" t="s">
        <v>1919</v>
      </c>
      <c r="K70" s="54" t="s">
        <v>1919</v>
      </c>
      <c r="L70" s="54" t="s">
        <v>43</v>
      </c>
      <c r="M70" s="123" t="s">
        <v>2647</v>
      </c>
      <c r="N70" s="54" t="s">
        <v>1457</v>
      </c>
      <c r="O70" s="54" t="s">
        <v>44</v>
      </c>
      <c r="P70" s="54" t="s">
        <v>109</v>
      </c>
      <c r="Q70" s="54" t="s">
        <v>3062</v>
      </c>
      <c r="R70" s="54" t="s">
        <v>3062</v>
      </c>
      <c r="S70" s="76" t="s">
        <v>231</v>
      </c>
      <c r="T70" s="54" t="s">
        <v>934</v>
      </c>
      <c r="U70" s="54" t="s">
        <v>3806</v>
      </c>
      <c r="V70" s="76" t="s">
        <v>231</v>
      </c>
      <c r="W70" s="54" t="s">
        <v>1680</v>
      </c>
      <c r="X70" s="54" t="s">
        <v>934</v>
      </c>
      <c r="Y70" s="54" t="s">
        <v>1751</v>
      </c>
      <c r="Z70" s="123" t="s">
        <v>44</v>
      </c>
      <c r="AA70" s="123" t="s">
        <v>4072</v>
      </c>
      <c r="AB70" s="123" t="s">
        <v>4072</v>
      </c>
      <c r="AC70" s="54" t="s">
        <v>2948</v>
      </c>
      <c r="AD70" s="54" t="s">
        <v>3879</v>
      </c>
      <c r="AE70" s="54" t="s">
        <v>3880</v>
      </c>
      <c r="AF70" s="54" t="s">
        <v>3881</v>
      </c>
      <c r="AG70" s="54" t="s">
        <v>4185</v>
      </c>
      <c r="AH70" s="54" t="s">
        <v>1457</v>
      </c>
      <c r="AI70" s="54" t="s">
        <v>2421</v>
      </c>
      <c r="AJ70" s="54" t="s">
        <v>2386</v>
      </c>
      <c r="AK70" s="54" t="s">
        <v>2241</v>
      </c>
      <c r="AL70" s="54" t="s">
        <v>2242</v>
      </c>
      <c r="AM70" s="54" t="s">
        <v>1677</v>
      </c>
      <c r="AN70" s="54" t="s">
        <v>43</v>
      </c>
      <c r="AO70" s="54" t="s">
        <v>1204</v>
      </c>
      <c r="AP70" s="54" t="s">
        <v>2242</v>
      </c>
      <c r="AQ70" s="54" t="s">
        <v>1779</v>
      </c>
      <c r="AR70" s="54" t="s">
        <v>1779</v>
      </c>
      <c r="AS70" s="54" t="s">
        <v>1780</v>
      </c>
      <c r="AT70" s="54" t="s">
        <v>3523</v>
      </c>
      <c r="AU70" s="54" t="s">
        <v>3541</v>
      </c>
      <c r="AV70" s="54" t="s">
        <v>3523</v>
      </c>
      <c r="AW70" s="54" t="s">
        <v>3541</v>
      </c>
      <c r="AX70" s="54" t="s">
        <v>39</v>
      </c>
      <c r="AY70" s="54" t="s">
        <v>241</v>
      </c>
      <c r="AZ70" s="54" t="s">
        <v>241</v>
      </c>
      <c r="BA70" s="54" t="s">
        <v>44</v>
      </c>
      <c r="BB70" s="54" t="s">
        <v>1457</v>
      </c>
      <c r="BC70" s="54" t="s">
        <v>39</v>
      </c>
      <c r="BD70" s="54" t="s">
        <v>1751</v>
      </c>
      <c r="BE70" s="54" t="s">
        <v>44</v>
      </c>
      <c r="BF70" s="54" t="s">
        <v>39</v>
      </c>
      <c r="BG70" s="54" t="s">
        <v>44</v>
      </c>
      <c r="BH70" s="54" t="s">
        <v>2922</v>
      </c>
      <c r="BI70" s="54" t="s">
        <v>2922</v>
      </c>
      <c r="BJ70" s="54" t="s">
        <v>1364</v>
      </c>
      <c r="BK70" s="54" t="s">
        <v>1309</v>
      </c>
      <c r="BL70" s="54" t="s">
        <v>44</v>
      </c>
      <c r="BM70" s="54" t="s">
        <v>3212</v>
      </c>
      <c r="BN70" s="54" t="s">
        <v>3212</v>
      </c>
      <c r="BO70" s="54" t="s">
        <v>3421</v>
      </c>
      <c r="BP70" s="54" t="s">
        <v>3213</v>
      </c>
      <c r="BQ70" s="54" t="s">
        <v>3214</v>
      </c>
      <c r="BR70" s="54" t="s">
        <v>906</v>
      </c>
      <c r="BS70" s="54" t="s">
        <v>906</v>
      </c>
      <c r="BT70" s="54" t="s">
        <v>1884</v>
      </c>
    </row>
    <row r="71" spans="1:72" s="2" customFormat="1" ht="9" customHeight="1">
      <c r="A71" s="95" t="s">
        <v>688</v>
      </c>
      <c r="B71" s="94" t="s">
        <v>5053</v>
      </c>
      <c r="C71" s="94" t="s">
        <v>5053</v>
      </c>
      <c r="D71" s="94" t="s">
        <v>4904</v>
      </c>
      <c r="E71" s="94"/>
      <c r="F71" s="95" t="s">
        <v>688</v>
      </c>
      <c r="G71" s="94"/>
      <c r="H71" s="94" t="s">
        <v>3102</v>
      </c>
      <c r="I71" s="94" t="s">
        <v>3103</v>
      </c>
      <c r="J71" s="94" t="s">
        <v>1994</v>
      </c>
      <c r="K71" s="94" t="s">
        <v>1993</v>
      </c>
      <c r="L71" s="94"/>
      <c r="M71" s="94" t="s">
        <v>2044</v>
      </c>
      <c r="N71" s="94" t="s">
        <v>3027</v>
      </c>
      <c r="O71" s="94" t="s">
        <v>1209</v>
      </c>
      <c r="P71" s="94" t="s">
        <v>1209</v>
      </c>
      <c r="Q71" s="94" t="s">
        <v>1388</v>
      </c>
      <c r="R71" s="94" t="s">
        <v>1388</v>
      </c>
      <c r="S71" s="94" t="s">
        <v>1388</v>
      </c>
      <c r="T71" s="94" t="s">
        <v>2806</v>
      </c>
      <c r="U71" s="94" t="s">
        <v>3805</v>
      </c>
      <c r="V71" s="94" t="s">
        <v>1388</v>
      </c>
      <c r="W71" s="94" t="s">
        <v>1675</v>
      </c>
      <c r="X71" s="94" t="s">
        <v>1388</v>
      </c>
      <c r="Y71" s="94" t="s">
        <v>3720</v>
      </c>
      <c r="Z71" s="94" t="s">
        <v>4071</v>
      </c>
      <c r="AA71" s="94" t="s">
        <v>4070</v>
      </c>
      <c r="AB71" s="94" t="s">
        <v>4070</v>
      </c>
      <c r="AC71" s="94" t="s">
        <v>2947</v>
      </c>
      <c r="AD71" s="94" t="s">
        <v>3882</v>
      </c>
      <c r="AE71" s="94" t="s">
        <v>3883</v>
      </c>
      <c r="AF71" s="94" t="s">
        <v>3884</v>
      </c>
      <c r="AG71" s="94" t="s">
        <v>4186</v>
      </c>
      <c r="AH71" s="94" t="s">
        <v>3666</v>
      </c>
      <c r="AI71" s="94" t="s">
        <v>2420</v>
      </c>
      <c r="AJ71" s="94" t="s">
        <v>2388</v>
      </c>
      <c r="AK71" s="94" t="s">
        <v>2338</v>
      </c>
      <c r="AL71" s="94" t="s">
        <v>2276</v>
      </c>
      <c r="AM71" s="94" t="s">
        <v>1157</v>
      </c>
      <c r="AN71" s="94"/>
      <c r="AO71" s="94" t="s">
        <v>1323</v>
      </c>
      <c r="AP71" s="94" t="s">
        <v>2508</v>
      </c>
      <c r="AQ71" s="94" t="s">
        <v>1388</v>
      </c>
      <c r="AR71" s="94" t="s">
        <v>3335</v>
      </c>
      <c r="AS71" s="94" t="s">
        <v>3318</v>
      </c>
      <c r="AT71" s="94" t="s">
        <v>3524</v>
      </c>
      <c r="AU71" s="94" t="s">
        <v>3591</v>
      </c>
      <c r="AV71" s="94" t="s">
        <v>3524</v>
      </c>
      <c r="AW71" s="94" t="s">
        <v>3542</v>
      </c>
      <c r="AX71" s="94"/>
      <c r="AY71" s="94"/>
      <c r="AZ71" s="94"/>
      <c r="BA71" s="94" t="s">
        <v>1498</v>
      </c>
      <c r="BB71" s="94" t="s">
        <v>1458</v>
      </c>
      <c r="BC71" s="94"/>
      <c r="BD71" s="94" t="s">
        <v>2899</v>
      </c>
      <c r="BE71" s="94" t="s">
        <v>3383</v>
      </c>
      <c r="BF71" s="94" t="s">
        <v>1388</v>
      </c>
      <c r="BG71" s="94" t="s">
        <v>1711</v>
      </c>
      <c r="BH71" s="94" t="s">
        <v>2921</v>
      </c>
      <c r="BI71" s="94" t="s">
        <v>2921</v>
      </c>
      <c r="BJ71" s="94" t="s">
        <v>1365</v>
      </c>
      <c r="BK71" s="94" t="s">
        <v>1308</v>
      </c>
      <c r="BL71" s="94" t="s">
        <v>772</v>
      </c>
      <c r="BM71" s="94" t="s">
        <v>3211</v>
      </c>
      <c r="BN71" s="94" t="s">
        <v>3211</v>
      </c>
      <c r="BO71" s="94" t="s">
        <v>2121</v>
      </c>
      <c r="BP71" s="94" t="s">
        <v>2122</v>
      </c>
      <c r="BQ71" s="94" t="s">
        <v>2209</v>
      </c>
      <c r="BR71" s="94" t="s">
        <v>1593</v>
      </c>
      <c r="BS71" s="94" t="s">
        <v>1593</v>
      </c>
      <c r="BT71" s="94" t="s">
        <v>1885</v>
      </c>
    </row>
    <row r="72" spans="1:72" ht="18">
      <c r="A72" s="53" t="s">
        <v>4834</v>
      </c>
      <c r="B72" s="54" t="s">
        <v>5055</v>
      </c>
      <c r="C72" s="54" t="s">
        <v>5055</v>
      </c>
      <c r="D72" s="54" t="s">
        <v>41</v>
      </c>
      <c r="E72" s="54"/>
      <c r="F72" s="53" t="s">
        <v>4834</v>
      </c>
      <c r="BO72" s="200"/>
      <c r="BP72" s="200"/>
    </row>
    <row r="73" spans="1:72" ht="9" customHeight="1">
      <c r="A73" s="95" t="s">
        <v>688</v>
      </c>
      <c r="B73" s="94" t="s">
        <v>5053</v>
      </c>
      <c r="C73" s="94" t="s">
        <v>5053</v>
      </c>
      <c r="D73" s="94" t="s">
        <v>4904</v>
      </c>
      <c r="E73" s="94"/>
      <c r="F73" s="95" t="s">
        <v>688</v>
      </c>
      <c r="BO73" s="94"/>
      <c r="BP73" s="94"/>
    </row>
    <row r="74" spans="1:72" s="14" customFormat="1" ht="18">
      <c r="A74" s="53" t="s">
        <v>4686</v>
      </c>
      <c r="B74" s="54" t="s">
        <v>5447</v>
      </c>
      <c r="C74" s="54" t="s">
        <v>5447</v>
      </c>
      <c r="D74" s="54" t="s">
        <v>39</v>
      </c>
      <c r="E74" s="54"/>
      <c r="F74" s="53" t="s">
        <v>4686</v>
      </c>
      <c r="G74" s="54" t="s">
        <v>2099</v>
      </c>
      <c r="H74" s="54" t="s">
        <v>2099</v>
      </c>
      <c r="I74" s="54" t="s">
        <v>2340</v>
      </c>
      <c r="J74" s="54" t="s">
        <v>41</v>
      </c>
      <c r="K74" s="54" t="s">
        <v>1771</v>
      </c>
      <c r="L74" s="54" t="s">
        <v>3639</v>
      </c>
      <c r="M74" s="123" t="s">
        <v>2099</v>
      </c>
      <c r="N74" s="54" t="s">
        <v>3026</v>
      </c>
      <c r="O74" s="54" t="s">
        <v>39</v>
      </c>
      <c r="P74" s="54" t="s">
        <v>39</v>
      </c>
      <c r="Q74" s="54" t="s">
        <v>41</v>
      </c>
      <c r="R74" s="54" t="s">
        <v>41</v>
      </c>
      <c r="S74" s="54" t="s">
        <v>39</v>
      </c>
      <c r="T74" s="54" t="s">
        <v>39</v>
      </c>
      <c r="U74" s="54" t="s">
        <v>3804</v>
      </c>
      <c r="V74" s="54" t="s">
        <v>3842</v>
      </c>
      <c r="W74" s="54" t="s">
        <v>41</v>
      </c>
      <c r="X74" s="54" t="s">
        <v>39</v>
      </c>
      <c r="Y74" s="54" t="s">
        <v>1755</v>
      </c>
      <c r="Z74" s="123" t="s">
        <v>2389</v>
      </c>
      <c r="AA74" s="123" t="s">
        <v>4073</v>
      </c>
      <c r="AB74" s="123" t="s">
        <v>4073</v>
      </c>
      <c r="AC74" s="54" t="s">
        <v>2950</v>
      </c>
      <c r="AD74" s="54" t="s">
        <v>41</v>
      </c>
      <c r="AE74" s="54" t="s">
        <v>3288</v>
      </c>
      <c r="AF74" s="54" t="s">
        <v>3288</v>
      </c>
      <c r="AG74" s="54" t="s">
        <v>41</v>
      </c>
      <c r="AH74" s="54" t="s">
        <v>3665</v>
      </c>
      <c r="AI74" s="54" t="s">
        <v>2389</v>
      </c>
      <c r="AJ74" s="54" t="s">
        <v>2389</v>
      </c>
      <c r="AK74" s="54" t="s">
        <v>2340</v>
      </c>
      <c r="AL74" s="54" t="s">
        <v>2239</v>
      </c>
      <c r="AM74" s="54" t="s">
        <v>41</v>
      </c>
      <c r="AN74" s="54" t="s">
        <v>39</v>
      </c>
      <c r="AO74" s="54" t="s">
        <v>41</v>
      </c>
      <c r="AP74" s="54" t="s">
        <v>2510</v>
      </c>
      <c r="AQ74" s="73" t="s">
        <v>39</v>
      </c>
      <c r="AR74" s="54" t="s">
        <v>3334</v>
      </c>
      <c r="AS74" s="54" t="s">
        <v>3288</v>
      </c>
      <c r="AT74" s="54" t="s">
        <v>3526</v>
      </c>
      <c r="AU74" s="54" t="s">
        <v>3526</v>
      </c>
      <c r="AV74" s="54" t="s">
        <v>3526</v>
      </c>
      <c r="AW74" s="54" t="s">
        <v>3526</v>
      </c>
      <c r="AX74" s="54" t="s">
        <v>39</v>
      </c>
      <c r="AY74" s="54" t="s">
        <v>41</v>
      </c>
      <c r="AZ74" s="54" t="s">
        <v>41</v>
      </c>
      <c r="BA74" s="54" t="s">
        <v>1497</v>
      </c>
      <c r="BB74" s="54" t="s">
        <v>41</v>
      </c>
      <c r="BC74" s="54" t="s">
        <v>41</v>
      </c>
      <c r="BD74" s="54" t="s">
        <v>41</v>
      </c>
      <c r="BE74" s="54" t="s">
        <v>39</v>
      </c>
      <c r="BF74" s="54" t="s">
        <v>41</v>
      </c>
      <c r="BG74" s="54" t="s">
        <v>39</v>
      </c>
      <c r="BH74" s="54" t="s">
        <v>2920</v>
      </c>
      <c r="BI74" s="54" t="s">
        <v>2920</v>
      </c>
      <c r="BJ74" s="54" t="s">
        <v>1310</v>
      </c>
      <c r="BK74" s="54" t="s">
        <v>1310</v>
      </c>
      <c r="BL74" s="54" t="s">
        <v>41</v>
      </c>
      <c r="BM74" s="54" t="s">
        <v>39</v>
      </c>
      <c r="BN74" s="54" t="s">
        <v>3209</v>
      </c>
      <c r="BO74" s="54" t="s">
        <v>2116</v>
      </c>
      <c r="BP74" s="54" t="s">
        <v>2116</v>
      </c>
      <c r="BQ74" s="54" t="s">
        <v>41</v>
      </c>
      <c r="BR74" s="54" t="s">
        <v>1580</v>
      </c>
      <c r="BS74" s="54" t="s">
        <v>903</v>
      </c>
      <c r="BT74" s="54" t="s">
        <v>39</v>
      </c>
    </row>
    <row r="75" spans="1:72" s="2" customFormat="1" ht="9" customHeight="1">
      <c r="A75" s="95" t="s">
        <v>688</v>
      </c>
      <c r="B75" s="94" t="s">
        <v>5056</v>
      </c>
      <c r="C75" s="94" t="s">
        <v>5056</v>
      </c>
      <c r="D75" s="94" t="s">
        <v>4904</v>
      </c>
      <c r="E75" s="94"/>
      <c r="F75" s="95" t="s">
        <v>688</v>
      </c>
      <c r="G75" s="94"/>
      <c r="H75" s="94" t="s">
        <v>3104</v>
      </c>
      <c r="I75" s="94" t="s">
        <v>3105</v>
      </c>
      <c r="J75" s="94" t="s">
        <v>1927</v>
      </c>
      <c r="K75" s="94" t="s">
        <v>1957</v>
      </c>
      <c r="L75" s="94" t="s">
        <v>3638</v>
      </c>
      <c r="M75" s="94" t="s">
        <v>2044</v>
      </c>
      <c r="N75" s="94" t="s">
        <v>3025</v>
      </c>
      <c r="O75" s="94" t="s">
        <v>1388</v>
      </c>
      <c r="P75" s="94" t="s">
        <v>1388</v>
      </c>
      <c r="Q75" s="94" t="s">
        <v>1388</v>
      </c>
      <c r="R75" s="94" t="s">
        <v>1388</v>
      </c>
      <c r="S75" s="94" t="s">
        <v>1388</v>
      </c>
      <c r="T75" s="94" t="s">
        <v>2806</v>
      </c>
      <c r="U75" s="94" t="s">
        <v>3803</v>
      </c>
      <c r="V75" s="94" t="s">
        <v>3843</v>
      </c>
      <c r="W75" s="94" t="s">
        <v>1681</v>
      </c>
      <c r="X75" s="94" t="s">
        <v>1388</v>
      </c>
      <c r="Y75" s="94" t="s">
        <v>3714</v>
      </c>
      <c r="Z75" s="94" t="s">
        <v>4071</v>
      </c>
      <c r="AA75" s="94" t="s">
        <v>4070</v>
      </c>
      <c r="AB75" s="94" t="s">
        <v>4070</v>
      </c>
      <c r="AC75" s="94" t="s">
        <v>2949</v>
      </c>
      <c r="AD75" s="94" t="s">
        <v>3872</v>
      </c>
      <c r="AE75" s="94" t="s">
        <v>3873</v>
      </c>
      <c r="AF75" s="94" t="s">
        <v>3874</v>
      </c>
      <c r="AG75" s="94" t="s">
        <v>4182</v>
      </c>
      <c r="AH75" s="94" t="s">
        <v>3664</v>
      </c>
      <c r="AI75" s="94" t="s">
        <v>2419</v>
      </c>
      <c r="AJ75" s="94" t="s">
        <v>2387</v>
      </c>
      <c r="AK75" s="94" t="s">
        <v>2339</v>
      </c>
      <c r="AL75" s="94" t="s">
        <v>2277</v>
      </c>
      <c r="AM75" s="94" t="s">
        <v>1146</v>
      </c>
      <c r="AN75" s="94"/>
      <c r="AO75" s="94" t="s">
        <v>1322</v>
      </c>
      <c r="AP75" s="94" t="s">
        <v>2509</v>
      </c>
      <c r="AQ75" s="94" t="s">
        <v>39</v>
      </c>
      <c r="AR75" s="94" t="s">
        <v>3333</v>
      </c>
      <c r="AS75" s="94" t="s">
        <v>3317</v>
      </c>
      <c r="AT75" s="94" t="s">
        <v>3525</v>
      </c>
      <c r="AU75" s="94" t="s">
        <v>3525</v>
      </c>
      <c r="AV75" s="94" t="s">
        <v>3525</v>
      </c>
      <c r="AW75" s="94" t="s">
        <v>3525</v>
      </c>
      <c r="AX75" s="94"/>
      <c r="AY75" s="94"/>
      <c r="AZ75" s="94"/>
      <c r="BA75" s="94" t="s">
        <v>1496</v>
      </c>
      <c r="BB75" s="94" t="s">
        <v>1459</v>
      </c>
      <c r="BC75" s="94"/>
      <c r="BD75" s="94" t="s">
        <v>2882</v>
      </c>
      <c r="BE75" s="94" t="s">
        <v>1388</v>
      </c>
      <c r="BF75" s="94" t="s">
        <v>1388</v>
      </c>
      <c r="BG75" s="94" t="s">
        <v>1733</v>
      </c>
      <c r="BH75" s="94" t="s">
        <v>2919</v>
      </c>
      <c r="BI75" s="94" t="s">
        <v>2919</v>
      </c>
      <c r="BJ75" s="94" t="s">
        <v>1366</v>
      </c>
      <c r="BK75" s="94" t="s">
        <v>1311</v>
      </c>
      <c r="BL75" s="94" t="s">
        <v>772</v>
      </c>
      <c r="BM75" s="94" t="s">
        <v>3211</v>
      </c>
      <c r="BN75" s="94" t="s">
        <v>3210</v>
      </c>
      <c r="BO75" s="94" t="s">
        <v>2121</v>
      </c>
      <c r="BP75" s="94" t="s">
        <v>2121</v>
      </c>
      <c r="BQ75" s="94" t="s">
        <v>2209</v>
      </c>
      <c r="BR75" s="94" t="s">
        <v>1579</v>
      </c>
      <c r="BS75" s="94" t="s">
        <v>1592</v>
      </c>
      <c r="BT75" s="94"/>
    </row>
    <row r="76" spans="1:72" ht="27">
      <c r="A76" s="53" t="s">
        <v>4688</v>
      </c>
      <c r="B76" s="54" t="s">
        <v>6276</v>
      </c>
      <c r="C76" s="54" t="s">
        <v>6276</v>
      </c>
      <c r="D76" s="54" t="s">
        <v>39</v>
      </c>
      <c r="E76" s="54"/>
      <c r="F76" s="53" t="s">
        <v>4688</v>
      </c>
      <c r="BO76" s="54"/>
      <c r="BP76" s="200"/>
    </row>
    <row r="77" spans="1:72" ht="9" customHeight="1">
      <c r="A77" s="95" t="s">
        <v>688</v>
      </c>
      <c r="B77" s="94" t="s">
        <v>5057</v>
      </c>
      <c r="C77" s="94" t="s">
        <v>5057</v>
      </c>
      <c r="D77" s="94" t="s">
        <v>4904</v>
      </c>
      <c r="E77" s="94"/>
      <c r="F77" s="95" t="s">
        <v>688</v>
      </c>
      <c r="BO77" s="94"/>
      <c r="BP77" s="200"/>
    </row>
    <row r="78" spans="1:72" s="14" customFormat="1" ht="18">
      <c r="A78" s="53" t="s">
        <v>5188</v>
      </c>
      <c r="B78" s="54" t="s">
        <v>78</v>
      </c>
      <c r="C78" s="54" t="s">
        <v>78</v>
      </c>
      <c r="D78" s="54" t="s">
        <v>78</v>
      </c>
      <c r="E78" s="54"/>
      <c r="F78" s="53" t="s">
        <v>5188</v>
      </c>
      <c r="G78" s="54" t="s">
        <v>78</v>
      </c>
      <c r="H78" s="54" t="s">
        <v>3116</v>
      </c>
      <c r="I78" s="54" t="s">
        <v>3116</v>
      </c>
      <c r="J78" s="54" t="s">
        <v>161</v>
      </c>
      <c r="K78" s="54" t="s">
        <v>161</v>
      </c>
      <c r="L78" s="54" t="s">
        <v>3641</v>
      </c>
      <c r="M78" s="123" t="s">
        <v>2046</v>
      </c>
      <c r="N78" s="54" t="s">
        <v>2178</v>
      </c>
      <c r="O78" s="54" t="s">
        <v>232</v>
      </c>
      <c r="P78" s="54" t="s">
        <v>232</v>
      </c>
      <c r="Q78" s="54" t="s">
        <v>232</v>
      </c>
      <c r="R78" s="54" t="s">
        <v>232</v>
      </c>
      <c r="S78" s="54" t="s">
        <v>232</v>
      </c>
      <c r="T78" s="54" t="s">
        <v>2824</v>
      </c>
      <c r="U78" s="54" t="s">
        <v>3584</v>
      </c>
      <c r="V78" s="54" t="s">
        <v>232</v>
      </c>
      <c r="W78" s="54" t="s">
        <v>232</v>
      </c>
      <c r="X78" s="54" t="s">
        <v>232</v>
      </c>
      <c r="Y78" s="54" t="s">
        <v>3584</v>
      </c>
      <c r="Z78" s="123" t="s">
        <v>3076</v>
      </c>
      <c r="AA78" s="123" t="s">
        <v>4026</v>
      </c>
      <c r="AB78" s="123" t="s">
        <v>4027</v>
      </c>
      <c r="AC78" s="54" t="s">
        <v>795</v>
      </c>
      <c r="AD78" s="54" t="s">
        <v>3289</v>
      </c>
      <c r="AE78" s="54" t="s">
        <v>3289</v>
      </c>
      <c r="AF78" s="54" t="s">
        <v>3289</v>
      </c>
      <c r="AG78" s="54" t="s">
        <v>41</v>
      </c>
      <c r="AH78" s="54" t="s">
        <v>3584</v>
      </c>
      <c r="AI78" s="54" t="s">
        <v>795</v>
      </c>
      <c r="AJ78" s="54" t="s">
        <v>795</v>
      </c>
      <c r="AK78" s="54" t="s">
        <v>795</v>
      </c>
      <c r="AL78" s="54" t="s">
        <v>795</v>
      </c>
      <c r="AM78" s="54" t="s">
        <v>1080</v>
      </c>
      <c r="AN78" s="54" t="s">
        <v>161</v>
      </c>
      <c r="AO78" s="54" t="s">
        <v>161</v>
      </c>
      <c r="AP78" s="54" t="s">
        <v>161</v>
      </c>
      <c r="AQ78" s="54" t="s">
        <v>161</v>
      </c>
      <c r="AR78" s="54" t="s">
        <v>3289</v>
      </c>
      <c r="AS78" s="54" t="s">
        <v>3289</v>
      </c>
      <c r="AT78" s="54" t="s">
        <v>3584</v>
      </c>
      <c r="AU78" s="54" t="s">
        <v>3584</v>
      </c>
      <c r="AV78" s="54" t="s">
        <v>3528</v>
      </c>
      <c r="AW78" s="54" t="s">
        <v>3528</v>
      </c>
      <c r="AX78" s="54" t="s">
        <v>39</v>
      </c>
      <c r="AY78" s="54" t="s">
        <v>247</v>
      </c>
      <c r="AZ78" s="54" t="s">
        <v>247</v>
      </c>
      <c r="BA78" s="54" t="s">
        <v>78</v>
      </c>
      <c r="BB78" s="54" t="s">
        <v>81</v>
      </c>
      <c r="BC78" s="54" t="s">
        <v>368</v>
      </c>
      <c r="BD78" s="54" t="s">
        <v>161</v>
      </c>
      <c r="BE78" s="54" t="s">
        <v>3388</v>
      </c>
      <c r="BF78" s="54" t="s">
        <v>232</v>
      </c>
      <c r="BG78" s="54" t="s">
        <v>232</v>
      </c>
      <c r="BH78" s="54" t="s">
        <v>881</v>
      </c>
      <c r="BI78" s="54" t="s">
        <v>881</v>
      </c>
      <c r="BJ78" s="54" t="s">
        <v>3289</v>
      </c>
      <c r="BK78" s="54" t="s">
        <v>2178</v>
      </c>
      <c r="BL78" s="54" t="s">
        <v>705</v>
      </c>
      <c r="BM78" s="54" t="s">
        <v>3191</v>
      </c>
      <c r="BN78" s="54" t="s">
        <v>3191</v>
      </c>
      <c r="BO78" s="54" t="s">
        <v>3289</v>
      </c>
      <c r="BP78" s="54" t="s">
        <v>2178</v>
      </c>
      <c r="BQ78" s="54" t="s">
        <v>2177</v>
      </c>
      <c r="BR78" s="54" t="s">
        <v>1597</v>
      </c>
      <c r="BS78" s="54" t="s">
        <v>1597</v>
      </c>
      <c r="BT78" s="54" t="s">
        <v>440</v>
      </c>
    </row>
    <row r="79" spans="1:72" s="2" customFormat="1" ht="9" customHeight="1">
      <c r="A79" s="95" t="s">
        <v>688</v>
      </c>
      <c r="B79" s="94" t="s">
        <v>5058</v>
      </c>
      <c r="C79" s="94" t="s">
        <v>5058</v>
      </c>
      <c r="D79" s="94" t="s">
        <v>4906</v>
      </c>
      <c r="E79" s="94"/>
      <c r="F79" s="95" t="s">
        <v>688</v>
      </c>
      <c r="G79" s="94"/>
      <c r="H79" s="94" t="s">
        <v>3117</v>
      </c>
      <c r="I79" s="94" t="s">
        <v>3118</v>
      </c>
      <c r="J79" s="94" t="s">
        <v>1996</v>
      </c>
      <c r="K79" s="94" t="s">
        <v>1996</v>
      </c>
      <c r="L79" s="94" t="s">
        <v>3640</v>
      </c>
      <c r="M79" s="94" t="s">
        <v>2045</v>
      </c>
      <c r="N79" s="94" t="s">
        <v>3029</v>
      </c>
      <c r="O79" s="94" t="s">
        <v>1255</v>
      </c>
      <c r="P79" s="94" t="s">
        <v>1255</v>
      </c>
      <c r="Q79" s="94" t="s">
        <v>1255</v>
      </c>
      <c r="R79" s="94" t="s">
        <v>1255</v>
      </c>
      <c r="S79" s="94" t="s">
        <v>1418</v>
      </c>
      <c r="T79" s="94" t="s">
        <v>2823</v>
      </c>
      <c r="U79" s="94" t="s">
        <v>3809</v>
      </c>
      <c r="V79" s="94" t="s">
        <v>1255</v>
      </c>
      <c r="W79" s="94" t="s">
        <v>1682</v>
      </c>
      <c r="X79" s="94" t="s">
        <v>1255</v>
      </c>
      <c r="Y79" s="94" t="s">
        <v>1255</v>
      </c>
      <c r="Z79" s="94" t="s">
        <v>4119</v>
      </c>
      <c r="AA79" s="94" t="s">
        <v>4120</v>
      </c>
      <c r="AB79" s="94" t="s">
        <v>4121</v>
      </c>
      <c r="AC79" s="94" t="s">
        <v>796</v>
      </c>
      <c r="AD79" s="94" t="s">
        <v>3885</v>
      </c>
      <c r="AE79" s="94" t="s">
        <v>3886</v>
      </c>
      <c r="AF79" s="94" t="s">
        <v>3887</v>
      </c>
      <c r="AG79" s="94" t="s">
        <v>4187</v>
      </c>
      <c r="AH79" s="94" t="s">
        <v>3667</v>
      </c>
      <c r="AI79" s="94" t="s">
        <v>2411</v>
      </c>
      <c r="AJ79" s="94" t="s">
        <v>2367</v>
      </c>
      <c r="AK79" s="94" t="s">
        <v>2305</v>
      </c>
      <c r="AL79" s="94" t="s">
        <v>2306</v>
      </c>
      <c r="AM79" s="94" t="s">
        <v>1158</v>
      </c>
      <c r="AN79" s="94"/>
      <c r="AO79" s="94" t="s">
        <v>1325</v>
      </c>
      <c r="AP79" s="94" t="s">
        <v>2511</v>
      </c>
      <c r="AQ79" s="94" t="s">
        <v>1255</v>
      </c>
      <c r="AR79" s="94" t="s">
        <v>3370</v>
      </c>
      <c r="AS79" s="94" t="s">
        <v>3291</v>
      </c>
      <c r="AT79" s="94" t="s">
        <v>3527</v>
      </c>
      <c r="AU79" s="94" t="s">
        <v>3527</v>
      </c>
      <c r="AV79" s="94" t="s">
        <v>3527</v>
      </c>
      <c r="AW79" s="94" t="s">
        <v>3527</v>
      </c>
      <c r="AX79" s="94"/>
      <c r="AY79" s="94"/>
      <c r="AZ79" s="94"/>
      <c r="BA79" s="94" t="s">
        <v>1460</v>
      </c>
      <c r="BB79" s="94" t="s">
        <v>1460</v>
      </c>
      <c r="BC79" s="94"/>
      <c r="BD79" s="94" t="s">
        <v>1255</v>
      </c>
      <c r="BE79" s="94" t="s">
        <v>3387</v>
      </c>
      <c r="BF79" s="94" t="s">
        <v>1255</v>
      </c>
      <c r="BG79" s="94" t="s">
        <v>1736</v>
      </c>
      <c r="BH79" s="94" t="s">
        <v>882</v>
      </c>
      <c r="BI79" s="94" t="s">
        <v>882</v>
      </c>
      <c r="BJ79" s="94" t="s">
        <v>1368</v>
      </c>
      <c r="BK79" s="94" t="s">
        <v>1327</v>
      </c>
      <c r="BL79" s="94" t="s">
        <v>774</v>
      </c>
      <c r="BM79" s="94" t="s">
        <v>3215</v>
      </c>
      <c r="BN79" s="94" t="s">
        <v>3215</v>
      </c>
      <c r="BO79" s="94" t="s">
        <v>3420</v>
      </c>
      <c r="BP79" s="94" t="s">
        <v>2149</v>
      </c>
      <c r="BQ79" s="94" t="s">
        <v>2176</v>
      </c>
      <c r="BR79" s="94" t="s">
        <v>1598</v>
      </c>
      <c r="BS79" s="94" t="s">
        <v>1598</v>
      </c>
      <c r="BT79" s="94"/>
    </row>
    <row r="80" spans="1:72" s="2" customFormat="1" ht="18">
      <c r="A80" s="53" t="s">
        <v>5189</v>
      </c>
      <c r="B80" s="73" t="s">
        <v>39</v>
      </c>
      <c r="C80" s="73" t="s">
        <v>39</v>
      </c>
      <c r="D80" s="73" t="s">
        <v>39</v>
      </c>
      <c r="E80" s="73"/>
      <c r="F80" s="53" t="s">
        <v>5189</v>
      </c>
      <c r="G80" s="184"/>
      <c r="H80" s="184"/>
      <c r="I80" s="184"/>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4"/>
      <c r="BM80" s="184"/>
      <c r="BN80" s="184"/>
      <c r="BO80" s="73"/>
      <c r="BP80" s="73"/>
      <c r="BQ80" s="184"/>
      <c r="BR80" s="184"/>
      <c r="BS80" s="184"/>
      <c r="BT80" s="184"/>
    </row>
    <row r="81" spans="1:72" s="2" customFormat="1" ht="9" customHeight="1">
      <c r="A81" s="95"/>
      <c r="B81" s="94" t="s">
        <v>5058</v>
      </c>
      <c r="C81" s="94" t="s">
        <v>5058</v>
      </c>
      <c r="D81" s="94" t="s">
        <v>4906</v>
      </c>
      <c r="E81" s="94"/>
      <c r="F81" s="95"/>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94"/>
      <c r="BP81" s="94"/>
      <c r="BQ81" s="183"/>
      <c r="BR81" s="183"/>
      <c r="BS81" s="183"/>
      <c r="BT81" s="183"/>
    </row>
    <row r="82" spans="1:72" ht="18">
      <c r="A82" s="53" t="s">
        <v>5212</v>
      </c>
      <c r="B82" s="54" t="s">
        <v>5213</v>
      </c>
      <c r="C82" s="54" t="s">
        <v>5213</v>
      </c>
      <c r="D82" s="54" t="s">
        <v>39</v>
      </c>
      <c r="E82" s="54"/>
      <c r="F82" s="53" t="s">
        <v>4777</v>
      </c>
      <c r="BO82" s="200"/>
      <c r="BP82" s="200"/>
    </row>
    <row r="83" spans="1:72" ht="9" customHeight="1">
      <c r="A83" s="95" t="s">
        <v>688</v>
      </c>
      <c r="B83" s="94" t="s">
        <v>5061</v>
      </c>
      <c r="C83" s="94" t="s">
        <v>5061</v>
      </c>
      <c r="D83" s="94" t="s">
        <v>5059</v>
      </c>
      <c r="E83" s="94"/>
      <c r="F83" s="95" t="s">
        <v>688</v>
      </c>
      <c r="BO83" s="94"/>
      <c r="BP83" s="94"/>
    </row>
    <row r="84" spans="1:72" s="14" customFormat="1" ht="45">
      <c r="A84" s="53" t="s">
        <v>5790</v>
      </c>
      <c r="B84" s="54" t="s">
        <v>4968</v>
      </c>
      <c r="C84" s="54" t="s">
        <v>4968</v>
      </c>
      <c r="D84" s="54" t="s">
        <v>4293</v>
      </c>
      <c r="E84" s="54"/>
      <c r="F84" s="187" t="s">
        <v>5790</v>
      </c>
      <c r="G84" s="188" t="s">
        <v>4280</v>
      </c>
      <c r="H84" s="188" t="s">
        <v>4269</v>
      </c>
      <c r="I84" s="188" t="s">
        <v>4270</v>
      </c>
      <c r="J84" s="188" t="s">
        <v>4271</v>
      </c>
      <c r="K84" s="188" t="s">
        <v>4271</v>
      </c>
      <c r="L84" s="188" t="s">
        <v>39</v>
      </c>
      <c r="M84" s="188" t="s">
        <v>4273</v>
      </c>
      <c r="N84" s="188" t="s">
        <v>4273</v>
      </c>
      <c r="O84" s="188" t="s">
        <v>4209</v>
      </c>
      <c r="P84" s="188" t="s">
        <v>4209</v>
      </c>
      <c r="Q84" s="188" t="s">
        <v>4276</v>
      </c>
      <c r="R84" s="188" t="s">
        <v>4209</v>
      </c>
      <c r="S84" s="188" t="s">
        <v>4209</v>
      </c>
      <c r="T84" s="188" t="s">
        <v>4209</v>
      </c>
      <c r="U84" s="188" t="s">
        <v>4209</v>
      </c>
      <c r="V84" s="188" t="s">
        <v>4209</v>
      </c>
      <c r="W84" s="188" t="s">
        <v>4280</v>
      </c>
      <c r="X84" s="188" t="s">
        <v>4209</v>
      </c>
      <c r="Y84" s="188" t="s">
        <v>4209</v>
      </c>
      <c r="Z84" s="188" t="s">
        <v>4283</v>
      </c>
      <c r="AA84" s="188" t="s">
        <v>4283</v>
      </c>
      <c r="AB84" s="188" t="s">
        <v>4279</v>
      </c>
      <c r="AC84" s="188" t="s">
        <v>4284</v>
      </c>
      <c r="AD84" s="188" t="s">
        <v>4209</v>
      </c>
      <c r="AE84" s="188" t="s">
        <v>4285</v>
      </c>
      <c r="AF84" s="188" t="s">
        <v>4287</v>
      </c>
      <c r="AG84" s="188" t="s">
        <v>4209</v>
      </c>
      <c r="AH84" s="188" t="s">
        <v>4209</v>
      </c>
      <c r="AI84" s="188" t="s">
        <v>4209</v>
      </c>
      <c r="AJ84" s="188" t="s">
        <v>4209</v>
      </c>
      <c r="AK84" s="188" t="s">
        <v>4289</v>
      </c>
      <c r="AL84" s="188" t="s">
        <v>4288</v>
      </c>
      <c r="AM84" s="188" t="s">
        <v>4209</v>
      </c>
      <c r="AN84" s="188" t="s">
        <v>4209</v>
      </c>
      <c r="AO84" s="188" t="s">
        <v>4291</v>
      </c>
      <c r="AP84" s="188" t="s">
        <v>4291</v>
      </c>
      <c r="AQ84" s="188" t="s">
        <v>4293</v>
      </c>
      <c r="AR84" s="188" t="s">
        <v>4295</v>
      </c>
      <c r="AS84" s="188" t="s">
        <v>4287</v>
      </c>
      <c r="AT84" s="188" t="s">
        <v>4300</v>
      </c>
      <c r="AU84" s="188" t="s">
        <v>4300</v>
      </c>
      <c r="AV84" s="188" t="s">
        <v>4300</v>
      </c>
      <c r="AW84" s="188" t="s">
        <v>4300</v>
      </c>
      <c r="AX84" s="188" t="s">
        <v>4209</v>
      </c>
      <c r="AY84" s="188" t="s">
        <v>4209</v>
      </c>
      <c r="AZ84" s="188" t="s">
        <v>4209</v>
      </c>
      <c r="BA84" s="188" t="s">
        <v>4209</v>
      </c>
      <c r="BB84" s="188" t="s">
        <v>4209</v>
      </c>
      <c r="BC84" s="188" t="s">
        <v>4209</v>
      </c>
      <c r="BD84" s="188" t="s">
        <v>4209</v>
      </c>
      <c r="BE84" s="188" t="s">
        <v>4306</v>
      </c>
      <c r="BF84" s="188" t="s">
        <v>4209</v>
      </c>
      <c r="BG84" s="188" t="s">
        <v>4308</v>
      </c>
      <c r="BH84" s="188" t="s">
        <v>4309</v>
      </c>
      <c r="BI84" s="188" t="s">
        <v>4309</v>
      </c>
      <c r="BJ84" s="188" t="s">
        <v>4312</v>
      </c>
      <c r="BK84" s="188" t="s">
        <v>4312</v>
      </c>
      <c r="BL84" s="188" t="s">
        <v>4209</v>
      </c>
      <c r="BM84" s="188" t="s">
        <v>4209</v>
      </c>
      <c r="BN84" s="188" t="s">
        <v>4209</v>
      </c>
      <c r="BO84" s="188" t="s">
        <v>4315</v>
      </c>
      <c r="BP84" s="188" t="s">
        <v>4315</v>
      </c>
      <c r="BQ84" s="188"/>
      <c r="BR84" s="188"/>
      <c r="BS84" s="188" t="s">
        <v>4320</v>
      </c>
      <c r="BT84" s="188"/>
    </row>
    <row r="85" spans="1:72" s="2" customFormat="1" ht="9" customHeight="1">
      <c r="A85" s="95" t="s">
        <v>688</v>
      </c>
      <c r="B85" s="94" t="s">
        <v>5062</v>
      </c>
      <c r="C85" s="94" t="s">
        <v>5062</v>
      </c>
      <c r="D85" s="94" t="s">
        <v>4908</v>
      </c>
      <c r="E85" s="94"/>
      <c r="F85" s="95" t="s">
        <v>688</v>
      </c>
      <c r="G85" s="94"/>
      <c r="H85" s="94" t="s">
        <v>1219</v>
      </c>
      <c r="I85" s="94" t="s">
        <v>2745</v>
      </c>
      <c r="J85" s="94" t="s">
        <v>4277</v>
      </c>
      <c r="K85" s="94" t="s">
        <v>4277</v>
      </c>
      <c r="L85" s="94"/>
      <c r="M85" s="94" t="s">
        <v>4278</v>
      </c>
      <c r="N85" s="94" t="s">
        <v>4275</v>
      </c>
      <c r="O85" s="94"/>
      <c r="P85" s="94"/>
      <c r="Q85" s="94"/>
      <c r="R85" s="94"/>
      <c r="S85" s="94"/>
      <c r="T85" s="94"/>
      <c r="U85" s="94"/>
      <c r="V85" s="94"/>
      <c r="W85" s="94"/>
      <c r="X85" s="94"/>
      <c r="Y85" s="94"/>
      <c r="Z85" s="94" t="s">
        <v>4282</v>
      </c>
      <c r="AA85" s="94" t="s">
        <v>4281</v>
      </c>
      <c r="AB85" s="94" t="s">
        <v>4281</v>
      </c>
      <c r="AC85" s="94" t="s">
        <v>1235</v>
      </c>
      <c r="AD85" s="94"/>
      <c r="AE85" s="94" t="s">
        <v>3812</v>
      </c>
      <c r="AF85" s="94"/>
      <c r="AG85" s="94"/>
      <c r="AH85" s="94"/>
      <c r="AI85" s="94"/>
      <c r="AJ85" s="94"/>
      <c r="AK85" s="94" t="s">
        <v>1233</v>
      </c>
      <c r="AL85" s="94" t="s">
        <v>2761</v>
      </c>
      <c r="AM85" s="94"/>
      <c r="AN85" s="94"/>
      <c r="AO85" s="94" t="s">
        <v>1326</v>
      </c>
      <c r="AP85" s="94" t="s">
        <v>4292</v>
      </c>
      <c r="AQ85" s="94" t="s">
        <v>4294</v>
      </c>
      <c r="AR85" s="94" t="s">
        <v>4296</v>
      </c>
      <c r="AS85" s="94" t="s">
        <v>4297</v>
      </c>
      <c r="AT85" s="94" t="s">
        <v>4301</v>
      </c>
      <c r="AU85" s="94"/>
      <c r="AV85" s="94" t="s">
        <v>4301</v>
      </c>
      <c r="AW85" s="94" t="s">
        <v>4301</v>
      </c>
      <c r="AX85" s="94"/>
      <c r="AY85" s="94"/>
      <c r="AZ85" s="94"/>
      <c r="BA85" s="94"/>
      <c r="BB85" s="94"/>
      <c r="BC85" s="94"/>
      <c r="BD85" s="94"/>
      <c r="BE85" s="94" t="s">
        <v>2749</v>
      </c>
      <c r="BF85" s="94"/>
      <c r="BG85" s="94" t="s">
        <v>3384</v>
      </c>
      <c r="BH85" s="94"/>
      <c r="BI85" s="94"/>
      <c r="BJ85" s="94" t="s">
        <v>4313</v>
      </c>
      <c r="BK85" s="94" t="s">
        <v>4314</v>
      </c>
      <c r="BL85" s="94"/>
      <c r="BM85" s="94"/>
      <c r="BN85" s="94"/>
      <c r="BO85" s="94" t="s">
        <v>4316</v>
      </c>
      <c r="BP85" s="94" t="s">
        <v>4316</v>
      </c>
      <c r="BQ85" s="94"/>
      <c r="BR85" s="94"/>
      <c r="BS85" s="94" t="s">
        <v>1216</v>
      </c>
      <c r="BT85" s="94"/>
    </row>
    <row r="86" spans="1:72" s="2" customFormat="1" ht="27">
      <c r="A86" s="53" t="s">
        <v>6232</v>
      </c>
      <c r="B86" s="48" t="s">
        <v>5455</v>
      </c>
      <c r="C86" s="48" t="s">
        <v>5455</v>
      </c>
      <c r="D86" s="48" t="s">
        <v>41</v>
      </c>
      <c r="E86" s="48"/>
      <c r="F86" s="53" t="s">
        <v>5042</v>
      </c>
      <c r="G86" s="184"/>
      <c r="H86" s="184"/>
      <c r="I86" s="184"/>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73"/>
      <c r="BP86" s="73"/>
      <c r="BQ86" s="184"/>
      <c r="BR86" s="184"/>
      <c r="BS86" s="184"/>
      <c r="BT86" s="184"/>
    </row>
    <row r="87" spans="1:72" s="2" customFormat="1" ht="9" customHeight="1">
      <c r="A87" s="95" t="s">
        <v>688</v>
      </c>
      <c r="B87" s="91" t="s">
        <v>5103</v>
      </c>
      <c r="C87" s="91" t="s">
        <v>5103</v>
      </c>
      <c r="D87" s="91" t="s">
        <v>4907</v>
      </c>
      <c r="E87" s="91"/>
      <c r="F87" s="95" t="s">
        <v>688</v>
      </c>
      <c r="G87" s="183"/>
      <c r="H87" s="183"/>
      <c r="I87" s="183"/>
      <c r="J87" s="183"/>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3"/>
      <c r="AQ87" s="183"/>
      <c r="AR87" s="183"/>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94"/>
      <c r="BP87" s="94"/>
      <c r="BQ87" s="183"/>
      <c r="BR87" s="183"/>
      <c r="BS87" s="183"/>
      <c r="BT87" s="183"/>
    </row>
    <row r="88" spans="1:72" ht="18">
      <c r="A88" s="53" t="s">
        <v>5210</v>
      </c>
      <c r="B88" s="48" t="s">
        <v>39</v>
      </c>
      <c r="C88" s="48" t="s">
        <v>39</v>
      </c>
      <c r="D88" s="48" t="s">
        <v>39</v>
      </c>
      <c r="E88" s="48"/>
      <c r="F88" s="53" t="s">
        <v>4785</v>
      </c>
      <c r="BO88" s="200"/>
      <c r="BP88" s="200"/>
    </row>
    <row r="89" spans="1:72" ht="9" customHeight="1">
      <c r="A89" s="95" t="s">
        <v>688</v>
      </c>
      <c r="B89" s="91" t="s">
        <v>4967</v>
      </c>
      <c r="C89" s="91" t="s">
        <v>4967</v>
      </c>
      <c r="D89" s="91" t="s">
        <v>4907</v>
      </c>
      <c r="E89" s="91"/>
      <c r="F89" s="95" t="s">
        <v>688</v>
      </c>
      <c r="BO89" s="91"/>
      <c r="BP89" s="91"/>
    </row>
    <row r="90" spans="1:72" ht="9" customHeight="1">
      <c r="A90" s="11"/>
      <c r="B90" s="204"/>
      <c r="C90" s="204"/>
      <c r="D90" s="204"/>
      <c r="E90" s="246"/>
    </row>
    <row r="91" spans="1:72" s="2" customFormat="1" ht="20.100000000000001" customHeight="1">
      <c r="A91" s="176" t="s">
        <v>6243</v>
      </c>
      <c r="B91" s="202" t="str">
        <f>B11</f>
        <v xml:space="preserve">Interlloyd Premium Plus </v>
      </c>
      <c r="C91" s="202" t="str">
        <f>C11</f>
        <v xml:space="preserve">Interlloyd Premium Plus HB </v>
      </c>
      <c r="D91" s="202" t="str">
        <f>D11</f>
        <v>Interlloyd Protect</v>
      </c>
      <c r="E91" s="202"/>
      <c r="F91" s="176" t="s">
        <v>4993</v>
      </c>
      <c r="G91" s="202" t="str">
        <f>G1</f>
        <v>Alte Leipziger XXL</v>
      </c>
      <c r="H91" s="202" t="str">
        <f t="shared" ref="H91:BS91" si="2">H1</f>
        <v>Ammerländer Excellent</v>
      </c>
      <c r="I91" s="202" t="str">
        <f t="shared" si="2"/>
        <v>Ammerländer Exclusiv</v>
      </c>
      <c r="J91" s="202" t="str">
        <f t="shared" si="2"/>
        <v>ARAG Komfort</v>
      </c>
      <c r="K91" s="202" t="str">
        <f t="shared" si="2"/>
        <v>ARAG Premium</v>
      </c>
      <c r="L91" s="202" t="str">
        <f t="shared" si="2"/>
        <v>AXA Komfort ohne BR</v>
      </c>
      <c r="M91" s="202" t="str">
        <f t="shared" si="2"/>
        <v>Baden Badener Top 2013</v>
      </c>
      <c r="N91" s="202" t="str">
        <f t="shared" si="2"/>
        <v>Basler UnfallProtect - Max</v>
      </c>
      <c r="O91" s="202" t="str">
        <f t="shared" si="2"/>
        <v>Condor Comfort</v>
      </c>
      <c r="P91" s="202" t="str">
        <f t="shared" si="2"/>
        <v>Condor Premium</v>
      </c>
      <c r="Q91" s="202" t="str">
        <f t="shared" si="2"/>
        <v>Cosmos Comfort-Schutz</v>
      </c>
      <c r="R91" s="202" t="str">
        <f t="shared" si="2"/>
        <v>Cosmos Comfort-Schutz Plus</v>
      </c>
      <c r="S91" s="202" t="str">
        <f t="shared" si="2"/>
        <v>Debeka</v>
      </c>
      <c r="T91" s="202" t="str">
        <f t="shared" si="2"/>
        <v>DEVK Komplett</v>
      </c>
      <c r="U91" s="202" t="str">
        <f t="shared" si="2"/>
        <v>die Bayerische Komfort</v>
      </c>
      <c r="V91" s="202" t="str">
        <f t="shared" si="2"/>
        <v>die Bayerische Standard</v>
      </c>
      <c r="W91" s="202" t="str">
        <f t="shared" si="2"/>
        <v>ERGO Unfallschutz Familie</v>
      </c>
      <c r="X91" s="202" t="str">
        <f t="shared" si="2"/>
        <v>GDV Musterbedingungen</v>
      </c>
      <c r="Y91" s="202" t="str">
        <f t="shared" si="2"/>
        <v>Generali Komfort Plus</v>
      </c>
      <c r="Z91" s="202" t="str">
        <f t="shared" si="2"/>
        <v>Gothaer Unfall 2014</v>
      </c>
      <c r="AA91" s="202" t="str">
        <f t="shared" si="2"/>
        <v>Gothaer UnfallTop 2014</v>
      </c>
      <c r="AB91" s="202" t="str">
        <f t="shared" si="2"/>
        <v>Gothaer UnfallTop 2014 Plus</v>
      </c>
      <c r="AC91" s="202" t="str">
        <f t="shared" si="2"/>
        <v>Häger Top</v>
      </c>
      <c r="AD91" s="202" t="str">
        <f t="shared" si="2"/>
        <v>HanseMerkur Grund-Schutz</v>
      </c>
      <c r="AE91" s="202" t="str">
        <f t="shared" si="2"/>
        <v>HanseMerkur Kompakt-Schutz</v>
      </c>
      <c r="AF91" s="202" t="str">
        <f t="shared" si="2"/>
        <v>HanseMerkur Top-Schutz</v>
      </c>
      <c r="AG91" s="202" t="str">
        <f t="shared" si="2"/>
        <v>HDI</v>
      </c>
      <c r="AH91" s="202" t="str">
        <f t="shared" si="2"/>
        <v>Helvetia Komfort</v>
      </c>
      <c r="AI91" s="202" t="str">
        <f t="shared" si="2"/>
        <v>HKD Basisschutz</v>
      </c>
      <c r="AJ91" s="202" t="str">
        <f t="shared" si="2"/>
        <v>HKD Komfortschutz</v>
      </c>
      <c r="AK91" s="202" t="str">
        <f t="shared" si="2"/>
        <v>HKD Komfortschutz Plus</v>
      </c>
      <c r="AL91" s="202" t="str">
        <f t="shared" si="2"/>
        <v>HKD Vollschutz</v>
      </c>
      <c r="AM91" s="202" t="str">
        <f t="shared" si="2"/>
        <v>Ideal Unfall Rente Exklusiv</v>
      </c>
      <c r="AN91" s="202" t="str">
        <f t="shared" si="2"/>
        <v>Interlloyd AUB 2000</v>
      </c>
      <c r="AO91" s="202" t="str">
        <f t="shared" si="2"/>
        <v>Interlloyd Premium</v>
      </c>
      <c r="AP91" s="202" t="str">
        <f t="shared" si="2"/>
        <v>Interlloyd Premium Plus</v>
      </c>
      <c r="AQ91" s="202" t="str">
        <f t="shared" si="2"/>
        <v>Interlloyd Protect</v>
      </c>
      <c r="AR91" s="202" t="str">
        <f t="shared" si="2"/>
        <v>Interrisk XL (Plus-Taxe)</v>
      </c>
      <c r="AS91" s="202" t="str">
        <f t="shared" si="2"/>
        <v>Interrisk XXL (Maxi-Taxe)</v>
      </c>
      <c r="AT91" s="202" t="str">
        <f t="shared" si="2"/>
        <v>Janitos Balance</v>
      </c>
      <c r="AU91" s="202" t="str">
        <f t="shared" si="2"/>
        <v>Janitos Balance Plus</v>
      </c>
      <c r="AV91" s="202" t="str">
        <f t="shared" si="2"/>
        <v>Janitos Best Selection</v>
      </c>
      <c r="AW91" s="202" t="str">
        <f t="shared" si="2"/>
        <v>Janitos Best Selection Plus</v>
      </c>
      <c r="AX91" s="202" t="str">
        <f t="shared" si="2"/>
        <v>Keine</v>
      </c>
      <c r="AY91" s="202" t="str">
        <f t="shared" si="2"/>
        <v>KRAVAG Familien-UV 2011</v>
      </c>
      <c r="AZ91" s="202" t="str">
        <f t="shared" si="2"/>
        <v>KRAVAG Gruppen-UV 2011</v>
      </c>
      <c r="BA91" s="202" t="str">
        <f t="shared" si="2"/>
        <v>nationale suisse Komfort</v>
      </c>
      <c r="BB91" s="202" t="str">
        <f t="shared" si="2"/>
        <v>nationale suisse Premium</v>
      </c>
      <c r="BC91" s="202" t="str">
        <f t="shared" si="2"/>
        <v>Nürnberger</v>
      </c>
      <c r="BD91" s="202" t="str">
        <f t="shared" si="2"/>
        <v>Öffentliche Braunschweig Spezial</v>
      </c>
      <c r="BE91" s="202" t="str">
        <f t="shared" si="2"/>
        <v>Prokundo Unfall</v>
      </c>
      <c r="BF91" s="202" t="str">
        <f t="shared" si="2"/>
        <v>Provinzial Rundumschutz</v>
      </c>
      <c r="BG91" s="202" t="str">
        <f t="shared" si="2"/>
        <v>R+V PrivatPolice Comfort</v>
      </c>
      <c r="BH91" s="202" t="str">
        <f t="shared" si="2"/>
        <v>Signal Iduna Exklusiv</v>
      </c>
      <c r="BI91" s="202" t="str">
        <f t="shared" si="2"/>
        <v>Signal Iduna Exklusiv (ÖD)
z.B. PVAG, VÖDAG</v>
      </c>
      <c r="BJ91" s="202" t="str">
        <f t="shared" si="2"/>
        <v>SLP Primus</v>
      </c>
      <c r="BK91" s="202" t="str">
        <f t="shared" si="2"/>
        <v>SLP Primus Plus</v>
      </c>
      <c r="BL91" s="202" t="str">
        <f t="shared" si="2"/>
        <v>Stuttgarter 1000Plus</v>
      </c>
      <c r="BM91" s="202" t="str">
        <f t="shared" si="2"/>
        <v>VdVA Classic</v>
      </c>
      <c r="BN91" s="202" t="str">
        <f t="shared" si="2"/>
        <v>VdVA Exclusiv</v>
      </c>
      <c r="BO91" s="202" t="str">
        <f t="shared" si="2"/>
        <v>VHV Klassik Garant 
2017-06</v>
      </c>
      <c r="BP91" s="202" t="str">
        <f t="shared" si="2"/>
        <v>VHV Klassik Garant Exklusiv
2017-06</v>
      </c>
      <c r="BQ91" s="202" t="str">
        <f t="shared" si="2"/>
        <v>WÜBA Unfall AKTIV Premium</v>
      </c>
      <c r="BR91" s="202" t="str">
        <f t="shared" si="2"/>
        <v>Württembergische Platinum</v>
      </c>
      <c r="BS91" s="202" t="str">
        <f t="shared" si="2"/>
        <v>Württembergische Premium</v>
      </c>
      <c r="BT91" s="202" t="str">
        <f t="shared" ref="BT91" si="3">BT1</f>
        <v>Zurich Makler Top-Schutz</v>
      </c>
    </row>
    <row r="92" spans="1:72" s="14" customFormat="1" ht="27">
      <c r="A92" s="53" t="s">
        <v>4995</v>
      </c>
      <c r="B92" s="116" t="s">
        <v>5118</v>
      </c>
      <c r="C92" s="116" t="s">
        <v>5118</v>
      </c>
      <c r="D92" s="116" t="s">
        <v>5075</v>
      </c>
      <c r="E92" s="116"/>
      <c r="F92" s="53" t="s">
        <v>27</v>
      </c>
      <c r="G92" s="54" t="s">
        <v>266</v>
      </c>
      <c r="H92" s="54" t="s">
        <v>3136</v>
      </c>
      <c r="I92" s="54" t="s">
        <v>3137</v>
      </c>
      <c r="J92" s="79" t="s">
        <v>1915</v>
      </c>
      <c r="K92" s="79" t="s">
        <v>1916</v>
      </c>
      <c r="L92" s="54" t="s">
        <v>646</v>
      </c>
      <c r="M92" s="123" t="s">
        <v>2631</v>
      </c>
      <c r="N92" s="54" t="s">
        <v>2687</v>
      </c>
      <c r="O92" s="54" t="s">
        <v>2771</v>
      </c>
      <c r="P92" s="54" t="s">
        <v>2746</v>
      </c>
      <c r="Q92" s="54" t="s">
        <v>3044</v>
      </c>
      <c r="R92" s="54" t="s">
        <v>3044</v>
      </c>
      <c r="S92" s="54" t="s">
        <v>39</v>
      </c>
      <c r="T92" s="54" t="s">
        <v>2802</v>
      </c>
      <c r="U92" s="54" t="s">
        <v>3814</v>
      </c>
      <c r="V92" s="54" t="s">
        <v>102</v>
      </c>
      <c r="W92" s="54" t="s">
        <v>1668</v>
      </c>
      <c r="X92" s="54" t="s">
        <v>39</v>
      </c>
      <c r="Y92" s="54" t="s">
        <v>3702</v>
      </c>
      <c r="Z92" s="123" t="s">
        <v>4093</v>
      </c>
      <c r="AA92" s="123" t="s">
        <v>4092</v>
      </c>
      <c r="AB92" s="123" t="s">
        <v>4091</v>
      </c>
      <c r="AC92" s="54" t="s">
        <v>806</v>
      </c>
      <c r="AD92" s="54" t="s">
        <v>39</v>
      </c>
      <c r="AE92" s="54" t="s">
        <v>3897</v>
      </c>
      <c r="AF92" s="54" t="s">
        <v>3898</v>
      </c>
      <c r="AG92" s="54" t="s">
        <v>4193</v>
      </c>
      <c r="AH92" s="54" t="s">
        <v>3663</v>
      </c>
      <c r="AI92" s="54" t="s">
        <v>65</v>
      </c>
      <c r="AJ92" s="54" t="s">
        <v>65</v>
      </c>
      <c r="AK92" s="54" t="s">
        <v>2333</v>
      </c>
      <c r="AL92" s="54" t="s">
        <v>2272</v>
      </c>
      <c r="AM92" s="54" t="s">
        <v>1142</v>
      </c>
      <c r="AN92" s="54" t="s">
        <v>160</v>
      </c>
      <c r="AO92" s="54" t="s">
        <v>1769</v>
      </c>
      <c r="AP92" s="54" t="s">
        <v>2480</v>
      </c>
      <c r="AQ92" s="54" t="s">
        <v>25</v>
      </c>
      <c r="AR92" s="54" t="s">
        <v>65</v>
      </c>
      <c r="AS92" s="54" t="s">
        <v>1772</v>
      </c>
      <c r="AT92" s="54" t="s">
        <v>3567</v>
      </c>
      <c r="AU92" s="54" t="s">
        <v>3439</v>
      </c>
      <c r="AV92" s="54" t="s">
        <v>3429</v>
      </c>
      <c r="AW92" s="54" t="s">
        <v>3439</v>
      </c>
      <c r="AX92" s="54" t="s">
        <v>39</v>
      </c>
      <c r="AY92" s="54" t="s">
        <v>64</v>
      </c>
      <c r="AZ92" s="54" t="s">
        <v>64</v>
      </c>
      <c r="BA92" s="54" t="s">
        <v>1502</v>
      </c>
      <c r="BB92" s="79" t="s">
        <v>1466</v>
      </c>
      <c r="BC92" s="54" t="s">
        <v>65</v>
      </c>
      <c r="BD92" s="54" t="s">
        <v>1230</v>
      </c>
      <c r="BE92" s="54" t="s">
        <v>61</v>
      </c>
      <c r="BF92" s="54" t="s">
        <v>298</v>
      </c>
      <c r="BG92" s="54" t="s">
        <v>2771</v>
      </c>
      <c r="BH92" s="54" t="s">
        <v>2924</v>
      </c>
      <c r="BI92" s="54" t="s">
        <v>2924</v>
      </c>
      <c r="BJ92" s="54" t="s">
        <v>1357</v>
      </c>
      <c r="BK92" s="54" t="s">
        <v>1282</v>
      </c>
      <c r="BL92" s="79" t="s">
        <v>3006</v>
      </c>
      <c r="BM92" s="79" t="s">
        <v>3256</v>
      </c>
      <c r="BN92" s="79" t="s">
        <v>3231</v>
      </c>
      <c r="BO92" s="54" t="s">
        <v>3417</v>
      </c>
      <c r="BP92" s="54" t="s">
        <v>1776</v>
      </c>
      <c r="BQ92" s="54" t="s">
        <v>2192</v>
      </c>
      <c r="BR92" s="54" t="s">
        <v>1628</v>
      </c>
      <c r="BS92" s="54" t="s">
        <v>1628</v>
      </c>
      <c r="BT92" s="54" t="s">
        <v>429</v>
      </c>
    </row>
    <row r="93" spans="1:72" s="2" customFormat="1" ht="9" customHeight="1">
      <c r="A93" s="95" t="s">
        <v>688</v>
      </c>
      <c r="B93" s="94" t="s">
        <v>5112</v>
      </c>
      <c r="C93" s="94" t="s">
        <v>5112</v>
      </c>
      <c r="D93" s="94" t="s">
        <v>4887</v>
      </c>
      <c r="E93" s="94"/>
      <c r="F93" s="95" t="s">
        <v>688</v>
      </c>
      <c r="G93" s="94"/>
      <c r="H93" s="94" t="s">
        <v>3135</v>
      </c>
      <c r="I93" s="94" t="s">
        <v>3133</v>
      </c>
      <c r="J93" s="94" t="s">
        <v>1939</v>
      </c>
      <c r="K93" s="94" t="s">
        <v>1964</v>
      </c>
      <c r="L93" s="94"/>
      <c r="M93" s="94" t="s">
        <v>2665</v>
      </c>
      <c r="N93" s="94" t="s">
        <v>2702</v>
      </c>
      <c r="O93" s="94" t="s">
        <v>2770</v>
      </c>
      <c r="P93" s="94" t="s">
        <v>2747</v>
      </c>
      <c r="Q93" s="94" t="s">
        <v>3045</v>
      </c>
      <c r="R93" s="94" t="s">
        <v>3045</v>
      </c>
      <c r="S93" s="94" t="s">
        <v>39</v>
      </c>
      <c r="T93" s="94" t="s">
        <v>2803</v>
      </c>
      <c r="U93" s="94" t="s">
        <v>3813</v>
      </c>
      <c r="V93" s="94" t="s">
        <v>1291</v>
      </c>
      <c r="W93" s="94" t="s">
        <v>1669</v>
      </c>
      <c r="X93" s="94" t="s">
        <v>39</v>
      </c>
      <c r="Y93" s="94" t="s">
        <v>3709</v>
      </c>
      <c r="Z93" s="94" t="s">
        <v>4063</v>
      </c>
      <c r="AA93" s="94" t="s">
        <v>4064</v>
      </c>
      <c r="AB93" s="94" t="s">
        <v>4090</v>
      </c>
      <c r="AC93" s="94" t="s">
        <v>2944</v>
      </c>
      <c r="AD93" s="94" t="s">
        <v>3899</v>
      </c>
      <c r="AE93" s="94" t="s">
        <v>3899</v>
      </c>
      <c r="AF93" s="94" t="s">
        <v>3899</v>
      </c>
      <c r="AG93" s="94" t="s">
        <v>4194</v>
      </c>
      <c r="AH93" s="94" t="s">
        <v>1242</v>
      </c>
      <c r="AI93" s="94" t="s">
        <v>2418</v>
      </c>
      <c r="AJ93" s="94" t="s">
        <v>2381</v>
      </c>
      <c r="AK93" s="94" t="s">
        <v>2332</v>
      </c>
      <c r="AL93" s="94" t="s">
        <v>2271</v>
      </c>
      <c r="AM93" s="94" t="s">
        <v>1141</v>
      </c>
      <c r="AN93" s="94"/>
      <c r="AO93" s="94" t="s">
        <v>2534</v>
      </c>
      <c r="AP93" s="94" t="s">
        <v>2479</v>
      </c>
      <c r="AQ93" s="94" t="s">
        <v>2579</v>
      </c>
      <c r="AR93" s="94" t="s">
        <v>3342</v>
      </c>
      <c r="AS93" s="94" t="s">
        <v>3297</v>
      </c>
      <c r="AT93" s="94" t="s">
        <v>3509</v>
      </c>
      <c r="AU93" s="94" t="s">
        <v>3603</v>
      </c>
      <c r="AV93" s="94" t="s">
        <v>3509</v>
      </c>
      <c r="AW93" s="94" t="s">
        <v>3548</v>
      </c>
      <c r="AX93" s="94"/>
      <c r="AY93" s="94"/>
      <c r="AZ93" s="94"/>
      <c r="BA93" s="94" t="s">
        <v>1512</v>
      </c>
      <c r="BB93" s="94" t="s">
        <v>1511</v>
      </c>
      <c r="BC93" s="94"/>
      <c r="BD93" s="94" t="s">
        <v>2895</v>
      </c>
      <c r="BE93" s="94" t="s">
        <v>3392</v>
      </c>
      <c r="BF93" s="94" t="s">
        <v>2607</v>
      </c>
      <c r="BG93" s="94" t="s">
        <v>2860</v>
      </c>
      <c r="BH93" s="94" t="s">
        <v>842</v>
      </c>
      <c r="BI93" s="94" t="s">
        <v>842</v>
      </c>
      <c r="BJ93" s="94" t="s">
        <v>1281</v>
      </c>
      <c r="BK93" s="94" t="s">
        <v>1281</v>
      </c>
      <c r="BL93" s="94" t="s">
        <v>3000</v>
      </c>
      <c r="BM93" s="94" t="s">
        <v>3255</v>
      </c>
      <c r="BN93" s="94" t="s">
        <v>3255</v>
      </c>
      <c r="BO93" s="94" t="s">
        <v>3416</v>
      </c>
      <c r="BP93" s="94" t="s">
        <v>2109</v>
      </c>
      <c r="BQ93" s="94" t="s">
        <v>2193</v>
      </c>
      <c r="BR93" s="94" t="s">
        <v>1629</v>
      </c>
      <c r="BS93" s="94" t="s">
        <v>1629</v>
      </c>
      <c r="BT93" s="94"/>
    </row>
    <row r="94" spans="1:72" ht="27">
      <c r="A94" s="53" t="s">
        <v>6058</v>
      </c>
      <c r="B94" s="116" t="s">
        <v>5625</v>
      </c>
      <c r="C94" s="116" t="s">
        <v>5625</v>
      </c>
      <c r="D94" s="116" t="s">
        <v>39</v>
      </c>
      <c r="E94" s="116"/>
      <c r="F94" s="53" t="s">
        <v>4799</v>
      </c>
      <c r="BO94" s="200"/>
      <c r="BP94" s="54"/>
    </row>
    <row r="95" spans="1:72" ht="9" customHeight="1">
      <c r="A95" s="95" t="s">
        <v>688</v>
      </c>
      <c r="B95" s="94" t="s">
        <v>5113</v>
      </c>
      <c r="C95" s="94" t="s">
        <v>5113</v>
      </c>
      <c r="D95" s="94" t="s">
        <v>39</v>
      </c>
      <c r="E95" s="94"/>
      <c r="F95" s="95" t="s">
        <v>688</v>
      </c>
      <c r="BO95" s="94"/>
      <c r="BP95" s="94"/>
    </row>
    <row r="96" spans="1:72" s="14" customFormat="1" ht="27">
      <c r="A96" s="53" t="s">
        <v>74</v>
      </c>
      <c r="B96" s="116" t="s">
        <v>5080</v>
      </c>
      <c r="C96" s="116" t="s">
        <v>5080</v>
      </c>
      <c r="D96" s="116" t="s">
        <v>4898</v>
      </c>
      <c r="E96" s="116"/>
      <c r="F96" s="53" t="s">
        <v>74</v>
      </c>
      <c r="G96" s="54" t="s">
        <v>279</v>
      </c>
      <c r="H96" s="54" t="s">
        <v>715</v>
      </c>
      <c r="I96" s="54" t="s">
        <v>715</v>
      </c>
      <c r="J96" s="54" t="s">
        <v>1936</v>
      </c>
      <c r="K96" s="54" t="s">
        <v>1937</v>
      </c>
      <c r="L96" s="54" t="s">
        <v>353</v>
      </c>
      <c r="M96" s="123" t="s">
        <v>2061</v>
      </c>
      <c r="N96" s="54" t="s">
        <v>2485</v>
      </c>
      <c r="O96" s="54" t="s">
        <v>39</v>
      </c>
      <c r="P96" s="54" t="s">
        <v>2748</v>
      </c>
      <c r="Q96" s="54" t="s">
        <v>39</v>
      </c>
      <c r="R96" s="54" t="s">
        <v>39</v>
      </c>
      <c r="S96" s="54" t="s">
        <v>39</v>
      </c>
      <c r="T96" s="54" t="s">
        <v>39</v>
      </c>
      <c r="U96" s="54" t="s">
        <v>3816</v>
      </c>
      <c r="V96" s="54" t="s">
        <v>39</v>
      </c>
      <c r="W96" s="54" t="s">
        <v>1695</v>
      </c>
      <c r="X96" s="54" t="s">
        <v>39</v>
      </c>
      <c r="Y96" s="54" t="s">
        <v>39</v>
      </c>
      <c r="Z96" s="123" t="s">
        <v>39</v>
      </c>
      <c r="AA96" s="123" t="s">
        <v>4068</v>
      </c>
      <c r="AB96" s="123" t="s">
        <v>4068</v>
      </c>
      <c r="AC96" s="54" t="s">
        <v>2266</v>
      </c>
      <c r="AD96" s="54" t="s">
        <v>39</v>
      </c>
      <c r="AE96" s="54" t="s">
        <v>3901</v>
      </c>
      <c r="AF96" s="54" t="s">
        <v>3902</v>
      </c>
      <c r="AG96" s="54" t="s">
        <v>33</v>
      </c>
      <c r="AH96" s="54" t="s">
        <v>3662</v>
      </c>
      <c r="AI96" s="54" t="s">
        <v>39</v>
      </c>
      <c r="AJ96" s="54" t="s">
        <v>39</v>
      </c>
      <c r="AK96" s="54" t="s">
        <v>2266</v>
      </c>
      <c r="AL96" s="54" t="s">
        <v>2266</v>
      </c>
      <c r="AM96" s="54" t="s">
        <v>1164</v>
      </c>
      <c r="AN96" s="54" t="s">
        <v>164</v>
      </c>
      <c r="AO96" s="54" t="s">
        <v>715</v>
      </c>
      <c r="AP96" s="54" t="s">
        <v>2485</v>
      </c>
      <c r="AQ96" s="54" t="s">
        <v>53</v>
      </c>
      <c r="AR96" s="54" t="s">
        <v>3356</v>
      </c>
      <c r="AS96" s="54" t="s">
        <v>2489</v>
      </c>
      <c r="AT96" s="54" t="s">
        <v>2266</v>
      </c>
      <c r="AU96" s="54" t="s">
        <v>2266</v>
      </c>
      <c r="AV96" s="54" t="s">
        <v>2266</v>
      </c>
      <c r="AW96" s="54" t="s">
        <v>2266</v>
      </c>
      <c r="AX96" s="54" t="s">
        <v>39</v>
      </c>
      <c r="AY96" s="54" t="s">
        <v>39</v>
      </c>
      <c r="AZ96" s="54" t="s">
        <v>39</v>
      </c>
      <c r="BA96" s="54" t="s">
        <v>39</v>
      </c>
      <c r="BB96" s="54" t="s">
        <v>33</v>
      </c>
      <c r="BC96" s="54" t="s">
        <v>39</v>
      </c>
      <c r="BD96" s="54" t="s">
        <v>2916</v>
      </c>
      <c r="BE96" s="54" t="s">
        <v>39</v>
      </c>
      <c r="BF96" s="54" t="s">
        <v>2611</v>
      </c>
      <c r="BG96" s="54" t="s">
        <v>39</v>
      </c>
      <c r="BH96" s="54" t="s">
        <v>33</v>
      </c>
      <c r="BI96" s="54" t="s">
        <v>33</v>
      </c>
      <c r="BJ96" s="54" t="s">
        <v>560</v>
      </c>
      <c r="BK96" s="54" t="s">
        <v>1271</v>
      </c>
      <c r="BL96" s="54" t="s">
        <v>778</v>
      </c>
      <c r="BM96" s="54" t="s">
        <v>39</v>
      </c>
      <c r="BN96" s="54" t="s">
        <v>39</v>
      </c>
      <c r="BO96" s="54" t="s">
        <v>2127</v>
      </c>
      <c r="BP96" s="54" t="s">
        <v>2127</v>
      </c>
      <c r="BQ96" s="54" t="s">
        <v>2198</v>
      </c>
      <c r="BR96" s="54" t="s">
        <v>65</v>
      </c>
      <c r="BS96" s="54" t="s">
        <v>61</v>
      </c>
      <c r="BT96" s="54" t="s">
        <v>102</v>
      </c>
    </row>
    <row r="97" spans="1:72" s="2" customFormat="1" ht="9" customHeight="1">
      <c r="A97" s="95" t="s">
        <v>688</v>
      </c>
      <c r="B97" s="94" t="s">
        <v>5114</v>
      </c>
      <c r="C97" s="94" t="s">
        <v>5114</v>
      </c>
      <c r="D97" s="94" t="s">
        <v>4899</v>
      </c>
      <c r="E97" s="94"/>
      <c r="F97" s="95" t="s">
        <v>688</v>
      </c>
      <c r="G97" s="94"/>
      <c r="H97" s="94" t="s">
        <v>3140</v>
      </c>
      <c r="I97" s="94" t="s">
        <v>3139</v>
      </c>
      <c r="J97" s="94" t="s">
        <v>1945</v>
      </c>
      <c r="K97" s="94" t="s">
        <v>1969</v>
      </c>
      <c r="L97" s="94"/>
      <c r="M97" s="94" t="s">
        <v>2664</v>
      </c>
      <c r="N97" s="94" t="s">
        <v>2727</v>
      </c>
      <c r="O97" s="94" t="s">
        <v>39</v>
      </c>
      <c r="P97" s="94" t="s">
        <v>1228</v>
      </c>
      <c r="Q97" s="94" t="s">
        <v>39</v>
      </c>
      <c r="R97" s="94" t="s">
        <v>39</v>
      </c>
      <c r="S97" s="94" t="s">
        <v>39</v>
      </c>
      <c r="T97" s="94" t="s">
        <v>39</v>
      </c>
      <c r="U97" s="94" t="s">
        <v>2498</v>
      </c>
      <c r="V97" s="94" t="s">
        <v>39</v>
      </c>
      <c r="W97" s="94" t="s">
        <v>1699</v>
      </c>
      <c r="X97" s="94" t="s">
        <v>39</v>
      </c>
      <c r="Y97" s="94" t="s">
        <v>39</v>
      </c>
      <c r="Z97" s="94" t="s">
        <v>39</v>
      </c>
      <c r="AA97" s="94" t="s">
        <v>4039</v>
      </c>
      <c r="AB97" s="94" t="s">
        <v>4039</v>
      </c>
      <c r="AC97" s="94" t="s">
        <v>805</v>
      </c>
      <c r="AD97" s="94" t="s">
        <v>39</v>
      </c>
      <c r="AE97" s="94" t="s">
        <v>3903</v>
      </c>
      <c r="AF97" s="94" t="s">
        <v>3904</v>
      </c>
      <c r="AG97" s="94" t="s">
        <v>4202</v>
      </c>
      <c r="AH97" s="94" t="s">
        <v>1237</v>
      </c>
      <c r="AI97" s="94" t="s">
        <v>39</v>
      </c>
      <c r="AJ97" s="94" t="s">
        <v>39</v>
      </c>
      <c r="AK97" s="94" t="s">
        <v>2329</v>
      </c>
      <c r="AL97" s="94" t="s">
        <v>2265</v>
      </c>
      <c r="AM97" s="94" t="s">
        <v>1154</v>
      </c>
      <c r="AN97" s="94"/>
      <c r="AO97" s="94" t="s">
        <v>2540</v>
      </c>
      <c r="AP97" s="94" t="s">
        <v>2484</v>
      </c>
      <c r="AQ97" s="94" t="s">
        <v>2583</v>
      </c>
      <c r="AR97" s="94" t="s">
        <v>3355</v>
      </c>
      <c r="AS97" s="94" t="s">
        <v>3295</v>
      </c>
      <c r="AT97" s="94" t="s">
        <v>3512</v>
      </c>
      <c r="AU97" s="94" t="s">
        <v>3624</v>
      </c>
      <c r="AV97" s="94" t="s">
        <v>3512</v>
      </c>
      <c r="AW97" s="94" t="s">
        <v>3550</v>
      </c>
      <c r="AX97" s="94"/>
      <c r="AY97" s="94"/>
      <c r="AZ97" s="94"/>
      <c r="BA97" s="94" t="s">
        <v>39</v>
      </c>
      <c r="BB97" s="94" t="s">
        <v>1468</v>
      </c>
      <c r="BC97" s="94"/>
      <c r="BD97" s="94" t="s">
        <v>2915</v>
      </c>
      <c r="BE97" s="94" t="s">
        <v>39</v>
      </c>
      <c r="BF97" s="94" t="s">
        <v>2610</v>
      </c>
      <c r="BG97" s="94" t="s">
        <v>39</v>
      </c>
      <c r="BH97" s="94" t="s">
        <v>2925</v>
      </c>
      <c r="BI97" s="94" t="s">
        <v>856</v>
      </c>
      <c r="BJ97" s="94" t="s">
        <v>1352</v>
      </c>
      <c r="BK97" s="94" t="s">
        <v>1268</v>
      </c>
      <c r="BL97" s="94" t="s">
        <v>3011</v>
      </c>
      <c r="BM97" s="94" t="s">
        <v>39</v>
      </c>
      <c r="BN97" s="94" t="s">
        <v>39</v>
      </c>
      <c r="BO97" s="94" t="s">
        <v>2128</v>
      </c>
      <c r="BP97" s="94" t="s">
        <v>2128</v>
      </c>
      <c r="BQ97" s="94" t="s">
        <v>2201</v>
      </c>
      <c r="BR97" s="94" t="s">
        <v>1583</v>
      </c>
      <c r="BS97" s="94" t="s">
        <v>1604</v>
      </c>
      <c r="BT97" s="94"/>
    </row>
    <row r="98" spans="1:72" s="14" customFormat="1" ht="27">
      <c r="A98" s="53" t="s">
        <v>66</v>
      </c>
      <c r="B98" s="116" t="s">
        <v>5081</v>
      </c>
      <c r="C98" s="116" t="s">
        <v>5081</v>
      </c>
      <c r="D98" s="54" t="s">
        <v>39</v>
      </c>
      <c r="E98" s="116"/>
      <c r="F98" s="53" t="s">
        <v>66</v>
      </c>
      <c r="G98" s="54" t="s">
        <v>279</v>
      </c>
      <c r="H98" s="54" t="s">
        <v>33</v>
      </c>
      <c r="I98" s="54" t="s">
        <v>33</v>
      </c>
      <c r="J98" s="54" t="s">
        <v>1936</v>
      </c>
      <c r="K98" s="54" t="s">
        <v>1937</v>
      </c>
      <c r="L98" s="54" t="s">
        <v>353</v>
      </c>
      <c r="M98" s="123" t="s">
        <v>325</v>
      </c>
      <c r="N98" s="54" t="s">
        <v>2724</v>
      </c>
      <c r="O98" s="54" t="s">
        <v>39</v>
      </c>
      <c r="P98" s="54" t="s">
        <v>2762</v>
      </c>
      <c r="Q98" s="54" t="s">
        <v>39</v>
      </c>
      <c r="R98" s="54" t="s">
        <v>39</v>
      </c>
      <c r="S98" s="54" t="s">
        <v>39</v>
      </c>
      <c r="T98" s="54" t="s">
        <v>39</v>
      </c>
      <c r="U98" s="54" t="s">
        <v>3818</v>
      </c>
      <c r="V98" s="54" t="s">
        <v>39</v>
      </c>
      <c r="W98" s="54" t="s">
        <v>39</v>
      </c>
      <c r="X98" s="54" t="s">
        <v>39</v>
      </c>
      <c r="Y98" s="54" t="s">
        <v>39</v>
      </c>
      <c r="Z98" s="123" t="s">
        <v>39</v>
      </c>
      <c r="AA98" s="123" t="s">
        <v>313</v>
      </c>
      <c r="AB98" s="123" t="s">
        <v>313</v>
      </c>
      <c r="AC98" s="54" t="s">
        <v>2943</v>
      </c>
      <c r="AD98" s="54" t="s">
        <v>39</v>
      </c>
      <c r="AE98" s="54" t="s">
        <v>3905</v>
      </c>
      <c r="AF98" s="54" t="s">
        <v>3906</v>
      </c>
      <c r="AG98" s="54" t="s">
        <v>64</v>
      </c>
      <c r="AH98" s="54" t="s">
        <v>3653</v>
      </c>
      <c r="AI98" s="54" t="s">
        <v>39</v>
      </c>
      <c r="AJ98" s="54" t="s">
        <v>39</v>
      </c>
      <c r="AK98" s="54" t="s">
        <v>2491</v>
      </c>
      <c r="AL98" s="54" t="s">
        <v>2490</v>
      </c>
      <c r="AM98" s="54" t="s">
        <v>1155</v>
      </c>
      <c r="AN98" s="54" t="s">
        <v>39</v>
      </c>
      <c r="AO98" s="54" t="s">
        <v>33</v>
      </c>
      <c r="AP98" s="54" t="s">
        <v>2486</v>
      </c>
      <c r="AQ98" s="73" t="s">
        <v>39</v>
      </c>
      <c r="AR98" s="54" t="s">
        <v>65</v>
      </c>
      <c r="AS98" s="54" t="s">
        <v>2487</v>
      </c>
      <c r="AT98" s="54" t="s">
        <v>3573</v>
      </c>
      <c r="AU98" s="54" t="s">
        <v>3572</v>
      </c>
      <c r="AV98" s="54" t="s">
        <v>3606</v>
      </c>
      <c r="AW98" s="54" t="s">
        <v>3572</v>
      </c>
      <c r="AX98" s="54" t="s">
        <v>39</v>
      </c>
      <c r="AY98" s="54" t="s">
        <v>65</v>
      </c>
      <c r="AZ98" s="54" t="s">
        <v>65</v>
      </c>
      <c r="BA98" s="54" t="s">
        <v>39</v>
      </c>
      <c r="BB98" s="54" t="s">
        <v>1470</v>
      </c>
      <c r="BC98" s="54" t="s">
        <v>39</v>
      </c>
      <c r="BD98" s="54" t="s">
        <v>2916</v>
      </c>
      <c r="BE98" s="54" t="s">
        <v>39</v>
      </c>
      <c r="BF98" s="54" t="s">
        <v>39</v>
      </c>
      <c r="BG98" s="54" t="s">
        <v>39</v>
      </c>
      <c r="BH98" s="54" t="s">
        <v>885</v>
      </c>
      <c r="BI98" s="54" t="s">
        <v>885</v>
      </c>
      <c r="BJ98" s="54" t="s">
        <v>1350</v>
      </c>
      <c r="BK98" s="54" t="s">
        <v>1271</v>
      </c>
      <c r="BL98" s="54" t="s">
        <v>777</v>
      </c>
      <c r="BM98" s="54" t="s">
        <v>3257</v>
      </c>
      <c r="BN98" s="54" t="s">
        <v>3237</v>
      </c>
      <c r="BO98" s="54" t="s">
        <v>2127</v>
      </c>
      <c r="BP98" s="54" t="s">
        <v>2127</v>
      </c>
      <c r="BQ98" s="54" t="s">
        <v>2236</v>
      </c>
      <c r="BR98" s="54" t="s">
        <v>946</v>
      </c>
      <c r="BS98" s="54" t="s">
        <v>946</v>
      </c>
      <c r="BT98" s="54" t="s">
        <v>39</v>
      </c>
    </row>
    <row r="99" spans="1:72" s="2" customFormat="1" ht="9" customHeight="1">
      <c r="A99" s="95" t="s">
        <v>688</v>
      </c>
      <c r="B99" s="94" t="s">
        <v>5114</v>
      </c>
      <c r="C99" s="94" t="s">
        <v>5114</v>
      </c>
      <c r="D99" s="94" t="s">
        <v>39</v>
      </c>
      <c r="E99" s="94"/>
      <c r="F99" s="95" t="s">
        <v>688</v>
      </c>
      <c r="G99" s="94"/>
      <c r="H99" s="94" t="s">
        <v>3138</v>
      </c>
      <c r="I99" s="94" t="s">
        <v>3135</v>
      </c>
      <c r="J99" s="94" t="s">
        <v>1945</v>
      </c>
      <c r="K99" s="94" t="s">
        <v>1969</v>
      </c>
      <c r="L99" s="94"/>
      <c r="M99" s="94" t="s">
        <v>2645</v>
      </c>
      <c r="N99" s="94" t="s">
        <v>2728</v>
      </c>
      <c r="O99" s="94" t="s">
        <v>39</v>
      </c>
      <c r="P99" s="94" t="s">
        <v>2761</v>
      </c>
      <c r="Q99" s="94" t="s">
        <v>39</v>
      </c>
      <c r="R99" s="94" t="s">
        <v>39</v>
      </c>
      <c r="S99" s="94" t="s">
        <v>39</v>
      </c>
      <c r="T99" s="94" t="s">
        <v>39</v>
      </c>
      <c r="U99" s="94" t="s">
        <v>3817</v>
      </c>
      <c r="V99" s="94" t="s">
        <v>39</v>
      </c>
      <c r="W99" s="94" t="s">
        <v>39</v>
      </c>
      <c r="X99" s="94" t="s">
        <v>39</v>
      </c>
      <c r="Y99" s="94" t="s">
        <v>39</v>
      </c>
      <c r="Z99" s="94" t="s">
        <v>39</v>
      </c>
      <c r="AA99" s="94" t="s">
        <v>4039</v>
      </c>
      <c r="AB99" s="94" t="s">
        <v>4039</v>
      </c>
      <c r="AC99" s="94" t="s">
        <v>805</v>
      </c>
      <c r="AD99" s="94" t="s">
        <v>39</v>
      </c>
      <c r="AE99" s="94" t="s">
        <v>3907</v>
      </c>
      <c r="AF99" s="94" t="s">
        <v>3908</v>
      </c>
      <c r="AG99" s="94" t="s">
        <v>4201</v>
      </c>
      <c r="AH99" s="94" t="s">
        <v>3683</v>
      </c>
      <c r="AI99" s="94" t="s">
        <v>39</v>
      </c>
      <c r="AJ99" s="94" t="s">
        <v>39</v>
      </c>
      <c r="AK99" s="94" t="s">
        <v>2329</v>
      </c>
      <c r="AL99" s="94" t="s">
        <v>2265</v>
      </c>
      <c r="AM99" s="94" t="s">
        <v>1154</v>
      </c>
      <c r="AN99" s="94"/>
      <c r="AO99" s="94" t="s">
        <v>2540</v>
      </c>
      <c r="AP99" s="94" t="s">
        <v>2484</v>
      </c>
      <c r="AQ99" s="94" t="s">
        <v>39</v>
      </c>
      <c r="AR99" s="94" t="s">
        <v>3352</v>
      </c>
      <c r="AS99" s="94" t="s">
        <v>3294</v>
      </c>
      <c r="AT99" s="94" t="s">
        <v>3571</v>
      </c>
      <c r="AU99" s="94" t="s">
        <v>3605</v>
      </c>
      <c r="AV99" s="94" t="s">
        <v>3513</v>
      </c>
      <c r="AW99" s="94" t="s">
        <v>3551</v>
      </c>
      <c r="AX99" s="94"/>
      <c r="AY99" s="94"/>
      <c r="AZ99" s="94"/>
      <c r="BA99" s="94" t="s">
        <v>39</v>
      </c>
      <c r="BB99" s="94" t="s">
        <v>1469</v>
      </c>
      <c r="BC99" s="94"/>
      <c r="BD99" s="94" t="s">
        <v>2915</v>
      </c>
      <c r="BE99" s="94" t="s">
        <v>39</v>
      </c>
      <c r="BF99" s="94" t="s">
        <v>39</v>
      </c>
      <c r="BG99" s="94" t="s">
        <v>39</v>
      </c>
      <c r="BH99" s="94" t="s">
        <v>886</v>
      </c>
      <c r="BI99" s="94" t="s">
        <v>886</v>
      </c>
      <c r="BJ99" s="94" t="s">
        <v>1351</v>
      </c>
      <c r="BK99" s="94" t="s">
        <v>1270</v>
      </c>
      <c r="BL99" s="94" t="s">
        <v>3012</v>
      </c>
      <c r="BM99" s="94" t="s">
        <v>3236</v>
      </c>
      <c r="BN99" s="94" t="s">
        <v>3238</v>
      </c>
      <c r="BO99" s="94" t="s">
        <v>2128</v>
      </c>
      <c r="BP99" s="94" t="s">
        <v>2128</v>
      </c>
      <c r="BQ99" s="94" t="s">
        <v>2201</v>
      </c>
      <c r="BR99" s="94" t="s">
        <v>1633</v>
      </c>
      <c r="BS99" s="94" t="s">
        <v>1633</v>
      </c>
      <c r="BT99" s="94"/>
    </row>
    <row r="100" spans="1:72" s="14" customFormat="1" ht="27">
      <c r="A100" s="53" t="s">
        <v>6299</v>
      </c>
      <c r="B100" s="116" t="s">
        <v>5082</v>
      </c>
      <c r="C100" s="116" t="s">
        <v>5082</v>
      </c>
      <c r="D100" s="116">
        <v>2500</v>
      </c>
      <c r="E100" s="116"/>
      <c r="F100" s="53" t="s">
        <v>52</v>
      </c>
      <c r="G100" s="54" t="s">
        <v>102</v>
      </c>
      <c r="H100" s="54" t="s">
        <v>190</v>
      </c>
      <c r="I100" s="54" t="s">
        <v>65</v>
      </c>
      <c r="J100" s="54" t="s">
        <v>1971</v>
      </c>
      <c r="K100" s="54" t="s">
        <v>1972</v>
      </c>
      <c r="L100" s="54" t="s">
        <v>39</v>
      </c>
      <c r="M100" s="123" t="s">
        <v>33</v>
      </c>
      <c r="N100" s="54" t="s">
        <v>53</v>
      </c>
      <c r="O100" s="54" t="s">
        <v>39</v>
      </c>
      <c r="P100" s="54" t="s">
        <v>64</v>
      </c>
      <c r="Q100" s="54" t="s">
        <v>39</v>
      </c>
      <c r="R100" s="54" t="s">
        <v>39</v>
      </c>
      <c r="S100" s="54" t="s">
        <v>213</v>
      </c>
      <c r="T100" s="54" t="s">
        <v>213</v>
      </c>
      <c r="U100" s="54" t="s">
        <v>3823</v>
      </c>
      <c r="V100" s="54" t="s">
        <v>39</v>
      </c>
      <c r="W100" s="54" t="s">
        <v>39</v>
      </c>
      <c r="X100" s="54" t="s">
        <v>39</v>
      </c>
      <c r="Y100" s="54" t="s">
        <v>39</v>
      </c>
      <c r="Z100" s="123" t="s">
        <v>39</v>
      </c>
      <c r="AA100" s="123" t="s">
        <v>39</v>
      </c>
      <c r="AB100" s="123" t="s">
        <v>39</v>
      </c>
      <c r="AC100" s="54" t="s">
        <v>61</v>
      </c>
      <c r="AD100" s="54" t="s">
        <v>33</v>
      </c>
      <c r="AE100" s="54" t="s">
        <v>65</v>
      </c>
      <c r="AF100" s="54" t="s">
        <v>42</v>
      </c>
      <c r="AG100" s="54" t="s">
        <v>4195</v>
      </c>
      <c r="AH100" s="54" t="s">
        <v>65</v>
      </c>
      <c r="AI100" s="54" t="s">
        <v>65</v>
      </c>
      <c r="AJ100" s="54" t="s">
        <v>65</v>
      </c>
      <c r="AK100" s="54" t="s">
        <v>138</v>
      </c>
      <c r="AL100" s="54" t="s">
        <v>190</v>
      </c>
      <c r="AM100" s="54" t="s">
        <v>39</v>
      </c>
      <c r="AN100" s="54" t="s">
        <v>163</v>
      </c>
      <c r="AO100" s="54" t="s">
        <v>176</v>
      </c>
      <c r="AP100" s="54" t="s">
        <v>2493</v>
      </c>
      <c r="AQ100" s="54" t="s">
        <v>103</v>
      </c>
      <c r="AR100" s="54" t="s">
        <v>475</v>
      </c>
      <c r="AS100" s="54" t="s">
        <v>41</v>
      </c>
      <c r="AT100" s="54" t="s">
        <v>190</v>
      </c>
      <c r="AU100" s="54" t="s">
        <v>41</v>
      </c>
      <c r="AV100" s="54" t="s">
        <v>3428</v>
      </c>
      <c r="AW100" s="54" t="s">
        <v>41</v>
      </c>
      <c r="AX100" s="54" t="s">
        <v>39</v>
      </c>
      <c r="AY100" s="54" t="s">
        <v>64</v>
      </c>
      <c r="AZ100" s="54" t="s">
        <v>64</v>
      </c>
      <c r="BA100" s="54" t="s">
        <v>102</v>
      </c>
      <c r="BB100" s="54" t="s">
        <v>1427</v>
      </c>
      <c r="BC100" s="54" t="s">
        <v>39</v>
      </c>
      <c r="BD100" s="54" t="s">
        <v>39</v>
      </c>
      <c r="BE100" s="54" t="s">
        <v>39</v>
      </c>
      <c r="BF100" s="54" t="s">
        <v>39</v>
      </c>
      <c r="BG100" s="54" t="s">
        <v>39</v>
      </c>
      <c r="BH100" s="54" t="s">
        <v>33</v>
      </c>
      <c r="BI100" s="54" t="s">
        <v>33</v>
      </c>
      <c r="BJ100" s="54" t="s">
        <v>216</v>
      </c>
      <c r="BK100" s="54" t="s">
        <v>217</v>
      </c>
      <c r="BL100" s="54" t="s">
        <v>3007</v>
      </c>
      <c r="BM100" s="54" t="s">
        <v>103</v>
      </c>
      <c r="BN100" s="54" t="s">
        <v>61</v>
      </c>
      <c r="BO100" s="54" t="s">
        <v>2129</v>
      </c>
      <c r="BP100" s="54" t="s">
        <v>2129</v>
      </c>
      <c r="BQ100" s="54" t="s">
        <v>2197</v>
      </c>
      <c r="BR100" s="54" t="s">
        <v>39</v>
      </c>
      <c r="BS100" s="54" t="s">
        <v>39</v>
      </c>
      <c r="BT100" s="54" t="s">
        <v>428</v>
      </c>
    </row>
    <row r="101" spans="1:72" s="2" customFormat="1" ht="9" customHeight="1">
      <c r="A101" s="95" t="s">
        <v>688</v>
      </c>
      <c r="B101" s="94" t="s">
        <v>5115</v>
      </c>
      <c r="C101" s="94" t="s">
        <v>5115</v>
      </c>
      <c r="D101" s="94" t="s">
        <v>4892</v>
      </c>
      <c r="E101" s="94"/>
      <c r="F101" s="95" t="s">
        <v>688</v>
      </c>
      <c r="G101" s="94"/>
      <c r="H101" s="94" t="s">
        <v>3133</v>
      </c>
      <c r="I101" s="94" t="s">
        <v>3131</v>
      </c>
      <c r="J101" s="94" t="s">
        <v>1946</v>
      </c>
      <c r="K101" s="94" t="s">
        <v>1970</v>
      </c>
      <c r="L101" s="94"/>
      <c r="M101" s="94" t="s">
        <v>2039</v>
      </c>
      <c r="N101" s="94" t="s">
        <v>2719</v>
      </c>
      <c r="O101" s="94" t="s">
        <v>39</v>
      </c>
      <c r="P101" s="94" t="s">
        <v>2757</v>
      </c>
      <c r="Q101" s="94" t="s">
        <v>39</v>
      </c>
      <c r="R101" s="94" t="s">
        <v>39</v>
      </c>
      <c r="S101" s="94" t="s">
        <v>1420</v>
      </c>
      <c r="T101" s="94" t="s">
        <v>2797</v>
      </c>
      <c r="U101" s="94" t="s">
        <v>3822</v>
      </c>
      <c r="V101" s="94" t="s">
        <v>39</v>
      </c>
      <c r="W101" s="94" t="s">
        <v>39</v>
      </c>
      <c r="X101" s="94" t="s">
        <v>39</v>
      </c>
      <c r="Y101" s="94" t="s">
        <v>39</v>
      </c>
      <c r="Z101" s="94" t="s">
        <v>39</v>
      </c>
      <c r="AA101" s="94" t="s">
        <v>39</v>
      </c>
      <c r="AB101" s="94" t="s">
        <v>39</v>
      </c>
      <c r="AC101" s="94" t="s">
        <v>2942</v>
      </c>
      <c r="AD101" s="94" t="s">
        <v>3900</v>
      </c>
      <c r="AE101" s="94" t="s">
        <v>3900</v>
      </c>
      <c r="AF101" s="94" t="s">
        <v>3900</v>
      </c>
      <c r="AG101" s="94" t="s">
        <v>4196</v>
      </c>
      <c r="AH101" s="94" t="s">
        <v>1235</v>
      </c>
      <c r="AI101" s="94" t="s">
        <v>2417</v>
      </c>
      <c r="AJ101" s="94" t="s">
        <v>2380</v>
      </c>
      <c r="AK101" s="94" t="s">
        <v>2322</v>
      </c>
      <c r="AL101" s="94" t="s">
        <v>2269</v>
      </c>
      <c r="AM101" s="94" t="s">
        <v>39</v>
      </c>
      <c r="AN101" s="94"/>
      <c r="AO101" s="94" t="s">
        <v>2536</v>
      </c>
      <c r="AP101" s="94" t="s">
        <v>2492</v>
      </c>
      <c r="AQ101" s="94" t="s">
        <v>2581</v>
      </c>
      <c r="AR101" s="94" t="s">
        <v>3354</v>
      </c>
      <c r="AS101" s="94" t="s">
        <v>3295</v>
      </c>
      <c r="AT101" s="94" t="s">
        <v>3511</v>
      </c>
      <c r="AU101" s="94" t="s">
        <v>3604</v>
      </c>
      <c r="AV101" s="94" t="s">
        <v>3511</v>
      </c>
      <c r="AW101" s="94" t="s">
        <v>3549</v>
      </c>
      <c r="AX101" s="94"/>
      <c r="AY101" s="94"/>
      <c r="AZ101" s="94"/>
      <c r="BA101" s="94" t="s">
        <v>1467</v>
      </c>
      <c r="BB101" s="94" t="s">
        <v>1467</v>
      </c>
      <c r="BC101" s="94"/>
      <c r="BD101" s="94" t="s">
        <v>39</v>
      </c>
      <c r="BE101" s="94" t="s">
        <v>39</v>
      </c>
      <c r="BF101" s="94" t="s">
        <v>39</v>
      </c>
      <c r="BG101" s="94" t="s">
        <v>39</v>
      </c>
      <c r="BH101" s="94" t="s">
        <v>840</v>
      </c>
      <c r="BI101" s="94" t="s">
        <v>840</v>
      </c>
      <c r="BJ101" s="94" t="s">
        <v>1280</v>
      </c>
      <c r="BK101" s="94" t="s">
        <v>1280</v>
      </c>
      <c r="BL101" s="94" t="s">
        <v>3008</v>
      </c>
      <c r="BM101" s="94" t="s">
        <v>3235</v>
      </c>
      <c r="BN101" s="94" t="s">
        <v>3235</v>
      </c>
      <c r="BO101" s="94" t="s">
        <v>3415</v>
      </c>
      <c r="BP101" s="94" t="s">
        <v>3415</v>
      </c>
      <c r="BQ101" s="94" t="s">
        <v>2202</v>
      </c>
      <c r="BR101" s="94" t="s">
        <v>39</v>
      </c>
      <c r="BS101" s="94" t="s">
        <v>39</v>
      </c>
      <c r="BT101" s="94"/>
    </row>
    <row r="102" spans="1:72" s="14" customFormat="1" ht="18">
      <c r="A102" s="53" t="s">
        <v>178</v>
      </c>
      <c r="B102" s="54" t="s">
        <v>5280</v>
      </c>
      <c r="C102" s="54" t="s">
        <v>5280</v>
      </c>
      <c r="D102" s="54" t="s">
        <v>39</v>
      </c>
      <c r="E102" s="54"/>
      <c r="F102" s="53" t="s">
        <v>178</v>
      </c>
      <c r="G102" s="54" t="s">
        <v>102</v>
      </c>
      <c r="H102" s="54" t="s">
        <v>3134</v>
      </c>
      <c r="I102" s="54" t="s">
        <v>3134</v>
      </c>
      <c r="J102" s="54" t="s">
        <v>1953</v>
      </c>
      <c r="K102" s="54" t="s">
        <v>1982</v>
      </c>
      <c r="L102" s="54" t="s">
        <v>65</v>
      </c>
      <c r="M102" s="123" t="s">
        <v>2638</v>
      </c>
      <c r="N102" s="54" t="s">
        <v>3041</v>
      </c>
      <c r="O102" s="54" t="s">
        <v>2777</v>
      </c>
      <c r="P102" s="54" t="s">
        <v>2756</v>
      </c>
      <c r="Q102" s="54" t="s">
        <v>39</v>
      </c>
      <c r="R102" s="54" t="s">
        <v>213</v>
      </c>
      <c r="S102" s="54" t="s">
        <v>39</v>
      </c>
      <c r="T102" s="54" t="s">
        <v>620</v>
      </c>
      <c r="U102" s="54" t="s">
        <v>39</v>
      </c>
      <c r="V102" s="54" t="s">
        <v>39</v>
      </c>
      <c r="W102" s="54" t="s">
        <v>1695</v>
      </c>
      <c r="X102" s="54" t="s">
        <v>39</v>
      </c>
      <c r="Y102" s="54" t="s">
        <v>3728</v>
      </c>
      <c r="Z102" s="123" t="s">
        <v>39</v>
      </c>
      <c r="AA102" s="123" t="s">
        <v>4066</v>
      </c>
      <c r="AB102" s="123" t="s">
        <v>4066</v>
      </c>
      <c r="AC102" s="54" t="s">
        <v>39</v>
      </c>
      <c r="AD102" s="54" t="s">
        <v>39</v>
      </c>
      <c r="AE102" s="54" t="s">
        <v>39</v>
      </c>
      <c r="AF102" s="54" t="s">
        <v>39</v>
      </c>
      <c r="AG102" s="54" t="s">
        <v>4197</v>
      </c>
      <c r="AH102" s="54" t="s">
        <v>3696</v>
      </c>
      <c r="AI102" s="54" t="s">
        <v>39</v>
      </c>
      <c r="AJ102" s="54" t="s">
        <v>39</v>
      </c>
      <c r="AK102" s="54" t="s">
        <v>2320</v>
      </c>
      <c r="AL102" s="54" t="s">
        <v>2259</v>
      </c>
      <c r="AM102" s="54" t="s">
        <v>39</v>
      </c>
      <c r="AN102" s="54" t="s">
        <v>39</v>
      </c>
      <c r="AO102" s="54" t="s">
        <v>2537</v>
      </c>
      <c r="AP102" s="54" t="s">
        <v>39</v>
      </c>
      <c r="AQ102" s="73" t="s">
        <v>39</v>
      </c>
      <c r="AR102" s="54" t="s">
        <v>475</v>
      </c>
      <c r="AS102" s="54" t="s">
        <v>41</v>
      </c>
      <c r="AT102" s="54" t="s">
        <v>519</v>
      </c>
      <c r="AU102" s="54" t="s">
        <v>41</v>
      </c>
      <c r="AV102" s="54" t="s">
        <v>519</v>
      </c>
      <c r="AW102" s="54" t="s">
        <v>41</v>
      </c>
      <c r="AX102" s="54" t="s">
        <v>39</v>
      </c>
      <c r="AY102" s="54" t="s">
        <v>64</v>
      </c>
      <c r="AZ102" s="54" t="s">
        <v>64</v>
      </c>
      <c r="BA102" s="54" t="s">
        <v>102</v>
      </c>
      <c r="BB102" s="54" t="s">
        <v>1427</v>
      </c>
      <c r="BC102" s="54" t="s">
        <v>39</v>
      </c>
      <c r="BD102" s="54" t="s">
        <v>2897</v>
      </c>
      <c r="BE102" s="54" t="s">
        <v>3727</v>
      </c>
      <c r="BF102" s="54" t="s">
        <v>39</v>
      </c>
      <c r="BG102" s="54" t="s">
        <v>2777</v>
      </c>
      <c r="BH102" s="54" t="s">
        <v>33</v>
      </c>
      <c r="BI102" s="54" t="s">
        <v>33</v>
      </c>
      <c r="BJ102" s="54" t="s">
        <v>1349</v>
      </c>
      <c r="BK102" s="54" t="s">
        <v>1271</v>
      </c>
      <c r="BL102" s="54" t="s">
        <v>3010</v>
      </c>
      <c r="BM102" s="54" t="s">
        <v>39</v>
      </c>
      <c r="BN102" s="54" t="s">
        <v>39</v>
      </c>
      <c r="BO102" s="54" t="s">
        <v>2129</v>
      </c>
      <c r="BP102" s="54" t="s">
        <v>2129</v>
      </c>
      <c r="BQ102" s="54" t="s">
        <v>39</v>
      </c>
      <c r="BR102" s="54" t="s">
        <v>1608</v>
      </c>
      <c r="BS102" s="54" t="s">
        <v>1607</v>
      </c>
      <c r="BT102" s="54" t="s">
        <v>39</v>
      </c>
    </row>
    <row r="103" spans="1:72" s="2" customFormat="1" ht="9" customHeight="1">
      <c r="A103" s="95" t="s">
        <v>688</v>
      </c>
      <c r="B103" s="94" t="s">
        <v>5116</v>
      </c>
      <c r="C103" s="94" t="s">
        <v>5116</v>
      </c>
      <c r="D103" s="94" t="s">
        <v>39</v>
      </c>
      <c r="E103" s="94"/>
      <c r="F103" s="95" t="s">
        <v>688</v>
      </c>
      <c r="G103" s="94"/>
      <c r="H103" s="94" t="s">
        <v>3133</v>
      </c>
      <c r="I103" s="94" t="s">
        <v>3131</v>
      </c>
      <c r="J103" s="94" t="s">
        <v>1952</v>
      </c>
      <c r="K103" s="94" t="s">
        <v>1981</v>
      </c>
      <c r="L103" s="94"/>
      <c r="M103" s="94" t="s">
        <v>2059</v>
      </c>
      <c r="N103" s="94" t="s">
        <v>3040</v>
      </c>
      <c r="O103" s="94" t="s">
        <v>1176</v>
      </c>
      <c r="P103" s="94" t="s">
        <v>1235</v>
      </c>
      <c r="Q103" s="94" t="s">
        <v>39</v>
      </c>
      <c r="R103" s="94" t="s">
        <v>3056</v>
      </c>
      <c r="S103" s="94" t="s">
        <v>39</v>
      </c>
      <c r="T103" s="94" t="s">
        <v>2807</v>
      </c>
      <c r="U103" s="94" t="s">
        <v>39</v>
      </c>
      <c r="V103" s="94" t="s">
        <v>39</v>
      </c>
      <c r="W103" s="94" t="s">
        <v>1696</v>
      </c>
      <c r="X103" s="94" t="s">
        <v>39</v>
      </c>
      <c r="Y103" s="94" t="s">
        <v>3708</v>
      </c>
      <c r="Z103" s="94" t="s">
        <v>39</v>
      </c>
      <c r="AA103" s="94" t="s">
        <v>4039</v>
      </c>
      <c r="AB103" s="94" t="s">
        <v>4039</v>
      </c>
      <c r="AC103" s="94" t="s">
        <v>39</v>
      </c>
      <c r="AD103" s="94" t="s">
        <v>39</v>
      </c>
      <c r="AE103" s="94" t="s">
        <v>39</v>
      </c>
      <c r="AF103" s="94" t="s">
        <v>39</v>
      </c>
      <c r="AG103" s="94" t="s">
        <v>4198</v>
      </c>
      <c r="AH103" s="94" t="s">
        <v>3695</v>
      </c>
      <c r="AI103" s="94" t="s">
        <v>39</v>
      </c>
      <c r="AJ103" s="94" t="s">
        <v>39</v>
      </c>
      <c r="AK103" s="94" t="s">
        <v>2321</v>
      </c>
      <c r="AL103" s="94" t="s">
        <v>2270</v>
      </c>
      <c r="AM103" s="94" t="s">
        <v>39</v>
      </c>
      <c r="AN103" s="94"/>
      <c r="AO103" s="94" t="s">
        <v>2536</v>
      </c>
      <c r="AP103" s="94" t="s">
        <v>39</v>
      </c>
      <c r="AQ103" s="94" t="s">
        <v>39</v>
      </c>
      <c r="AR103" s="94" t="s">
        <v>3354</v>
      </c>
      <c r="AS103" s="94" t="s">
        <v>3295</v>
      </c>
      <c r="AT103" s="94" t="s">
        <v>3511</v>
      </c>
      <c r="AU103" s="94" t="s">
        <v>3604</v>
      </c>
      <c r="AV103" s="94" t="s">
        <v>3511</v>
      </c>
      <c r="AW103" s="94" t="s">
        <v>3549</v>
      </c>
      <c r="AX103" s="94"/>
      <c r="AY103" s="94"/>
      <c r="AZ103" s="94"/>
      <c r="BA103" s="94" t="s">
        <v>1467</v>
      </c>
      <c r="BB103" s="94" t="s">
        <v>1467</v>
      </c>
      <c r="BC103" s="94"/>
      <c r="BD103" s="94" t="s">
        <v>2896</v>
      </c>
      <c r="BE103" s="94" t="s">
        <v>1199</v>
      </c>
      <c r="BF103" s="94" t="s">
        <v>39</v>
      </c>
      <c r="BG103" s="94" t="s">
        <v>2864</v>
      </c>
      <c r="BH103" s="94" t="s">
        <v>840</v>
      </c>
      <c r="BI103" s="94" t="s">
        <v>840</v>
      </c>
      <c r="BJ103" s="94" t="s">
        <v>1348</v>
      </c>
      <c r="BK103" s="94" t="s">
        <v>1269</v>
      </c>
      <c r="BL103" s="94" t="s">
        <v>3009</v>
      </c>
      <c r="BM103" s="94" t="s">
        <v>39</v>
      </c>
      <c r="BN103" s="94" t="s">
        <v>39</v>
      </c>
      <c r="BO103" s="94" t="s">
        <v>3414</v>
      </c>
      <c r="BP103" s="94" t="s">
        <v>3414</v>
      </c>
      <c r="BQ103" s="94" t="s">
        <v>39</v>
      </c>
      <c r="BR103" s="94" t="s">
        <v>1606</v>
      </c>
      <c r="BS103" s="94" t="s">
        <v>1605</v>
      </c>
      <c r="BT103" s="94"/>
    </row>
    <row r="104" spans="1:72" s="14" customFormat="1" ht="30" customHeight="1">
      <c r="A104" s="53" t="s">
        <v>4997</v>
      </c>
      <c r="B104" s="116" t="s">
        <v>5119</v>
      </c>
      <c r="C104" s="116" t="s">
        <v>5119</v>
      </c>
      <c r="D104" s="116" t="s">
        <v>39</v>
      </c>
      <c r="E104" s="116"/>
      <c r="F104" s="187" t="s">
        <v>4997</v>
      </c>
      <c r="G104" s="187"/>
      <c r="H104" s="216"/>
      <c r="I104" s="216"/>
      <c r="J104" s="216"/>
      <c r="K104" s="188"/>
      <c r="L104" s="188"/>
      <c r="M104" s="188"/>
      <c r="BO104" s="251"/>
      <c r="BP104" s="251"/>
    </row>
    <row r="105" spans="1:72" s="2" customFormat="1" ht="9" customHeight="1">
      <c r="A105" s="95" t="s">
        <v>688</v>
      </c>
      <c r="B105" s="94" t="s">
        <v>5116</v>
      </c>
      <c r="C105" s="94" t="s">
        <v>5116</v>
      </c>
      <c r="D105" s="94" t="s">
        <v>39</v>
      </c>
      <c r="E105" s="94"/>
      <c r="F105" s="95" t="s">
        <v>688</v>
      </c>
      <c r="G105" s="95"/>
      <c r="H105" s="94"/>
      <c r="I105" s="94"/>
      <c r="J105" s="94"/>
      <c r="K105" s="94"/>
      <c r="L105" s="94"/>
      <c r="M105" s="94"/>
      <c r="P105" s="19"/>
      <c r="Q105" s="20"/>
      <c r="R105" s="11"/>
      <c r="S105" s="19"/>
      <c r="T105" s="19"/>
      <c r="U105" s="19"/>
      <c r="BO105" s="94"/>
      <c r="BP105" s="94"/>
    </row>
    <row r="106" spans="1:72" s="14" customFormat="1" ht="18">
      <c r="A106" s="53" t="s">
        <v>6059</v>
      </c>
      <c r="B106" s="54" t="s">
        <v>5120</v>
      </c>
      <c r="C106" s="54" t="s">
        <v>5120</v>
      </c>
      <c r="D106" s="116">
        <v>6000</v>
      </c>
      <c r="E106" s="54"/>
      <c r="F106" s="53" t="s">
        <v>26</v>
      </c>
      <c r="G106" s="54" t="s">
        <v>190</v>
      </c>
      <c r="H106" s="54" t="s">
        <v>136</v>
      </c>
      <c r="I106" s="54" t="s">
        <v>42</v>
      </c>
      <c r="J106" s="54" t="s">
        <v>1936</v>
      </c>
      <c r="K106" s="54" t="s">
        <v>1937</v>
      </c>
      <c r="L106" s="54" t="s">
        <v>64</v>
      </c>
      <c r="M106" s="123" t="s">
        <v>136</v>
      </c>
      <c r="N106" s="54" t="s">
        <v>138</v>
      </c>
      <c r="O106" s="54" t="s">
        <v>2773</v>
      </c>
      <c r="P106" s="54" t="s">
        <v>2751</v>
      </c>
      <c r="Q106" s="54" t="s">
        <v>65</v>
      </c>
      <c r="R106" s="54" t="s">
        <v>65</v>
      </c>
      <c r="S106" s="54" t="s">
        <v>65</v>
      </c>
      <c r="T106" s="54" t="s">
        <v>65</v>
      </c>
      <c r="U106" s="79" t="s">
        <v>64</v>
      </c>
      <c r="V106" s="79" t="s">
        <v>65</v>
      </c>
      <c r="W106" s="54" t="s">
        <v>1670</v>
      </c>
      <c r="X106" s="54" t="s">
        <v>39</v>
      </c>
      <c r="Y106" s="54" t="s">
        <v>64</v>
      </c>
      <c r="Z106" s="123" t="s">
        <v>65</v>
      </c>
      <c r="AA106" s="123" t="s">
        <v>138</v>
      </c>
      <c r="AB106" s="123" t="s">
        <v>190</v>
      </c>
      <c r="AC106" s="54" t="s">
        <v>190</v>
      </c>
      <c r="AD106" s="54" t="s">
        <v>65</v>
      </c>
      <c r="AE106" s="54" t="s">
        <v>64</v>
      </c>
      <c r="AF106" s="54" t="s">
        <v>190</v>
      </c>
      <c r="AG106" s="54" t="s">
        <v>138</v>
      </c>
      <c r="AH106" s="54" t="s">
        <v>136</v>
      </c>
      <c r="AI106" s="54" t="s">
        <v>65</v>
      </c>
      <c r="AJ106" s="54" t="s">
        <v>65</v>
      </c>
      <c r="AK106" s="54" t="s">
        <v>138</v>
      </c>
      <c r="AL106" s="54" t="s">
        <v>136</v>
      </c>
      <c r="AM106" s="54" t="s">
        <v>64</v>
      </c>
      <c r="AN106" s="54" t="s">
        <v>160</v>
      </c>
      <c r="AO106" s="54" t="s">
        <v>175</v>
      </c>
      <c r="AP106" s="54" t="s">
        <v>2477</v>
      </c>
      <c r="AQ106" s="54" t="s">
        <v>25</v>
      </c>
      <c r="AR106" s="54" t="s">
        <v>64</v>
      </c>
      <c r="AS106" s="77" t="s">
        <v>41</v>
      </c>
      <c r="AT106" s="54" t="s">
        <v>3565</v>
      </c>
      <c r="AU106" s="54" t="s">
        <v>41</v>
      </c>
      <c r="AV106" s="54" t="s">
        <v>196</v>
      </c>
      <c r="AW106" s="54" t="s">
        <v>41</v>
      </c>
      <c r="AX106" s="54" t="s">
        <v>39</v>
      </c>
      <c r="AY106" s="75" t="s">
        <v>64</v>
      </c>
      <c r="AZ106" s="75" t="s">
        <v>64</v>
      </c>
      <c r="BA106" s="77" t="s">
        <v>65</v>
      </c>
      <c r="BB106" s="77" t="s">
        <v>190</v>
      </c>
      <c r="BC106" s="54" t="s">
        <v>376</v>
      </c>
      <c r="BD106" s="54" t="s">
        <v>65</v>
      </c>
      <c r="BE106" s="54" t="s">
        <v>41</v>
      </c>
      <c r="BF106" s="54" t="s">
        <v>65</v>
      </c>
      <c r="BG106" s="54" t="s">
        <v>2773</v>
      </c>
      <c r="BH106" s="54" t="s">
        <v>843</v>
      </c>
      <c r="BI106" s="54" t="s">
        <v>843</v>
      </c>
      <c r="BJ106" s="73" t="s">
        <v>65</v>
      </c>
      <c r="BK106" s="73" t="s">
        <v>210</v>
      </c>
      <c r="BL106" s="79" t="s">
        <v>776</v>
      </c>
      <c r="BM106" s="79" t="s">
        <v>65</v>
      </c>
      <c r="BN106" s="79" t="s">
        <v>138</v>
      </c>
      <c r="BO106" s="73" t="s">
        <v>190</v>
      </c>
      <c r="BP106" s="73" t="s">
        <v>196</v>
      </c>
      <c r="BQ106" s="79" t="s">
        <v>2190</v>
      </c>
      <c r="BR106" s="54" t="s">
        <v>970</v>
      </c>
      <c r="BS106" s="54" t="s">
        <v>970</v>
      </c>
      <c r="BT106" s="54" t="s">
        <v>426</v>
      </c>
    </row>
    <row r="107" spans="1:72" s="2" customFormat="1" ht="9" customHeight="1">
      <c r="A107" s="95" t="s">
        <v>688</v>
      </c>
      <c r="B107" s="94" t="s">
        <v>5117</v>
      </c>
      <c r="C107" s="94" t="s">
        <v>5117</v>
      </c>
      <c r="D107" s="94" t="s">
        <v>4890</v>
      </c>
      <c r="E107" s="94"/>
      <c r="F107" s="95" t="s">
        <v>688</v>
      </c>
      <c r="G107" s="94"/>
      <c r="H107" s="94" t="s">
        <v>3131</v>
      </c>
      <c r="I107" s="94" t="s">
        <v>3132</v>
      </c>
      <c r="J107" s="94" t="s">
        <v>1935</v>
      </c>
      <c r="K107" s="94" t="s">
        <v>1974</v>
      </c>
      <c r="L107" s="94"/>
      <c r="M107" s="94" t="s">
        <v>2661</v>
      </c>
      <c r="N107" s="94" t="s">
        <v>2725</v>
      </c>
      <c r="O107" s="94" t="s">
        <v>2772</v>
      </c>
      <c r="P107" s="94" t="s">
        <v>2750</v>
      </c>
      <c r="Q107" s="94" t="s">
        <v>3061</v>
      </c>
      <c r="R107" s="94" t="s">
        <v>3061</v>
      </c>
      <c r="S107" s="94" t="s">
        <v>1900</v>
      </c>
      <c r="T107" s="94" t="s">
        <v>2793</v>
      </c>
      <c r="U107" s="94" t="s">
        <v>1322</v>
      </c>
      <c r="V107" s="94" t="s">
        <v>1290</v>
      </c>
      <c r="W107" s="94" t="s">
        <v>1671</v>
      </c>
      <c r="X107" s="94" t="s">
        <v>39</v>
      </c>
      <c r="Y107" s="94" t="s">
        <v>3710</v>
      </c>
      <c r="Z107" s="94" t="s">
        <v>4061</v>
      </c>
      <c r="AA107" s="94" t="s">
        <v>4060</v>
      </c>
      <c r="AB107" s="94" t="s">
        <v>4089</v>
      </c>
      <c r="AC107" s="94" t="s">
        <v>2940</v>
      </c>
      <c r="AD107" s="94" t="s">
        <v>3891</v>
      </c>
      <c r="AE107" s="94" t="s">
        <v>3891</v>
      </c>
      <c r="AF107" s="94" t="s">
        <v>3891</v>
      </c>
      <c r="AG107" s="94" t="s">
        <v>4189</v>
      </c>
      <c r="AH107" s="94" t="s">
        <v>3684</v>
      </c>
      <c r="AI107" s="94" t="s">
        <v>2415</v>
      </c>
      <c r="AJ107" s="94" t="s">
        <v>2377</v>
      </c>
      <c r="AK107" s="94" t="s">
        <v>2330</v>
      </c>
      <c r="AL107" s="94" t="s">
        <v>2267</v>
      </c>
      <c r="AM107" s="94" t="s">
        <v>1141</v>
      </c>
      <c r="AN107" s="94"/>
      <c r="AO107" s="94" t="s">
        <v>2535</v>
      </c>
      <c r="AP107" s="94" t="s">
        <v>2478</v>
      </c>
      <c r="AQ107" s="94" t="s">
        <v>2580</v>
      </c>
      <c r="AR107" s="94" t="s">
        <v>3344</v>
      </c>
      <c r="AS107" s="94" t="s">
        <v>3299</v>
      </c>
      <c r="AT107" s="94" t="s">
        <v>3507</v>
      </c>
      <c r="AU107" s="94" t="s">
        <v>3601</v>
      </c>
      <c r="AV107" s="94" t="s">
        <v>3507</v>
      </c>
      <c r="AW107" s="94" t="s">
        <v>3546</v>
      </c>
      <c r="AX107" s="94"/>
      <c r="AY107" s="94"/>
      <c r="AZ107" s="94"/>
      <c r="BA107" s="94" t="s">
        <v>1465</v>
      </c>
      <c r="BB107" s="94" t="s">
        <v>1465</v>
      </c>
      <c r="BC107" s="94"/>
      <c r="BD107" s="94" t="s">
        <v>2894</v>
      </c>
      <c r="BE107" s="94" t="s">
        <v>1254</v>
      </c>
      <c r="BF107" s="94" t="s">
        <v>2608</v>
      </c>
      <c r="BG107" s="94" t="s">
        <v>2861</v>
      </c>
      <c r="BH107" s="94" t="s">
        <v>844</v>
      </c>
      <c r="BI107" s="94" t="s">
        <v>844</v>
      </c>
      <c r="BJ107" s="94" t="s">
        <v>1347</v>
      </c>
      <c r="BK107" s="94" t="s">
        <v>1347</v>
      </c>
      <c r="BL107" s="94" t="s">
        <v>2999</v>
      </c>
      <c r="BM107" s="94" t="s">
        <v>3232</v>
      </c>
      <c r="BN107" s="94" t="s">
        <v>3232</v>
      </c>
      <c r="BO107" s="94" t="s">
        <v>3419</v>
      </c>
      <c r="BP107" s="94" t="s">
        <v>2107</v>
      </c>
      <c r="BQ107" s="94" t="s">
        <v>2191</v>
      </c>
      <c r="BR107" s="94" t="s">
        <v>1637</v>
      </c>
      <c r="BS107" s="94" t="s">
        <v>1637</v>
      </c>
      <c r="BT107" s="94"/>
    </row>
    <row r="108" spans="1:72" s="14" customFormat="1" ht="18">
      <c r="A108" s="53" t="s">
        <v>124</v>
      </c>
      <c r="B108" s="54" t="s">
        <v>5494</v>
      </c>
      <c r="C108" s="54" t="s">
        <v>5494</v>
      </c>
      <c r="D108" s="54" t="s">
        <v>5041</v>
      </c>
      <c r="E108" s="54"/>
      <c r="F108" s="53" t="s">
        <v>124</v>
      </c>
      <c r="G108" s="54" t="s">
        <v>267</v>
      </c>
      <c r="H108" s="54" t="s">
        <v>267</v>
      </c>
      <c r="I108" s="54" t="s">
        <v>267</v>
      </c>
      <c r="J108" s="54" t="s">
        <v>1936</v>
      </c>
      <c r="K108" s="54" t="s">
        <v>1937</v>
      </c>
      <c r="L108" s="54" t="s">
        <v>39</v>
      </c>
      <c r="M108" s="123" t="s">
        <v>136</v>
      </c>
      <c r="N108" s="54" t="s">
        <v>41</v>
      </c>
      <c r="O108" s="54" t="s">
        <v>39</v>
      </c>
      <c r="P108" s="54" t="s">
        <v>39</v>
      </c>
      <c r="Q108" s="54" t="s">
        <v>39</v>
      </c>
      <c r="R108" s="54" t="s">
        <v>39</v>
      </c>
      <c r="S108" s="54" t="s">
        <v>61</v>
      </c>
      <c r="T108" s="54" t="s">
        <v>39</v>
      </c>
      <c r="U108" s="54" t="s">
        <v>64</v>
      </c>
      <c r="V108" s="54" t="s">
        <v>39</v>
      </c>
      <c r="W108" s="54" t="s">
        <v>388</v>
      </c>
      <c r="X108" s="54" t="s">
        <v>39</v>
      </c>
      <c r="Y108" s="54" t="s">
        <v>1756</v>
      </c>
      <c r="Z108" s="123" t="s">
        <v>39</v>
      </c>
      <c r="AA108" s="123" t="s">
        <v>42</v>
      </c>
      <c r="AB108" s="123" t="s">
        <v>42</v>
      </c>
      <c r="AC108" s="54" t="s">
        <v>42</v>
      </c>
      <c r="AD108" s="54" t="s">
        <v>388</v>
      </c>
      <c r="AE108" s="54" t="s">
        <v>388</v>
      </c>
      <c r="AF108" s="54" t="s">
        <v>388</v>
      </c>
      <c r="AG108" s="54" t="s">
        <v>388</v>
      </c>
      <c r="AH108" s="54" t="s">
        <v>136</v>
      </c>
      <c r="AI108" s="54" t="s">
        <v>39</v>
      </c>
      <c r="AJ108" s="54" t="s">
        <v>39</v>
      </c>
      <c r="AK108" s="54" t="s">
        <v>2250</v>
      </c>
      <c r="AL108" s="54" t="s">
        <v>2247</v>
      </c>
      <c r="AM108" s="54" t="s">
        <v>41</v>
      </c>
      <c r="AN108" s="54" t="s">
        <v>39</v>
      </c>
      <c r="AO108" s="54" t="s">
        <v>1768</v>
      </c>
      <c r="AP108" s="54" t="s">
        <v>2481</v>
      </c>
      <c r="AQ108" s="54" t="s">
        <v>465</v>
      </c>
      <c r="AR108" s="54" t="s">
        <v>64</v>
      </c>
      <c r="AS108" s="54" t="s">
        <v>41</v>
      </c>
      <c r="AT108" s="54" t="s">
        <v>388</v>
      </c>
      <c r="AU108" s="54" t="s">
        <v>41</v>
      </c>
      <c r="AV108" s="54" t="s">
        <v>3566</v>
      </c>
      <c r="AW108" s="54" t="s">
        <v>41</v>
      </c>
      <c r="AX108" s="54" t="s">
        <v>39</v>
      </c>
      <c r="AY108" s="54" t="s">
        <v>39</v>
      </c>
      <c r="AZ108" s="54" t="s">
        <v>39</v>
      </c>
      <c r="BA108" s="54" t="s">
        <v>388</v>
      </c>
      <c r="BB108" s="54" t="s">
        <v>388</v>
      </c>
      <c r="BC108" s="54" t="s">
        <v>376</v>
      </c>
      <c r="BD108" s="54" t="s">
        <v>39</v>
      </c>
      <c r="BE108" s="54" t="s">
        <v>1210</v>
      </c>
      <c r="BF108" s="54" t="s">
        <v>39</v>
      </c>
      <c r="BG108" s="54" t="s">
        <v>39</v>
      </c>
      <c r="BH108" s="54" t="s">
        <v>401</v>
      </c>
      <c r="BI108" s="54" t="s">
        <v>401</v>
      </c>
      <c r="BJ108" s="54" t="s">
        <v>65</v>
      </c>
      <c r="BK108" s="54" t="s">
        <v>138</v>
      </c>
      <c r="BL108" s="54" t="s">
        <v>41</v>
      </c>
      <c r="BM108" s="77" t="s">
        <v>388</v>
      </c>
      <c r="BN108" s="77" t="s">
        <v>388</v>
      </c>
      <c r="BO108" s="54" t="s">
        <v>190</v>
      </c>
      <c r="BP108" s="54" t="s">
        <v>190</v>
      </c>
      <c r="BQ108" s="77" t="s">
        <v>136</v>
      </c>
      <c r="BR108" s="54" t="s">
        <v>138</v>
      </c>
      <c r="BS108" s="54" t="s">
        <v>65</v>
      </c>
      <c r="BT108" s="54" t="s">
        <v>388</v>
      </c>
    </row>
    <row r="109" spans="1:72" s="2" customFormat="1" ht="9" customHeight="1">
      <c r="A109" s="95" t="s">
        <v>688</v>
      </c>
      <c r="B109" s="94" t="s">
        <v>5493</v>
      </c>
      <c r="C109" s="94" t="s">
        <v>5493</v>
      </c>
      <c r="D109" s="94" t="s">
        <v>4888</v>
      </c>
      <c r="E109" s="94"/>
      <c r="F109" s="95" t="s">
        <v>688</v>
      </c>
      <c r="G109" s="94"/>
      <c r="H109" s="94" t="s">
        <v>3093</v>
      </c>
      <c r="I109" s="94" t="s">
        <v>3093</v>
      </c>
      <c r="J109" s="94" t="s">
        <v>1940</v>
      </c>
      <c r="K109" s="94" t="s">
        <v>1975</v>
      </c>
      <c r="L109" s="94"/>
      <c r="M109" s="94" t="s">
        <v>2038</v>
      </c>
      <c r="N109" s="94" t="s">
        <v>2722</v>
      </c>
      <c r="O109" s="94" t="s">
        <v>39</v>
      </c>
      <c r="P109" s="94" t="s">
        <v>39</v>
      </c>
      <c r="Q109" s="94" t="s">
        <v>39</v>
      </c>
      <c r="R109" s="94" t="s">
        <v>39</v>
      </c>
      <c r="S109" s="94" t="s">
        <v>1897</v>
      </c>
      <c r="T109" s="94" t="s">
        <v>39</v>
      </c>
      <c r="U109" s="94" t="s">
        <v>1354</v>
      </c>
      <c r="V109" s="94" t="s">
        <v>39</v>
      </c>
      <c r="W109" s="94" t="s">
        <v>1672</v>
      </c>
      <c r="X109" s="94" t="s">
        <v>39</v>
      </c>
      <c r="Y109" s="94" t="s">
        <v>3715</v>
      </c>
      <c r="Z109" s="94" t="s">
        <v>4041</v>
      </c>
      <c r="AA109" s="94" t="s">
        <v>4040</v>
      </c>
      <c r="AB109" s="94" t="s">
        <v>4040</v>
      </c>
      <c r="AC109" s="94" t="s">
        <v>799</v>
      </c>
      <c r="AD109" s="94" t="s">
        <v>3893</v>
      </c>
      <c r="AE109" s="94" t="s">
        <v>3894</v>
      </c>
      <c r="AF109" s="94" t="s">
        <v>3895</v>
      </c>
      <c r="AG109" s="94" t="s">
        <v>4190</v>
      </c>
      <c r="AH109" s="94" t="s">
        <v>1208</v>
      </c>
      <c r="AI109" s="94" t="s">
        <v>39</v>
      </c>
      <c r="AJ109" s="94" t="s">
        <v>39</v>
      </c>
      <c r="AK109" s="94" t="s">
        <v>2304</v>
      </c>
      <c r="AL109" s="94" t="s">
        <v>2246</v>
      </c>
      <c r="AM109" s="94" t="s">
        <v>1141</v>
      </c>
      <c r="AN109" s="94"/>
      <c r="AO109" s="94" t="s">
        <v>2535</v>
      </c>
      <c r="AP109" s="94" t="s">
        <v>2478</v>
      </c>
      <c r="AQ109" s="94" t="s">
        <v>2580</v>
      </c>
      <c r="AR109" s="94" t="s">
        <v>3343</v>
      </c>
      <c r="AS109" s="94" t="s">
        <v>3306</v>
      </c>
      <c r="AT109" s="94" t="s">
        <v>3508</v>
      </c>
      <c r="AU109" s="94" t="s">
        <v>3602</v>
      </c>
      <c r="AV109" s="94" t="s">
        <v>3508</v>
      </c>
      <c r="AW109" s="94" t="s">
        <v>3547</v>
      </c>
      <c r="AX109" s="94"/>
      <c r="AY109" s="94"/>
      <c r="AZ109" s="94"/>
      <c r="BA109" s="94" t="s">
        <v>1432</v>
      </c>
      <c r="BB109" s="94" t="s">
        <v>1440</v>
      </c>
      <c r="BC109" s="94"/>
      <c r="BD109" s="94" t="s">
        <v>39</v>
      </c>
      <c r="BE109" s="94" t="s">
        <v>1208</v>
      </c>
      <c r="BF109" s="94" t="s">
        <v>39</v>
      </c>
      <c r="BG109" s="94" t="s">
        <v>39</v>
      </c>
      <c r="BH109" s="94" t="s">
        <v>2917</v>
      </c>
      <c r="BI109" s="94" t="s">
        <v>2917</v>
      </c>
      <c r="BJ109" s="94" t="s">
        <v>1287</v>
      </c>
      <c r="BK109" s="94" t="s">
        <v>1287</v>
      </c>
      <c r="BL109" s="94" t="s">
        <v>769</v>
      </c>
      <c r="BM109" s="94" t="s">
        <v>3234</v>
      </c>
      <c r="BN109" s="94" t="s">
        <v>3234</v>
      </c>
      <c r="BO109" s="94" t="s">
        <v>2148</v>
      </c>
      <c r="BP109" s="94" t="s">
        <v>2148</v>
      </c>
      <c r="BQ109" s="94" t="s">
        <v>2189</v>
      </c>
      <c r="BR109" s="94" t="s">
        <v>1582</v>
      </c>
      <c r="BS109" s="94" t="s">
        <v>1603</v>
      </c>
      <c r="BT109" s="94"/>
    </row>
    <row r="110" spans="1:72" s="14" customFormat="1" ht="18">
      <c r="A110" s="53" t="s">
        <v>2663</v>
      </c>
      <c r="B110" s="54" t="s">
        <v>5893</v>
      </c>
      <c r="C110" s="54" t="s">
        <v>5893</v>
      </c>
      <c r="D110" s="54" t="s">
        <v>267</v>
      </c>
      <c r="E110" s="54"/>
      <c r="F110" s="53" t="s">
        <v>2663</v>
      </c>
      <c r="G110" s="54" t="s">
        <v>267</v>
      </c>
      <c r="H110" s="54" t="s">
        <v>267</v>
      </c>
      <c r="I110" s="54" t="s">
        <v>267</v>
      </c>
      <c r="J110" s="54" t="s">
        <v>1938</v>
      </c>
      <c r="K110" s="54" t="s">
        <v>1938</v>
      </c>
      <c r="L110" s="54" t="s">
        <v>267</v>
      </c>
      <c r="M110" s="123" t="s">
        <v>4161</v>
      </c>
      <c r="N110" s="54" t="s">
        <v>2723</v>
      </c>
      <c r="O110" s="54" t="s">
        <v>388</v>
      </c>
      <c r="P110" s="54" t="s">
        <v>388</v>
      </c>
      <c r="Q110" s="54" t="s">
        <v>39</v>
      </c>
      <c r="R110" s="54" t="s">
        <v>39</v>
      </c>
      <c r="S110" s="54" t="s">
        <v>1898</v>
      </c>
      <c r="T110" s="54" t="s">
        <v>39</v>
      </c>
      <c r="U110" s="79" t="s">
        <v>39</v>
      </c>
      <c r="V110" s="79" t="s">
        <v>39</v>
      </c>
      <c r="W110" s="54" t="s">
        <v>388</v>
      </c>
      <c r="X110" s="54" t="s">
        <v>39</v>
      </c>
      <c r="Y110" s="54" t="s">
        <v>39</v>
      </c>
      <c r="Z110" s="123" t="s">
        <v>267</v>
      </c>
      <c r="AA110" s="123" t="s">
        <v>267</v>
      </c>
      <c r="AB110" s="123" t="s">
        <v>267</v>
      </c>
      <c r="AC110" s="54" t="s">
        <v>388</v>
      </c>
      <c r="AD110" s="54" t="s">
        <v>388</v>
      </c>
      <c r="AE110" s="54" t="s">
        <v>388</v>
      </c>
      <c r="AF110" s="54" t="s">
        <v>388</v>
      </c>
      <c r="AG110" s="54" t="s">
        <v>388</v>
      </c>
      <c r="AH110" s="54" t="s">
        <v>388</v>
      </c>
      <c r="AI110" s="54" t="s">
        <v>2379</v>
      </c>
      <c r="AJ110" s="54" t="s">
        <v>2379</v>
      </c>
      <c r="AK110" s="54" t="s">
        <v>2250</v>
      </c>
      <c r="AL110" s="54" t="s">
        <v>2247</v>
      </c>
      <c r="AM110" s="54" t="s">
        <v>1143</v>
      </c>
      <c r="AN110" s="54" t="s">
        <v>162</v>
      </c>
      <c r="AO110" s="54" t="s">
        <v>1768</v>
      </c>
      <c r="AP110" s="54" t="s">
        <v>2483</v>
      </c>
      <c r="AQ110" s="54" t="s">
        <v>465</v>
      </c>
      <c r="AR110" s="79" t="s">
        <v>3324</v>
      </c>
      <c r="AS110" s="79" t="s">
        <v>3324</v>
      </c>
      <c r="AT110" s="54" t="s">
        <v>388</v>
      </c>
      <c r="AU110" s="54" t="s">
        <v>388</v>
      </c>
      <c r="AV110" s="54" t="s">
        <v>388</v>
      </c>
      <c r="AW110" s="54" t="s">
        <v>388</v>
      </c>
      <c r="AX110" s="54" t="s">
        <v>39</v>
      </c>
      <c r="AY110" s="54" t="s">
        <v>39</v>
      </c>
      <c r="AZ110" s="79" t="s">
        <v>39</v>
      </c>
      <c r="BA110" s="77" t="s">
        <v>388</v>
      </c>
      <c r="BB110" s="77" t="s">
        <v>388</v>
      </c>
      <c r="BC110" s="54" t="s">
        <v>377</v>
      </c>
      <c r="BD110" s="54" t="s">
        <v>388</v>
      </c>
      <c r="BE110" s="54" t="s">
        <v>39</v>
      </c>
      <c r="BF110" s="54" t="s">
        <v>388</v>
      </c>
      <c r="BG110" s="54" t="s">
        <v>388</v>
      </c>
      <c r="BH110" s="54" t="s">
        <v>102</v>
      </c>
      <c r="BI110" s="54" t="s">
        <v>102</v>
      </c>
      <c r="BJ110" s="73" t="s">
        <v>388</v>
      </c>
      <c r="BK110" s="73" t="s">
        <v>388</v>
      </c>
      <c r="BL110" s="77" t="s">
        <v>388</v>
      </c>
      <c r="BM110" s="77" t="s">
        <v>388</v>
      </c>
      <c r="BN110" s="77" t="s">
        <v>388</v>
      </c>
      <c r="BO110" s="73" t="s">
        <v>388</v>
      </c>
      <c r="BP110" s="73" t="s">
        <v>388</v>
      </c>
      <c r="BQ110" s="54" t="s">
        <v>2227</v>
      </c>
      <c r="BR110" s="54" t="s">
        <v>1626</v>
      </c>
      <c r="BS110" s="54" t="s">
        <v>1584</v>
      </c>
      <c r="BT110" s="54" t="s">
        <v>445</v>
      </c>
    </row>
    <row r="111" spans="1:72" s="2" customFormat="1" ht="9" customHeight="1">
      <c r="A111" s="95" t="s">
        <v>688</v>
      </c>
      <c r="B111" s="94" t="s">
        <v>5083</v>
      </c>
      <c r="C111" s="94" t="s">
        <v>5083</v>
      </c>
      <c r="D111" s="94" t="s">
        <v>4888</v>
      </c>
      <c r="E111" s="94"/>
      <c r="F111" s="95" t="s">
        <v>688</v>
      </c>
      <c r="G111" s="94"/>
      <c r="H111" s="94" t="s">
        <v>3184</v>
      </c>
      <c r="I111" s="94" t="s">
        <v>3184</v>
      </c>
      <c r="J111" s="94" t="s">
        <v>1988</v>
      </c>
      <c r="K111" s="94" t="s">
        <v>1987</v>
      </c>
      <c r="L111" s="94"/>
      <c r="M111" s="94" t="s">
        <v>4160</v>
      </c>
      <c r="N111" s="94" t="s">
        <v>2726</v>
      </c>
      <c r="O111" s="94" t="s">
        <v>2783</v>
      </c>
      <c r="P111" s="94" t="s">
        <v>2783</v>
      </c>
      <c r="Q111" s="94" t="s">
        <v>39</v>
      </c>
      <c r="R111" s="94" t="s">
        <v>39</v>
      </c>
      <c r="S111" s="94" t="s">
        <v>1899</v>
      </c>
      <c r="T111" s="94" t="s">
        <v>39</v>
      </c>
      <c r="U111" s="94" t="s">
        <v>39</v>
      </c>
      <c r="V111" s="94" t="s">
        <v>39</v>
      </c>
      <c r="W111" s="94" t="s">
        <v>1672</v>
      </c>
      <c r="X111" s="94" t="s">
        <v>39</v>
      </c>
      <c r="Y111" s="94" t="s">
        <v>39</v>
      </c>
      <c r="Z111" s="94" t="s">
        <v>4062</v>
      </c>
      <c r="AA111" s="94" t="s">
        <v>4062</v>
      </c>
      <c r="AB111" s="94" t="s">
        <v>4062</v>
      </c>
      <c r="AC111" s="94" t="s">
        <v>2941</v>
      </c>
      <c r="AD111" s="94" t="s">
        <v>3892</v>
      </c>
      <c r="AE111" s="94" t="s">
        <v>3892</v>
      </c>
      <c r="AF111" s="94" t="s">
        <v>3892</v>
      </c>
      <c r="AG111" s="94" t="s">
        <v>4189</v>
      </c>
      <c r="AH111" s="94" t="s">
        <v>3697</v>
      </c>
      <c r="AI111" s="94" t="s">
        <v>2416</v>
      </c>
      <c r="AJ111" s="94" t="s">
        <v>2378</v>
      </c>
      <c r="AK111" s="94" t="s">
        <v>2331</v>
      </c>
      <c r="AL111" s="94" t="s">
        <v>2268</v>
      </c>
      <c r="AM111" s="94" t="s">
        <v>1141</v>
      </c>
      <c r="AN111" s="94"/>
      <c r="AO111" s="94" t="s">
        <v>2535</v>
      </c>
      <c r="AP111" s="94" t="s">
        <v>2482</v>
      </c>
      <c r="AQ111" s="94" t="s">
        <v>2580</v>
      </c>
      <c r="AR111" s="94" t="s">
        <v>3351</v>
      </c>
      <c r="AS111" s="94" t="s">
        <v>3323</v>
      </c>
      <c r="AT111" s="94" t="s">
        <v>3570</v>
      </c>
      <c r="AU111" s="94" t="s">
        <v>3570</v>
      </c>
      <c r="AV111" s="94" t="s">
        <v>3510</v>
      </c>
      <c r="AW111" s="94" t="s">
        <v>3510</v>
      </c>
      <c r="AX111" s="94"/>
      <c r="AY111" s="94"/>
      <c r="AZ111" s="94"/>
      <c r="BA111" s="94" t="s">
        <v>1501</v>
      </c>
      <c r="BB111" s="94" t="s">
        <v>1464</v>
      </c>
      <c r="BC111" s="94"/>
      <c r="BD111" s="94" t="s">
        <v>2914</v>
      </c>
      <c r="BE111" s="94" t="s">
        <v>39</v>
      </c>
      <c r="BF111" s="94" t="s">
        <v>2609</v>
      </c>
      <c r="BG111" s="94" t="s">
        <v>1727</v>
      </c>
      <c r="BH111" s="94" t="s">
        <v>2923</v>
      </c>
      <c r="BI111" s="94" t="s">
        <v>2923</v>
      </c>
      <c r="BJ111" s="94" t="s">
        <v>1266</v>
      </c>
      <c r="BK111" s="94" t="s">
        <v>1266</v>
      </c>
      <c r="BL111" s="94" t="s">
        <v>2998</v>
      </c>
      <c r="BM111" s="94" t="s">
        <v>3233</v>
      </c>
      <c r="BN111" s="94" t="s">
        <v>3233</v>
      </c>
      <c r="BO111" s="94" t="s">
        <v>3418</v>
      </c>
      <c r="BP111" s="94" t="s">
        <v>2124</v>
      </c>
      <c r="BQ111" s="94" t="s">
        <v>2225</v>
      </c>
      <c r="BR111" s="94" t="s">
        <v>1625</v>
      </c>
      <c r="BS111" s="94" t="s">
        <v>927</v>
      </c>
      <c r="BT111" s="94"/>
    </row>
    <row r="112" spans="1:72" s="192" customFormat="1" ht="27">
      <c r="A112" s="53" t="s">
        <v>4780</v>
      </c>
      <c r="B112" s="54" t="s">
        <v>5086</v>
      </c>
      <c r="C112" s="54" t="s">
        <v>5086</v>
      </c>
      <c r="D112" s="54" t="s">
        <v>41</v>
      </c>
      <c r="E112" s="54"/>
      <c r="F112" s="187" t="s">
        <v>4780</v>
      </c>
      <c r="G112" s="188" t="s">
        <v>280</v>
      </c>
      <c r="H112" s="188" t="s">
        <v>39</v>
      </c>
      <c r="I112" s="188" t="s">
        <v>39</v>
      </c>
      <c r="J112" s="188" t="s">
        <v>2002</v>
      </c>
      <c r="K112" s="188" t="s">
        <v>2002</v>
      </c>
      <c r="L112" s="188" t="s">
        <v>39</v>
      </c>
      <c r="M112" s="188" t="s">
        <v>2632</v>
      </c>
      <c r="N112" s="188" t="s">
        <v>39</v>
      </c>
      <c r="O112" s="188" t="s">
        <v>2790</v>
      </c>
      <c r="P112" s="188" t="s">
        <v>2790</v>
      </c>
      <c r="Q112" s="188" t="s">
        <v>39</v>
      </c>
      <c r="R112" s="188" t="s">
        <v>3053</v>
      </c>
      <c r="S112" s="188" t="s">
        <v>39</v>
      </c>
      <c r="T112" s="188" t="s">
        <v>39</v>
      </c>
      <c r="U112" s="188" t="s">
        <v>3840</v>
      </c>
      <c r="V112" s="188" t="s">
        <v>3840</v>
      </c>
      <c r="W112" s="188" t="s">
        <v>1698</v>
      </c>
      <c r="X112" s="188" t="s">
        <v>39</v>
      </c>
      <c r="Y112" s="188" t="s">
        <v>39</v>
      </c>
      <c r="Z112" s="188" t="s">
        <v>41</v>
      </c>
      <c r="AA112" s="188" t="s">
        <v>41</v>
      </c>
      <c r="AB112" s="188" t="s">
        <v>41</v>
      </c>
      <c r="AC112" s="188" t="s">
        <v>39</v>
      </c>
      <c r="AD112" s="188" t="s">
        <v>3919</v>
      </c>
      <c r="AE112" s="188" t="s">
        <v>3919</v>
      </c>
      <c r="AF112" s="188" t="s">
        <v>3919</v>
      </c>
      <c r="AG112" s="188" t="s">
        <v>41</v>
      </c>
      <c r="AH112" s="188" t="s">
        <v>41</v>
      </c>
      <c r="AI112" s="188" t="s">
        <v>2447</v>
      </c>
      <c r="AJ112" s="188" t="s">
        <v>2447</v>
      </c>
      <c r="AK112" s="188" t="s">
        <v>2447</v>
      </c>
      <c r="AL112" s="188" t="s">
        <v>2447</v>
      </c>
      <c r="AM112" s="188" t="s">
        <v>41</v>
      </c>
      <c r="AN112" s="188" t="s">
        <v>39</v>
      </c>
      <c r="AO112" s="188" t="s">
        <v>41</v>
      </c>
      <c r="AP112" s="188" t="s">
        <v>39</v>
      </c>
      <c r="AQ112" s="188" t="s">
        <v>41</v>
      </c>
      <c r="AR112" s="188" t="s">
        <v>39</v>
      </c>
      <c r="AS112" s="188" t="s">
        <v>41</v>
      </c>
      <c r="AT112" s="188" t="s">
        <v>41</v>
      </c>
      <c r="AU112" s="188" t="s">
        <v>41</v>
      </c>
      <c r="AV112" s="188" t="s">
        <v>41</v>
      </c>
      <c r="AW112" s="188" t="s">
        <v>41</v>
      </c>
      <c r="AX112" s="188" t="s">
        <v>39</v>
      </c>
      <c r="AY112" s="188" t="s">
        <v>39</v>
      </c>
      <c r="AZ112" s="188" t="s">
        <v>39</v>
      </c>
      <c r="BA112" s="188" t="s">
        <v>41</v>
      </c>
      <c r="BB112" s="188" t="s">
        <v>41</v>
      </c>
      <c r="BC112" s="188" t="s">
        <v>50</v>
      </c>
      <c r="BD112" s="188" t="s">
        <v>2903</v>
      </c>
      <c r="BE112" s="188" t="s">
        <v>39</v>
      </c>
      <c r="BF112" s="188" t="s">
        <v>546</v>
      </c>
      <c r="BG112" s="188" t="s">
        <v>2790</v>
      </c>
      <c r="BH112" s="188" t="s">
        <v>41</v>
      </c>
      <c r="BI112" s="188" t="s">
        <v>41</v>
      </c>
      <c r="BJ112" s="188" t="s">
        <v>41</v>
      </c>
      <c r="BK112" s="188" t="s">
        <v>41</v>
      </c>
      <c r="BL112" s="188" t="s">
        <v>779</v>
      </c>
      <c r="BM112" s="188" t="s">
        <v>39</v>
      </c>
      <c r="BN112" s="188" t="s">
        <v>39</v>
      </c>
      <c r="BO112" s="188" t="s">
        <v>41</v>
      </c>
      <c r="BP112" s="188" t="s">
        <v>41</v>
      </c>
      <c r="BQ112" s="188" t="s">
        <v>2224</v>
      </c>
      <c r="BR112" s="188" t="s">
        <v>956</v>
      </c>
      <c r="BS112" s="188" t="s">
        <v>956</v>
      </c>
      <c r="BT112" s="188" t="s">
        <v>39</v>
      </c>
    </row>
    <row r="113" spans="1:72" s="2" customFormat="1" ht="9" customHeight="1">
      <c r="A113" s="95" t="s">
        <v>688</v>
      </c>
      <c r="B113" s="94" t="s">
        <v>5087</v>
      </c>
      <c r="C113" s="94" t="s">
        <v>5087</v>
      </c>
      <c r="D113" s="94" t="s">
        <v>4893</v>
      </c>
      <c r="E113" s="94"/>
      <c r="F113" s="95" t="s">
        <v>688</v>
      </c>
      <c r="G113" s="94"/>
      <c r="H113" s="94" t="s">
        <v>39</v>
      </c>
      <c r="I113" s="94" t="s">
        <v>39</v>
      </c>
      <c r="J113" s="94" t="s">
        <v>2001</v>
      </c>
      <c r="K113" s="94" t="s">
        <v>2001</v>
      </c>
      <c r="L113" s="94"/>
      <c r="M113" s="94" t="s">
        <v>2662</v>
      </c>
      <c r="N113" s="94" t="s">
        <v>39</v>
      </c>
      <c r="O113" s="94" t="s">
        <v>1259</v>
      </c>
      <c r="P113" s="94" t="s">
        <v>2778</v>
      </c>
      <c r="Q113" s="94" t="s">
        <v>39</v>
      </c>
      <c r="R113" s="91" t="s">
        <v>1215</v>
      </c>
      <c r="S113" s="94" t="s">
        <v>39</v>
      </c>
      <c r="T113" s="94" t="s">
        <v>39</v>
      </c>
      <c r="U113" s="94" t="s">
        <v>3383</v>
      </c>
      <c r="V113" s="94" t="s">
        <v>3383</v>
      </c>
      <c r="W113" s="94" t="s">
        <v>1697</v>
      </c>
      <c r="X113" s="94" t="s">
        <v>39</v>
      </c>
      <c r="Y113" s="94" t="s">
        <v>39</v>
      </c>
      <c r="Z113" s="94" t="s">
        <v>4128</v>
      </c>
      <c r="AA113" s="94" t="s">
        <v>4128</v>
      </c>
      <c r="AB113" s="94" t="s">
        <v>4128</v>
      </c>
      <c r="AC113" s="94" t="s">
        <v>39</v>
      </c>
      <c r="AD113" s="94" t="s">
        <v>3920</v>
      </c>
      <c r="AE113" s="94" t="s">
        <v>3920</v>
      </c>
      <c r="AF113" s="94" t="s">
        <v>3920</v>
      </c>
      <c r="AG113" s="94" t="s">
        <v>4206</v>
      </c>
      <c r="AH113" s="94" t="s">
        <v>3698</v>
      </c>
      <c r="AI113" s="94" t="s">
        <v>2448</v>
      </c>
      <c r="AJ113" s="94" t="s">
        <v>2448</v>
      </c>
      <c r="AK113" s="94" t="s">
        <v>2448</v>
      </c>
      <c r="AL113" s="94" t="s">
        <v>2448</v>
      </c>
      <c r="AM113" s="94" t="s">
        <v>1144</v>
      </c>
      <c r="AN113" s="94"/>
      <c r="AO113" s="94" t="s">
        <v>2539</v>
      </c>
      <c r="AP113" s="94" t="s">
        <v>39</v>
      </c>
      <c r="AQ113" s="94" t="s">
        <v>2584</v>
      </c>
      <c r="AR113" s="94" t="s">
        <v>39</v>
      </c>
      <c r="AS113" s="94" t="s">
        <v>3293</v>
      </c>
      <c r="AT113" s="94" t="s">
        <v>3557</v>
      </c>
      <c r="AU113" s="94" t="s">
        <v>3557</v>
      </c>
      <c r="AV113" s="94" t="s">
        <v>3557</v>
      </c>
      <c r="AW113" s="94" t="s">
        <v>3557</v>
      </c>
      <c r="AX113" s="94"/>
      <c r="AY113" s="94"/>
      <c r="AZ113" s="94"/>
      <c r="BA113" s="94" t="s">
        <v>1485</v>
      </c>
      <c r="BB113" s="94" t="s">
        <v>1485</v>
      </c>
      <c r="BC113" s="94"/>
      <c r="BD113" s="94" t="s">
        <v>2881</v>
      </c>
      <c r="BE113" s="94" t="s">
        <v>39</v>
      </c>
      <c r="BF113" s="94" t="s">
        <v>2627</v>
      </c>
      <c r="BG113" s="94" t="s">
        <v>1730</v>
      </c>
      <c r="BH113" s="94" t="s">
        <v>2928</v>
      </c>
      <c r="BI113" s="94" t="s">
        <v>2928</v>
      </c>
      <c r="BJ113" s="94" t="s">
        <v>1265</v>
      </c>
      <c r="BK113" s="94" t="s">
        <v>1265</v>
      </c>
      <c r="BL113" s="94" t="s">
        <v>3013</v>
      </c>
      <c r="BM113" s="94" t="s">
        <v>39</v>
      </c>
      <c r="BN113" s="94" t="s">
        <v>39</v>
      </c>
      <c r="BO113" s="94" t="s">
        <v>2125</v>
      </c>
      <c r="BP113" s="94" t="s">
        <v>2125</v>
      </c>
      <c r="BQ113" s="94" t="s">
        <v>2223</v>
      </c>
      <c r="BR113" s="94" t="s">
        <v>1631</v>
      </c>
      <c r="BS113" s="94" t="s">
        <v>1631</v>
      </c>
      <c r="BT113" s="94"/>
    </row>
    <row r="114" spans="1:72" ht="9" customHeight="1">
      <c r="A114" s="59"/>
      <c r="B114" s="204"/>
      <c r="C114" s="204"/>
      <c r="D114" s="204"/>
      <c r="E114" s="246"/>
      <c r="F114" s="59"/>
    </row>
    <row r="115" spans="1:72">
      <c r="A115" s="176" t="s">
        <v>4992</v>
      </c>
      <c r="B115" s="202" t="str">
        <f>B1</f>
        <v xml:space="preserve">Interlloyd Premium Plus </v>
      </c>
      <c r="C115" s="202" t="str">
        <f>C1</f>
        <v xml:space="preserve">Interlloyd Premium Plus HB </v>
      </c>
      <c r="D115" s="202" t="str">
        <f>D1</f>
        <v>Interlloyd Protect</v>
      </c>
      <c r="E115" s="202"/>
      <c r="F115" s="176" t="s">
        <v>4992</v>
      </c>
      <c r="BO115" s="200"/>
      <c r="BP115" s="200"/>
    </row>
    <row r="116" spans="1:72" s="115" customFormat="1" ht="27">
      <c r="A116" s="53" t="s">
        <v>5761</v>
      </c>
      <c r="B116" s="114" t="s">
        <v>5064</v>
      </c>
      <c r="C116" s="114" t="s">
        <v>5064</v>
      </c>
      <c r="D116" s="114" t="s">
        <v>4867</v>
      </c>
      <c r="E116" s="114"/>
      <c r="F116" s="53" t="s">
        <v>4866</v>
      </c>
      <c r="G116" s="54"/>
      <c r="H116" s="54"/>
      <c r="I116" s="54"/>
      <c r="J116" s="54"/>
      <c r="K116" s="54"/>
      <c r="L116" s="54"/>
      <c r="M116" s="123"/>
      <c r="N116" s="54"/>
      <c r="O116" s="54"/>
      <c r="P116" s="54"/>
      <c r="Q116" s="116"/>
      <c r="R116" s="116"/>
      <c r="S116" s="54"/>
      <c r="T116" s="116"/>
      <c r="U116" s="54"/>
      <c r="V116" s="54"/>
      <c r="W116" s="54"/>
      <c r="X116" s="54"/>
      <c r="Y116" s="75"/>
      <c r="Z116" s="123"/>
      <c r="AA116" s="123"/>
      <c r="AB116" s="123"/>
      <c r="AC116" s="54"/>
      <c r="AD116" s="79"/>
      <c r="AE116" s="79"/>
      <c r="AF116" s="79"/>
      <c r="AG116" s="79"/>
      <c r="AH116" s="54"/>
      <c r="AI116" s="54"/>
      <c r="AJ116" s="54"/>
      <c r="AK116" s="54"/>
      <c r="AL116" s="54"/>
      <c r="AM116" s="54"/>
      <c r="AN116" s="54"/>
      <c r="AO116" s="114"/>
      <c r="AP116" s="114"/>
      <c r="AQ116" s="54"/>
      <c r="AR116" s="54"/>
      <c r="AS116" s="54"/>
      <c r="AT116" s="54"/>
      <c r="AU116" s="116"/>
      <c r="AV116" s="54"/>
      <c r="AW116" s="116"/>
      <c r="AX116" s="54"/>
      <c r="AY116" s="54"/>
      <c r="AZ116" s="54"/>
      <c r="BA116" s="54"/>
      <c r="BB116" s="54"/>
      <c r="BC116" s="54"/>
      <c r="BD116" s="54"/>
      <c r="BE116" s="54"/>
      <c r="BF116" s="54"/>
      <c r="BG116" s="54"/>
      <c r="BH116" s="54"/>
      <c r="BI116" s="54"/>
      <c r="BJ116" s="54"/>
      <c r="BK116" s="54"/>
      <c r="BL116" s="79"/>
      <c r="BM116" s="79"/>
      <c r="BN116" s="79"/>
      <c r="BO116" s="54"/>
      <c r="BP116" s="54"/>
      <c r="BQ116" s="54"/>
      <c r="BR116" s="54"/>
      <c r="BS116" s="54"/>
      <c r="BT116" s="75"/>
    </row>
    <row r="117" spans="1:72" s="2" customFormat="1" ht="9" customHeight="1">
      <c r="A117" s="95" t="s">
        <v>688</v>
      </c>
      <c r="B117" s="94" t="s">
        <v>5065</v>
      </c>
      <c r="C117" s="94" t="s">
        <v>5065</v>
      </c>
      <c r="D117" s="94" t="s">
        <v>4868</v>
      </c>
      <c r="E117" s="94"/>
      <c r="F117" s="95" t="s">
        <v>688</v>
      </c>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4"/>
      <c r="BB117" s="94"/>
      <c r="BC117" s="94"/>
      <c r="BD117" s="94"/>
      <c r="BE117" s="94"/>
      <c r="BF117" s="94"/>
      <c r="BG117" s="94"/>
      <c r="BH117" s="94"/>
      <c r="BI117" s="94"/>
      <c r="BJ117" s="94"/>
      <c r="BK117" s="94"/>
      <c r="BL117" s="94"/>
      <c r="BM117" s="94"/>
      <c r="BN117" s="94"/>
      <c r="BO117" s="94"/>
      <c r="BP117" s="94"/>
      <c r="BQ117" s="94"/>
      <c r="BR117" s="94"/>
      <c r="BS117" s="94"/>
      <c r="BT117" s="94"/>
    </row>
    <row r="118" spans="1:72" s="115" customFormat="1" ht="153">
      <c r="A118" s="53" t="s">
        <v>177</v>
      </c>
      <c r="B118" s="114" t="s">
        <v>5874</v>
      </c>
      <c r="C118" s="114" t="s">
        <v>5874</v>
      </c>
      <c r="D118" s="114" t="s">
        <v>6237</v>
      </c>
      <c r="E118" s="114"/>
      <c r="F118" s="53" t="s">
        <v>177</v>
      </c>
      <c r="G118" s="54" t="s">
        <v>276</v>
      </c>
      <c r="H118" s="54" t="s">
        <v>535</v>
      </c>
      <c r="I118" s="54" t="s">
        <v>535</v>
      </c>
      <c r="J118" s="54" t="s">
        <v>535</v>
      </c>
      <c r="K118" s="54" t="s">
        <v>535</v>
      </c>
      <c r="L118" s="54" t="s">
        <v>645</v>
      </c>
      <c r="M118" s="123" t="s">
        <v>2655</v>
      </c>
      <c r="N118" s="54" t="s">
        <v>2721</v>
      </c>
      <c r="O118" s="54" t="s">
        <v>39</v>
      </c>
      <c r="P118" s="54" t="s">
        <v>2754</v>
      </c>
      <c r="Q118" s="116">
        <v>5000</v>
      </c>
      <c r="R118" s="116">
        <v>5000</v>
      </c>
      <c r="S118" s="54" t="s">
        <v>39</v>
      </c>
      <c r="T118" s="116">
        <v>2000</v>
      </c>
      <c r="U118" s="54" t="s">
        <v>3815</v>
      </c>
      <c r="V118" s="54" t="s">
        <v>39</v>
      </c>
      <c r="W118" s="54" t="s">
        <v>510</v>
      </c>
      <c r="X118" s="54" t="s">
        <v>39</v>
      </c>
      <c r="Y118" s="75" t="s">
        <v>33</v>
      </c>
      <c r="Z118" s="123" t="s">
        <v>39</v>
      </c>
      <c r="AA118" s="123" t="s">
        <v>39</v>
      </c>
      <c r="AB118" s="123" t="s">
        <v>39</v>
      </c>
      <c r="AC118" s="54" t="s">
        <v>810</v>
      </c>
      <c r="AD118" s="79" t="s">
        <v>39</v>
      </c>
      <c r="AE118" s="79" t="s">
        <v>65</v>
      </c>
      <c r="AF118" s="79" t="s">
        <v>138</v>
      </c>
      <c r="AG118" s="79" t="s">
        <v>4191</v>
      </c>
      <c r="AH118" s="54" t="s">
        <v>65</v>
      </c>
      <c r="AI118" s="54" t="s">
        <v>39</v>
      </c>
      <c r="AJ118" s="54" t="s">
        <v>810</v>
      </c>
      <c r="AK118" s="54" t="s">
        <v>2312</v>
      </c>
      <c r="AL118" s="54" t="s">
        <v>710</v>
      </c>
      <c r="AM118" s="54" t="s">
        <v>1153</v>
      </c>
      <c r="AN118" s="54" t="s">
        <v>39</v>
      </c>
      <c r="AO118" s="114" t="s">
        <v>2520</v>
      </c>
      <c r="AP118" s="114" t="s">
        <v>2520</v>
      </c>
      <c r="AQ118" s="54" t="s">
        <v>50</v>
      </c>
      <c r="AR118" s="54" t="s">
        <v>39</v>
      </c>
      <c r="AS118" s="54" t="s">
        <v>3305</v>
      </c>
      <c r="AT118" s="54" t="s">
        <v>3581</v>
      </c>
      <c r="AU118" s="116">
        <v>25000</v>
      </c>
      <c r="AV118" s="54" t="s">
        <v>3431</v>
      </c>
      <c r="AW118" s="116">
        <v>25000</v>
      </c>
      <c r="AX118" s="54" t="s">
        <v>39</v>
      </c>
      <c r="AY118" s="54" t="s">
        <v>61</v>
      </c>
      <c r="AZ118" s="54" t="s">
        <v>61</v>
      </c>
      <c r="BA118" s="54" t="s">
        <v>535</v>
      </c>
      <c r="BB118" s="54" t="s">
        <v>1487</v>
      </c>
      <c r="BC118" s="54" t="s">
        <v>370</v>
      </c>
      <c r="BD118" s="54" t="s">
        <v>39</v>
      </c>
      <c r="BE118" s="54" t="s">
        <v>41</v>
      </c>
      <c r="BF118" s="54" t="s">
        <v>50</v>
      </c>
      <c r="BG118" s="54" t="s">
        <v>39</v>
      </c>
      <c r="BH118" s="54" t="s">
        <v>867</v>
      </c>
      <c r="BI118" s="54" t="s">
        <v>867</v>
      </c>
      <c r="BJ118" s="54" t="s">
        <v>535</v>
      </c>
      <c r="BK118" s="54" t="s">
        <v>550</v>
      </c>
      <c r="BL118" s="79" t="s">
        <v>3005</v>
      </c>
      <c r="BM118" s="79" t="s">
        <v>3225</v>
      </c>
      <c r="BN118" s="79" t="s">
        <v>3224</v>
      </c>
      <c r="BO118" s="54" t="s">
        <v>560</v>
      </c>
      <c r="BP118" s="54" t="s">
        <v>560</v>
      </c>
      <c r="BQ118" s="54" t="s">
        <v>2196</v>
      </c>
      <c r="BR118" s="54" t="s">
        <v>65</v>
      </c>
      <c r="BS118" s="54" t="s">
        <v>65</v>
      </c>
      <c r="BT118" s="75">
        <v>3000</v>
      </c>
    </row>
    <row r="119" spans="1:72" s="2" customFormat="1" ht="9" customHeight="1">
      <c r="A119" s="95" t="s">
        <v>688</v>
      </c>
      <c r="B119" s="94" t="s">
        <v>4980</v>
      </c>
      <c r="C119" s="94" t="s">
        <v>4980</v>
      </c>
      <c r="D119" s="94" t="s">
        <v>4884</v>
      </c>
      <c r="E119" s="94"/>
      <c r="F119" s="95" t="s">
        <v>688</v>
      </c>
      <c r="G119" s="94"/>
      <c r="H119" s="94" t="s">
        <v>3141</v>
      </c>
      <c r="I119" s="94" t="s">
        <v>3142</v>
      </c>
      <c r="J119" s="94" t="s">
        <v>1997</v>
      </c>
      <c r="K119" s="94" t="s">
        <v>1997</v>
      </c>
      <c r="L119" s="94"/>
      <c r="M119" s="94" t="s">
        <v>2071</v>
      </c>
      <c r="N119" s="94" t="s">
        <v>2720</v>
      </c>
      <c r="O119" s="94" t="s">
        <v>39</v>
      </c>
      <c r="P119" s="94" t="s">
        <v>1232</v>
      </c>
      <c r="Q119" s="94" t="s">
        <v>3050</v>
      </c>
      <c r="R119" s="94" t="s">
        <v>3050</v>
      </c>
      <c r="S119" s="94" t="s">
        <v>39</v>
      </c>
      <c r="T119" s="94" t="s">
        <v>2798</v>
      </c>
      <c r="U119" s="94" t="s">
        <v>1326</v>
      </c>
      <c r="V119" s="94" t="s">
        <v>39</v>
      </c>
      <c r="W119" s="94" t="s">
        <v>1661</v>
      </c>
      <c r="X119" s="94" t="s">
        <v>39</v>
      </c>
      <c r="Y119" s="94" t="s">
        <v>3707</v>
      </c>
      <c r="Z119" s="94" t="s">
        <v>39</v>
      </c>
      <c r="AA119" s="94" t="s">
        <v>39</v>
      </c>
      <c r="AB119" s="94" t="s">
        <v>39</v>
      </c>
      <c r="AC119" s="94" t="s">
        <v>809</v>
      </c>
      <c r="AD119" s="94" t="s">
        <v>3896</v>
      </c>
      <c r="AE119" s="94" t="s">
        <v>3896</v>
      </c>
      <c r="AF119" s="94" t="s">
        <v>3896</v>
      </c>
      <c r="AG119" s="94" t="s">
        <v>4192</v>
      </c>
      <c r="AH119" s="94" t="s">
        <v>2523</v>
      </c>
      <c r="AI119" s="94" t="s">
        <v>39</v>
      </c>
      <c r="AJ119" s="94" t="s">
        <v>2370</v>
      </c>
      <c r="AK119" s="94" t="s">
        <v>2311</v>
      </c>
      <c r="AL119" s="94" t="s">
        <v>2249</v>
      </c>
      <c r="AM119" s="94" t="s">
        <v>1141</v>
      </c>
      <c r="AN119" s="94"/>
      <c r="AO119" s="94" t="s">
        <v>2559</v>
      </c>
      <c r="AP119" s="94" t="s">
        <v>2521</v>
      </c>
      <c r="AQ119" s="94" t="s">
        <v>2576</v>
      </c>
      <c r="AR119" s="94" t="s">
        <v>39</v>
      </c>
      <c r="AS119" s="94" t="s">
        <v>3304</v>
      </c>
      <c r="AT119" s="94" t="s">
        <v>3580</v>
      </c>
      <c r="AU119" s="94" t="s">
        <v>3632</v>
      </c>
      <c r="AV119" s="94" t="s">
        <v>3521</v>
      </c>
      <c r="AW119" s="94" t="s">
        <v>3552</v>
      </c>
      <c r="AX119" s="94"/>
      <c r="AY119" s="94"/>
      <c r="AZ119" s="94"/>
      <c r="BA119" s="94" t="s">
        <v>1495</v>
      </c>
      <c r="BB119" s="94" t="s">
        <v>1486</v>
      </c>
      <c r="BC119" s="94"/>
      <c r="BD119" s="94" t="s">
        <v>39</v>
      </c>
      <c r="BE119" s="94" t="s">
        <v>3391</v>
      </c>
      <c r="BF119" s="94" t="s">
        <v>2602</v>
      </c>
      <c r="BG119" s="94" t="s">
        <v>39</v>
      </c>
      <c r="BH119" s="94" t="s">
        <v>868</v>
      </c>
      <c r="BI119" s="94" t="s">
        <v>868</v>
      </c>
      <c r="BJ119" s="94" t="s">
        <v>1353</v>
      </c>
      <c r="BK119" s="94" t="s">
        <v>1267</v>
      </c>
      <c r="BL119" s="94" t="s">
        <v>3004</v>
      </c>
      <c r="BM119" s="94" t="s">
        <v>3223</v>
      </c>
      <c r="BN119" s="94" t="s">
        <v>3223</v>
      </c>
      <c r="BO119" s="94" t="s">
        <v>2126</v>
      </c>
      <c r="BP119" s="94" t="s">
        <v>2126</v>
      </c>
      <c r="BQ119" s="94" t="s">
        <v>2195</v>
      </c>
      <c r="BR119" s="94" t="s">
        <v>1627</v>
      </c>
      <c r="BS119" s="94" t="s">
        <v>1627</v>
      </c>
      <c r="BT119" s="94"/>
    </row>
    <row r="120" spans="1:72" s="14" customFormat="1" ht="27">
      <c r="A120" s="53" t="s">
        <v>139</v>
      </c>
      <c r="B120" s="54" t="s">
        <v>4916</v>
      </c>
      <c r="C120" s="54" t="s">
        <v>4916</v>
      </c>
      <c r="D120" s="54" t="s">
        <v>4916</v>
      </c>
      <c r="E120" s="54"/>
      <c r="F120" s="53" t="s">
        <v>139</v>
      </c>
      <c r="G120" s="54" t="s">
        <v>275</v>
      </c>
      <c r="H120" s="54" t="s">
        <v>3159</v>
      </c>
      <c r="I120" s="54" t="s">
        <v>3157</v>
      </c>
      <c r="J120" s="54" t="s">
        <v>1913</v>
      </c>
      <c r="K120" s="54" t="s">
        <v>1913</v>
      </c>
      <c r="L120" s="54" t="s">
        <v>648</v>
      </c>
      <c r="M120" s="123" t="s">
        <v>4169</v>
      </c>
      <c r="N120" s="54" t="s">
        <v>2718</v>
      </c>
      <c r="O120" s="116" t="s">
        <v>2776</v>
      </c>
      <c r="P120" s="116" t="s">
        <v>2753</v>
      </c>
      <c r="Q120" s="54" t="s">
        <v>39</v>
      </c>
      <c r="R120" s="54" t="s">
        <v>39</v>
      </c>
      <c r="S120" s="54" t="s">
        <v>39</v>
      </c>
      <c r="T120" s="54" t="s">
        <v>2810</v>
      </c>
      <c r="U120" s="116">
        <v>100</v>
      </c>
      <c r="V120" s="54" t="s">
        <v>4209</v>
      </c>
      <c r="W120" s="54" t="s">
        <v>510</v>
      </c>
      <c r="X120" s="54" t="s">
        <v>39</v>
      </c>
      <c r="Y120" s="54" t="s">
        <v>1756</v>
      </c>
      <c r="Z120" s="123" t="s">
        <v>39</v>
      </c>
      <c r="AA120" s="123" t="s">
        <v>318</v>
      </c>
      <c r="AB120" s="123" t="s">
        <v>318</v>
      </c>
      <c r="AC120" s="54" t="s">
        <v>39</v>
      </c>
      <c r="AD120" s="54" t="s">
        <v>3922</v>
      </c>
      <c r="AE120" s="54" t="s">
        <v>3922</v>
      </c>
      <c r="AF120" s="54" t="s">
        <v>3922</v>
      </c>
      <c r="AG120" s="54" t="s">
        <v>4244</v>
      </c>
      <c r="AH120" s="54" t="s">
        <v>39</v>
      </c>
      <c r="AI120" s="54" t="s">
        <v>39</v>
      </c>
      <c r="AJ120" s="54" t="s">
        <v>39</v>
      </c>
      <c r="AK120" s="54" t="s">
        <v>39</v>
      </c>
      <c r="AL120" s="54" t="s">
        <v>2446</v>
      </c>
      <c r="AM120" s="54" t="s">
        <v>1128</v>
      </c>
      <c r="AN120" s="54" t="s">
        <v>50</v>
      </c>
      <c r="AO120" s="54" t="s">
        <v>2533</v>
      </c>
      <c r="AP120" s="54" t="s">
        <v>2475</v>
      </c>
      <c r="AQ120" s="54" t="s">
        <v>2533</v>
      </c>
      <c r="AR120" s="54" t="s">
        <v>39</v>
      </c>
      <c r="AS120" s="54" t="s">
        <v>39</v>
      </c>
      <c r="AT120" s="54" t="s">
        <v>39</v>
      </c>
      <c r="AU120" s="54" t="s">
        <v>3595</v>
      </c>
      <c r="AV120" s="54" t="s">
        <v>3594</v>
      </c>
      <c r="AW120" s="54" t="s">
        <v>3595</v>
      </c>
      <c r="AX120" s="54" t="s">
        <v>39</v>
      </c>
      <c r="AY120" s="75">
        <v>5000</v>
      </c>
      <c r="AZ120" s="75">
        <v>5000</v>
      </c>
      <c r="BA120" s="54" t="s">
        <v>39</v>
      </c>
      <c r="BB120" s="54" t="s">
        <v>1484</v>
      </c>
      <c r="BC120" s="54" t="s">
        <v>39</v>
      </c>
      <c r="BD120" s="54" t="s">
        <v>2911</v>
      </c>
      <c r="BE120" s="54" t="s">
        <v>39</v>
      </c>
      <c r="BF120" s="54" t="s">
        <v>2613</v>
      </c>
      <c r="BG120" s="116" t="s">
        <v>2776</v>
      </c>
      <c r="BH120" s="75" t="s">
        <v>865</v>
      </c>
      <c r="BI120" s="75" t="s">
        <v>865</v>
      </c>
      <c r="BJ120" s="54" t="s">
        <v>1360</v>
      </c>
      <c r="BK120" s="54" t="s">
        <v>1289</v>
      </c>
      <c r="BL120" s="54" t="s">
        <v>39</v>
      </c>
      <c r="BM120" s="54" t="s">
        <v>39</v>
      </c>
      <c r="BN120" s="54" t="s">
        <v>39</v>
      </c>
      <c r="BO120" s="54" t="s">
        <v>2131</v>
      </c>
      <c r="BP120" s="54" t="s">
        <v>2131</v>
      </c>
      <c r="BQ120" s="54" t="s">
        <v>39</v>
      </c>
      <c r="BR120" s="54" t="s">
        <v>39</v>
      </c>
      <c r="BS120" s="54" t="s">
        <v>39</v>
      </c>
      <c r="BT120" s="75">
        <v>1000</v>
      </c>
    </row>
    <row r="121" spans="1:72" s="2" customFormat="1" ht="9" customHeight="1">
      <c r="A121" s="95" t="s">
        <v>688</v>
      </c>
      <c r="B121" s="94" t="s">
        <v>4981</v>
      </c>
      <c r="C121" s="94" t="s">
        <v>4981</v>
      </c>
      <c r="D121" s="94" t="s">
        <v>4917</v>
      </c>
      <c r="E121" s="285"/>
      <c r="F121" s="173" t="s">
        <v>688</v>
      </c>
      <c r="G121" s="94"/>
      <c r="H121" s="94" t="s">
        <v>3158</v>
      </c>
      <c r="I121" s="94" t="s">
        <v>3146</v>
      </c>
      <c r="J121" s="94" t="s">
        <v>1998</v>
      </c>
      <c r="K121" s="94" t="s">
        <v>1998</v>
      </c>
      <c r="L121" s="94"/>
      <c r="M121" s="94" t="s">
        <v>4168</v>
      </c>
      <c r="N121" s="94" t="s">
        <v>2717</v>
      </c>
      <c r="O121" s="94" t="s">
        <v>2749</v>
      </c>
      <c r="P121" s="94" t="s">
        <v>2752</v>
      </c>
      <c r="Q121" s="94" t="s">
        <v>39</v>
      </c>
      <c r="R121" s="94" t="s">
        <v>39</v>
      </c>
      <c r="S121" s="94" t="s">
        <v>39</v>
      </c>
      <c r="T121" s="94" t="s">
        <v>2809</v>
      </c>
      <c r="U121" s="94" t="s">
        <v>3826</v>
      </c>
      <c r="V121" s="94"/>
      <c r="W121" s="94" t="s">
        <v>1661</v>
      </c>
      <c r="X121" s="94" t="s">
        <v>39</v>
      </c>
      <c r="Y121" s="94" t="s">
        <v>3711</v>
      </c>
      <c r="Z121" s="94" t="s">
        <v>4055</v>
      </c>
      <c r="AA121" s="94" t="s">
        <v>4054</v>
      </c>
      <c r="AB121" s="94" t="s">
        <v>4054</v>
      </c>
      <c r="AC121" s="94" t="s">
        <v>39</v>
      </c>
      <c r="AD121" s="94" t="s">
        <v>3923</v>
      </c>
      <c r="AE121" s="94" t="s">
        <v>3923</v>
      </c>
      <c r="AF121" s="94" t="s">
        <v>3923</v>
      </c>
      <c r="AG121" s="94" t="s">
        <v>4245</v>
      </c>
      <c r="AH121" s="94" t="s">
        <v>39</v>
      </c>
      <c r="AI121" s="94" t="s">
        <v>39</v>
      </c>
      <c r="AJ121" s="94" t="s">
        <v>39</v>
      </c>
      <c r="AK121" s="94" t="s">
        <v>39</v>
      </c>
      <c r="AL121" s="94" t="s">
        <v>2253</v>
      </c>
      <c r="AM121" s="94" t="s">
        <v>1129</v>
      </c>
      <c r="AN121" s="94"/>
      <c r="AO121" s="94" t="s">
        <v>2532</v>
      </c>
      <c r="AP121" s="94" t="s">
        <v>2474</v>
      </c>
      <c r="AQ121" s="94" t="s">
        <v>2577</v>
      </c>
      <c r="AR121" s="94" t="s">
        <v>39</v>
      </c>
      <c r="AS121" s="94" t="s">
        <v>39</v>
      </c>
      <c r="AT121" s="94" t="s">
        <v>39</v>
      </c>
      <c r="AU121" s="94" t="s">
        <v>3596</v>
      </c>
      <c r="AV121" s="94" t="s">
        <v>3593</v>
      </c>
      <c r="AW121" s="94" t="s">
        <v>3543</v>
      </c>
      <c r="AX121" s="94"/>
      <c r="AY121" s="94"/>
      <c r="AZ121" s="94"/>
      <c r="BA121" s="94" t="s">
        <v>39</v>
      </c>
      <c r="BB121" s="94" t="s">
        <v>1483</v>
      </c>
      <c r="BC121" s="94"/>
      <c r="BD121" s="94" t="s">
        <v>2910</v>
      </c>
      <c r="BE121" s="94" t="s">
        <v>39</v>
      </c>
      <c r="BF121" s="94" t="s">
        <v>2612</v>
      </c>
      <c r="BG121" s="94" t="s">
        <v>2863</v>
      </c>
      <c r="BH121" s="94" t="s">
        <v>2929</v>
      </c>
      <c r="BI121" s="94" t="s">
        <v>2929</v>
      </c>
      <c r="BJ121" s="94" t="s">
        <v>1359</v>
      </c>
      <c r="BK121" s="94" t="s">
        <v>1288</v>
      </c>
      <c r="BL121" s="94" t="s">
        <v>39</v>
      </c>
      <c r="BM121" s="94" t="s">
        <v>39</v>
      </c>
      <c r="BN121" s="94" t="s">
        <v>39</v>
      </c>
      <c r="BO121" s="94" t="s">
        <v>2130</v>
      </c>
      <c r="BP121" s="94" t="s">
        <v>2130</v>
      </c>
      <c r="BQ121" s="94" t="s">
        <v>39</v>
      </c>
      <c r="BR121" s="94" t="s">
        <v>39</v>
      </c>
      <c r="BS121" s="94" t="s">
        <v>39</v>
      </c>
      <c r="BT121" s="94"/>
    </row>
    <row r="122" spans="1:72" s="14" customFormat="1" ht="27">
      <c r="A122" s="53" t="s">
        <v>4994</v>
      </c>
      <c r="B122" s="54" t="s">
        <v>4886</v>
      </c>
      <c r="C122" s="54" t="s">
        <v>4886</v>
      </c>
      <c r="D122" s="54" t="s">
        <v>4886</v>
      </c>
      <c r="E122" s="54"/>
      <c r="F122" s="53" t="s">
        <v>51</v>
      </c>
      <c r="G122" s="54" t="s">
        <v>280</v>
      </c>
      <c r="H122" s="54" t="s">
        <v>3182</v>
      </c>
      <c r="I122" s="54" t="s">
        <v>3182</v>
      </c>
      <c r="J122" s="54" t="s">
        <v>2003</v>
      </c>
      <c r="K122" s="54" t="s">
        <v>2003</v>
      </c>
      <c r="L122" s="54" t="s">
        <v>647</v>
      </c>
      <c r="M122" s="123" t="s">
        <v>324</v>
      </c>
      <c r="N122" s="54" t="s">
        <v>39</v>
      </c>
      <c r="O122" s="54" t="s">
        <v>39</v>
      </c>
      <c r="P122" s="54" t="s">
        <v>39</v>
      </c>
      <c r="Q122" s="54" t="s">
        <v>39</v>
      </c>
      <c r="R122" s="54" t="s">
        <v>3055</v>
      </c>
      <c r="S122" s="54" t="s">
        <v>39</v>
      </c>
      <c r="T122" s="54" t="s">
        <v>39</v>
      </c>
      <c r="U122" s="54" t="s">
        <v>3819</v>
      </c>
      <c r="V122" s="54" t="s">
        <v>39</v>
      </c>
      <c r="W122" s="54" t="s">
        <v>1693</v>
      </c>
      <c r="X122" s="54" t="s">
        <v>39</v>
      </c>
      <c r="Y122" s="54" t="s">
        <v>3722</v>
      </c>
      <c r="Z122" s="123" t="s">
        <v>39</v>
      </c>
      <c r="AA122" s="123" t="s">
        <v>4067</v>
      </c>
      <c r="AB122" s="123" t="s">
        <v>4032</v>
      </c>
      <c r="AC122" s="54" t="s">
        <v>39</v>
      </c>
      <c r="AD122" s="54" t="s">
        <v>3921</v>
      </c>
      <c r="AE122" s="54" t="s">
        <v>3921</v>
      </c>
      <c r="AF122" s="54" t="s">
        <v>3921</v>
      </c>
      <c r="AG122" s="54" t="s">
        <v>4207</v>
      </c>
      <c r="AH122" s="54" t="s">
        <v>3660</v>
      </c>
      <c r="AI122" s="54" t="s">
        <v>2449</v>
      </c>
      <c r="AJ122" s="54" t="s">
        <v>2449</v>
      </c>
      <c r="AK122" s="54" t="s">
        <v>2449</v>
      </c>
      <c r="AL122" s="54" t="s">
        <v>2449</v>
      </c>
      <c r="AM122" s="54" t="s">
        <v>39</v>
      </c>
      <c r="AN122" s="54" t="s">
        <v>50</v>
      </c>
      <c r="AO122" s="54" t="s">
        <v>50</v>
      </c>
      <c r="AP122" s="54" t="s">
        <v>50</v>
      </c>
      <c r="AQ122" s="54" t="s">
        <v>50</v>
      </c>
      <c r="AR122" s="54" t="s">
        <v>476</v>
      </c>
      <c r="AS122" s="54" t="s">
        <v>3296</v>
      </c>
      <c r="AT122" s="54" t="s">
        <v>3576</v>
      </c>
      <c r="AU122" s="54" t="s">
        <v>3518</v>
      </c>
      <c r="AV122" s="54" t="s">
        <v>3517</v>
      </c>
      <c r="AW122" s="54" t="s">
        <v>3518</v>
      </c>
      <c r="AX122" s="54" t="s">
        <v>39</v>
      </c>
      <c r="AY122" s="54" t="s">
        <v>39</v>
      </c>
      <c r="AZ122" s="54" t="s">
        <v>39</v>
      </c>
      <c r="BA122" s="54" t="s">
        <v>1503</v>
      </c>
      <c r="BB122" s="54" t="s">
        <v>1475</v>
      </c>
      <c r="BC122" s="54" t="s">
        <v>379</v>
      </c>
      <c r="BD122" s="54" t="s">
        <v>2905</v>
      </c>
      <c r="BE122" s="54" t="s">
        <v>39</v>
      </c>
      <c r="BF122" s="48" t="s">
        <v>39</v>
      </c>
      <c r="BG122" s="54" t="s">
        <v>39</v>
      </c>
      <c r="BH122" s="54" t="s">
        <v>896</v>
      </c>
      <c r="BI122" s="54" t="s">
        <v>896</v>
      </c>
      <c r="BJ122" s="54" t="s">
        <v>1358</v>
      </c>
      <c r="BK122" s="54" t="s">
        <v>1304</v>
      </c>
      <c r="BL122" s="54" t="s">
        <v>583</v>
      </c>
      <c r="BM122" s="54" t="s">
        <v>3240</v>
      </c>
      <c r="BN122" s="54" t="s">
        <v>3240</v>
      </c>
      <c r="BO122" s="54" t="s">
        <v>3413</v>
      </c>
      <c r="BP122" s="54" t="s">
        <v>2111</v>
      </c>
      <c r="BQ122" s="54" t="s">
        <v>2230</v>
      </c>
      <c r="BR122" s="54" t="s">
        <v>953</v>
      </c>
      <c r="BS122" s="54" t="s">
        <v>953</v>
      </c>
      <c r="BT122" s="54" t="s">
        <v>2229</v>
      </c>
    </row>
    <row r="123" spans="1:72" s="2" customFormat="1" ht="9" customHeight="1">
      <c r="A123" s="95" t="s">
        <v>688</v>
      </c>
      <c r="B123" s="94" t="s">
        <v>4986</v>
      </c>
      <c r="C123" s="94" t="s">
        <v>4986</v>
      </c>
      <c r="D123" s="94" t="s">
        <v>4885</v>
      </c>
      <c r="E123" s="94"/>
      <c r="F123" s="95" t="s">
        <v>688</v>
      </c>
      <c r="G123" s="94"/>
      <c r="H123" s="94" t="s">
        <v>3181</v>
      </c>
      <c r="I123" s="94" t="s">
        <v>3180</v>
      </c>
      <c r="J123" s="94" t="s">
        <v>2018</v>
      </c>
      <c r="K123" s="94" t="s">
        <v>2018</v>
      </c>
      <c r="L123" s="94"/>
      <c r="M123" s="94" t="s">
        <v>2646</v>
      </c>
      <c r="N123" s="94" t="s">
        <v>39</v>
      </c>
      <c r="O123" s="94" t="s">
        <v>39</v>
      </c>
      <c r="P123" s="94" t="s">
        <v>39</v>
      </c>
      <c r="Q123" s="94" t="s">
        <v>39</v>
      </c>
      <c r="R123" s="91" t="s">
        <v>3054</v>
      </c>
      <c r="S123" s="94" t="s">
        <v>39</v>
      </c>
      <c r="T123" s="94" t="s">
        <v>39</v>
      </c>
      <c r="U123" s="94" t="s">
        <v>2497</v>
      </c>
      <c r="V123" s="94" t="s">
        <v>39</v>
      </c>
      <c r="W123" s="94" t="s">
        <v>1694</v>
      </c>
      <c r="X123" s="94" t="s">
        <v>39</v>
      </c>
      <c r="Y123" s="94" t="s">
        <v>3706</v>
      </c>
      <c r="Z123" s="94" t="s">
        <v>39</v>
      </c>
      <c r="AA123" s="94" t="s">
        <v>4039</v>
      </c>
      <c r="AB123" s="94" t="s">
        <v>4095</v>
      </c>
      <c r="AC123" s="94" t="s">
        <v>39</v>
      </c>
      <c r="AD123" s="94" t="s">
        <v>3920</v>
      </c>
      <c r="AE123" s="94" t="s">
        <v>3920</v>
      </c>
      <c r="AF123" s="94" t="s">
        <v>3920</v>
      </c>
      <c r="AG123" s="94" t="s">
        <v>4208</v>
      </c>
      <c r="AH123" s="94" t="s">
        <v>2752</v>
      </c>
      <c r="AI123" s="94" t="s">
        <v>2448</v>
      </c>
      <c r="AJ123" s="94" t="s">
        <v>2448</v>
      </c>
      <c r="AK123" s="94" t="s">
        <v>2448</v>
      </c>
      <c r="AL123" s="94" t="s">
        <v>2448</v>
      </c>
      <c r="AM123" s="94" t="s">
        <v>39</v>
      </c>
      <c r="AN123" s="94"/>
      <c r="AO123" s="94" t="s">
        <v>2476</v>
      </c>
      <c r="AP123" s="94" t="s">
        <v>2476</v>
      </c>
      <c r="AQ123" s="94" t="s">
        <v>2578</v>
      </c>
      <c r="AR123" s="94" t="s">
        <v>3353</v>
      </c>
      <c r="AS123" s="94" t="s">
        <v>3301</v>
      </c>
      <c r="AT123" s="94" t="s">
        <v>3575</v>
      </c>
      <c r="AU123" s="94" t="s">
        <v>3611</v>
      </c>
      <c r="AV123" s="94" t="s">
        <v>3516</v>
      </c>
      <c r="AW123" s="94" t="s">
        <v>3556</v>
      </c>
      <c r="AX123" s="94"/>
      <c r="AY123" s="94"/>
      <c r="AZ123" s="94"/>
      <c r="BA123" s="94" t="s">
        <v>1504</v>
      </c>
      <c r="BB123" s="94" t="s">
        <v>1476</v>
      </c>
      <c r="BC123" s="94"/>
      <c r="BD123" s="94" t="s">
        <v>2904</v>
      </c>
      <c r="BE123" s="94" t="s">
        <v>39</v>
      </c>
      <c r="BF123" s="94" t="s">
        <v>39</v>
      </c>
      <c r="BG123" s="94" t="s">
        <v>39</v>
      </c>
      <c r="BH123" s="94" t="s">
        <v>898</v>
      </c>
      <c r="BI123" s="94" t="s">
        <v>898</v>
      </c>
      <c r="BJ123" s="94" t="s">
        <v>1285</v>
      </c>
      <c r="BK123" s="94" t="s">
        <v>1285</v>
      </c>
      <c r="BL123" s="94" t="s">
        <v>3014</v>
      </c>
      <c r="BM123" s="94" t="s">
        <v>3258</v>
      </c>
      <c r="BN123" s="94" t="s">
        <v>3239</v>
      </c>
      <c r="BO123" s="94" t="s">
        <v>3412</v>
      </c>
      <c r="BP123" s="94" t="s">
        <v>2110</v>
      </c>
      <c r="BQ123" s="94" t="s">
        <v>2228</v>
      </c>
      <c r="BR123" s="94" t="s">
        <v>1632</v>
      </c>
      <c r="BS123" s="94" t="s">
        <v>1632</v>
      </c>
      <c r="BT123" s="94"/>
    </row>
    <row r="124" spans="1:72" s="14" customFormat="1" ht="9" customHeight="1">
      <c r="A124" s="177" t="s">
        <v>4992</v>
      </c>
      <c r="B124" s="215">
        <f>B10</f>
        <v>0</v>
      </c>
      <c r="C124" s="215">
        <f>C10</f>
        <v>0</v>
      </c>
      <c r="D124" s="215">
        <f>D10</f>
        <v>0</v>
      </c>
      <c r="E124" s="215"/>
      <c r="F124" s="213" t="s">
        <v>4992</v>
      </c>
      <c r="G124" s="214">
        <f t="shared" ref="G124:M124" si="4">G10</f>
        <v>0</v>
      </c>
      <c r="H124" s="214">
        <f t="shared" si="4"/>
        <v>0</v>
      </c>
      <c r="I124" s="214">
        <f t="shared" si="4"/>
        <v>0</v>
      </c>
      <c r="J124" s="214">
        <f t="shared" si="4"/>
        <v>0</v>
      </c>
      <c r="K124" s="214">
        <f t="shared" si="4"/>
        <v>0</v>
      </c>
      <c r="L124" s="214">
        <f t="shared" si="4"/>
        <v>0</v>
      </c>
      <c r="M124" s="214">
        <f t="shared" si="4"/>
        <v>0</v>
      </c>
    </row>
    <row r="125" spans="1:72" ht="9" customHeight="1">
      <c r="A125" s="176" t="s">
        <v>70</v>
      </c>
      <c r="B125" s="202" t="str">
        <f>B1</f>
        <v xml:space="preserve">Interlloyd Premium Plus </v>
      </c>
      <c r="C125" s="202" t="str">
        <f>C1</f>
        <v xml:space="preserve">Interlloyd Premium Plus HB </v>
      </c>
      <c r="D125" s="202" t="str">
        <f>D1</f>
        <v>Interlloyd Protect</v>
      </c>
      <c r="E125" s="140"/>
      <c r="F125" s="50" t="s">
        <v>70</v>
      </c>
    </row>
    <row r="126" spans="1:72" ht="54">
      <c r="A126" s="53" t="s">
        <v>4864</v>
      </c>
      <c r="B126" s="54" t="s">
        <v>6031</v>
      </c>
      <c r="C126" s="54" t="s">
        <v>6031</v>
      </c>
      <c r="D126" s="54" t="s">
        <v>6031</v>
      </c>
      <c r="E126" s="54"/>
      <c r="F126" s="53" t="s">
        <v>4811</v>
      </c>
      <c r="G126" s="200"/>
      <c r="H126" s="200"/>
      <c r="I126" s="200"/>
      <c r="J126" s="200"/>
      <c r="K126" s="20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52"/>
      <c r="BP126" s="200"/>
      <c r="BQ126" s="200"/>
      <c r="BR126" s="200"/>
      <c r="BS126" s="200"/>
      <c r="BT126" s="200"/>
    </row>
    <row r="127" spans="1:72" ht="9" customHeight="1">
      <c r="A127" s="95" t="s">
        <v>688</v>
      </c>
      <c r="B127" s="94" t="s">
        <v>5156</v>
      </c>
      <c r="C127" s="94" t="s">
        <v>5156</v>
      </c>
      <c r="D127" s="94" t="s">
        <v>4865</v>
      </c>
      <c r="E127" s="94"/>
      <c r="F127" s="95" t="s">
        <v>688</v>
      </c>
      <c r="G127" s="200"/>
      <c r="H127" s="200"/>
      <c r="I127" s="200"/>
      <c r="J127" s="200"/>
      <c r="K127" s="200"/>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52"/>
      <c r="BP127" s="200"/>
      <c r="BQ127" s="200"/>
      <c r="BR127" s="200"/>
      <c r="BS127" s="200"/>
      <c r="BT127" s="200"/>
    </row>
    <row r="128" spans="1:72" ht="90">
      <c r="A128" s="53" t="s">
        <v>6045</v>
      </c>
      <c r="B128" s="54" t="s">
        <v>6049</v>
      </c>
      <c r="C128" s="54" t="s">
        <v>6049</v>
      </c>
      <c r="D128" s="54" t="s">
        <v>6049</v>
      </c>
      <c r="E128" s="54"/>
      <c r="F128" s="187" t="s">
        <v>5243</v>
      </c>
      <c r="G128" s="235"/>
      <c r="H128" s="235"/>
      <c r="I128" s="235"/>
      <c r="J128" s="235"/>
      <c r="K128" s="235"/>
      <c r="L128" s="235"/>
      <c r="M128" s="235"/>
      <c r="N128" s="235"/>
      <c r="O128" s="235"/>
      <c r="P128" s="235"/>
      <c r="Q128" s="235"/>
      <c r="R128" s="235"/>
      <c r="S128" s="235"/>
      <c r="T128" s="235"/>
      <c r="U128" s="235"/>
      <c r="V128" s="235"/>
      <c r="W128" s="235"/>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5"/>
      <c r="AW128" s="235"/>
      <c r="AX128" s="235"/>
      <c r="AY128" s="235"/>
      <c r="AZ128" s="235"/>
      <c r="BA128" s="235"/>
      <c r="BB128" s="235"/>
      <c r="BC128" s="235"/>
      <c r="BD128" s="235"/>
      <c r="BE128" s="235"/>
      <c r="BF128" s="235"/>
      <c r="BG128" s="235"/>
      <c r="BH128" s="235"/>
      <c r="BI128" s="235"/>
      <c r="BJ128" s="235"/>
      <c r="BK128" s="235"/>
      <c r="BL128" s="235"/>
      <c r="BM128" s="235"/>
      <c r="BN128" s="235"/>
      <c r="BO128" s="253"/>
      <c r="BP128" s="235"/>
      <c r="BQ128" s="235"/>
      <c r="BR128" s="235"/>
      <c r="BS128" s="235"/>
      <c r="BT128" s="235"/>
    </row>
    <row r="129" spans="1:72" ht="9" customHeight="1">
      <c r="A129" s="95"/>
      <c r="B129" s="94" t="s">
        <v>5156</v>
      </c>
      <c r="C129" s="94" t="s">
        <v>5156</v>
      </c>
      <c r="D129" s="94" t="s">
        <v>4865</v>
      </c>
      <c r="E129" s="94"/>
      <c r="F129" s="95"/>
      <c r="G129" s="200"/>
      <c r="H129" s="200"/>
      <c r="I129" s="200"/>
      <c r="J129" s="200"/>
      <c r="K129" s="200"/>
      <c r="L129" s="200"/>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52"/>
      <c r="BP129" s="200"/>
      <c r="BQ129" s="200"/>
      <c r="BR129" s="200"/>
      <c r="BS129" s="200"/>
      <c r="BT129" s="200"/>
    </row>
    <row r="130" spans="1:72" s="14" customFormat="1" ht="9" customHeight="1">
      <c r="A130" s="53" t="s">
        <v>59</v>
      </c>
      <c r="B130" s="54" t="s">
        <v>4862</v>
      </c>
      <c r="C130" s="54" t="s">
        <v>4862</v>
      </c>
      <c r="D130" s="54" t="s">
        <v>4862</v>
      </c>
      <c r="E130" s="54"/>
      <c r="F130" s="53" t="s">
        <v>59</v>
      </c>
      <c r="G130" s="54" t="s">
        <v>281</v>
      </c>
      <c r="H130" s="54" t="s">
        <v>39</v>
      </c>
      <c r="I130" s="54" t="s">
        <v>39</v>
      </c>
      <c r="J130" s="54" t="s">
        <v>39</v>
      </c>
      <c r="K130" s="54" t="s">
        <v>39</v>
      </c>
      <c r="L130" s="54" t="s">
        <v>651</v>
      </c>
      <c r="M130" s="123" t="s">
        <v>2660</v>
      </c>
      <c r="N130" s="54" t="s">
        <v>39</v>
      </c>
      <c r="O130" s="54" t="s">
        <v>2789</v>
      </c>
      <c r="P130" s="54" t="s">
        <v>2789</v>
      </c>
      <c r="Q130" s="54" t="s">
        <v>39</v>
      </c>
      <c r="R130" s="54" t="s">
        <v>39</v>
      </c>
      <c r="S130" s="54" t="s">
        <v>39</v>
      </c>
      <c r="T130" s="54" t="s">
        <v>667</v>
      </c>
      <c r="U130" s="54" t="s">
        <v>3839</v>
      </c>
      <c r="V130" s="54" t="s">
        <v>3847</v>
      </c>
      <c r="W130" s="54" t="s">
        <v>1654</v>
      </c>
      <c r="X130" s="54" t="s">
        <v>39</v>
      </c>
      <c r="Y130" s="54" t="s">
        <v>3719</v>
      </c>
      <c r="Z130" s="123" t="s">
        <v>39</v>
      </c>
      <c r="AA130" s="123" t="s">
        <v>39</v>
      </c>
      <c r="AB130" s="123" t="s">
        <v>39</v>
      </c>
      <c r="AC130" s="54" t="s">
        <v>39</v>
      </c>
      <c r="AD130" s="54" t="s">
        <v>39</v>
      </c>
      <c r="AE130" s="54" t="s">
        <v>39</v>
      </c>
      <c r="AF130" s="54" t="s">
        <v>39</v>
      </c>
      <c r="AG130" s="54" t="s">
        <v>4223</v>
      </c>
      <c r="AH130" s="54" t="s">
        <v>3654</v>
      </c>
      <c r="AI130" s="54" t="s">
        <v>39</v>
      </c>
      <c r="AJ130" s="54" t="s">
        <v>39</v>
      </c>
      <c r="AK130" s="54" t="s">
        <v>39</v>
      </c>
      <c r="AL130" s="54" t="s">
        <v>39</v>
      </c>
      <c r="AM130" s="54" t="s">
        <v>1152</v>
      </c>
      <c r="AN130" s="54" t="s">
        <v>167</v>
      </c>
      <c r="AO130" s="54" t="s">
        <v>2571</v>
      </c>
      <c r="AP130" s="54" t="s">
        <v>2571</v>
      </c>
      <c r="AQ130" s="54" t="s">
        <v>2571</v>
      </c>
      <c r="AR130" s="54" t="s">
        <v>39</v>
      </c>
      <c r="AS130" s="54" t="s">
        <v>39</v>
      </c>
      <c r="AT130" s="54" t="s">
        <v>39</v>
      </c>
      <c r="AU130" s="54" t="s">
        <v>39</v>
      </c>
      <c r="AV130" s="54" t="s">
        <v>39</v>
      </c>
      <c r="AW130" s="54" t="s">
        <v>39</v>
      </c>
      <c r="AX130" s="54" t="s">
        <v>39</v>
      </c>
      <c r="AY130" s="54" t="s">
        <v>240</v>
      </c>
      <c r="AZ130" s="54" t="s">
        <v>240</v>
      </c>
      <c r="BA130" s="54" t="s">
        <v>39</v>
      </c>
      <c r="BB130" s="54" t="s">
        <v>39</v>
      </c>
      <c r="BC130" s="54" t="s">
        <v>39</v>
      </c>
      <c r="BD130" s="54" t="s">
        <v>1092</v>
      </c>
      <c r="BE130" s="54" t="s">
        <v>39</v>
      </c>
      <c r="BF130" s="54" t="s">
        <v>2626</v>
      </c>
      <c r="BG130" s="54" t="s">
        <v>2872</v>
      </c>
      <c r="BH130" s="54" t="s">
        <v>39</v>
      </c>
      <c r="BI130" s="54" t="s">
        <v>39</v>
      </c>
      <c r="BJ130" s="54" t="s">
        <v>39</v>
      </c>
      <c r="BK130" s="54" t="s">
        <v>39</v>
      </c>
      <c r="BL130" s="54" t="s">
        <v>2977</v>
      </c>
      <c r="BM130" s="54" t="s">
        <v>3201</v>
      </c>
      <c r="BN130" s="54" t="s">
        <v>3201</v>
      </c>
      <c r="BO130" s="54" t="s">
        <v>39</v>
      </c>
      <c r="BP130" s="54" t="s">
        <v>39</v>
      </c>
      <c r="BQ130" s="54" t="s">
        <v>2222</v>
      </c>
      <c r="BR130" s="54" t="s">
        <v>1613</v>
      </c>
      <c r="BS130" s="54" t="s">
        <v>1613</v>
      </c>
      <c r="BT130" s="54" t="s">
        <v>433</v>
      </c>
    </row>
    <row r="131" spans="1:72" s="2" customFormat="1" ht="9" customHeight="1">
      <c r="A131" s="95" t="s">
        <v>688</v>
      </c>
      <c r="B131" s="94" t="s">
        <v>4951</v>
      </c>
      <c r="C131" s="94" t="s">
        <v>4951</v>
      </c>
      <c r="D131" s="94" t="s">
        <v>4863</v>
      </c>
      <c r="E131" s="94"/>
      <c r="F131" s="95" t="s">
        <v>688</v>
      </c>
      <c r="G131" s="94"/>
      <c r="H131" s="94" t="s">
        <v>39</v>
      </c>
      <c r="I131" s="94" t="s">
        <v>39</v>
      </c>
      <c r="J131" s="94" t="s">
        <v>39</v>
      </c>
      <c r="K131" s="94" t="s">
        <v>39</v>
      </c>
      <c r="L131" s="94"/>
      <c r="M131" s="94" t="s">
        <v>2659</v>
      </c>
      <c r="N131" s="94" t="s">
        <v>3034</v>
      </c>
      <c r="O131" s="94" t="s">
        <v>2788</v>
      </c>
      <c r="P131" s="94" t="s">
        <v>2788</v>
      </c>
      <c r="Q131" s="94" t="s">
        <v>39</v>
      </c>
      <c r="R131" s="94" t="s">
        <v>39</v>
      </c>
      <c r="S131" s="94" t="s">
        <v>39</v>
      </c>
      <c r="T131" s="94" t="s">
        <v>2791</v>
      </c>
      <c r="U131" s="94" t="s">
        <v>3838</v>
      </c>
      <c r="V131" s="94" t="s">
        <v>2501</v>
      </c>
      <c r="W131" s="94" t="s">
        <v>1655</v>
      </c>
      <c r="X131" s="94" t="s">
        <v>39</v>
      </c>
      <c r="Y131" s="94" t="s">
        <v>3700</v>
      </c>
      <c r="Z131" s="94" t="s">
        <v>39</v>
      </c>
      <c r="AA131" s="94" t="s">
        <v>39</v>
      </c>
      <c r="AB131" s="94" t="s">
        <v>39</v>
      </c>
      <c r="AC131" s="94" t="s">
        <v>39</v>
      </c>
      <c r="AD131" s="94" t="s">
        <v>39</v>
      </c>
      <c r="AE131" s="94" t="s">
        <v>39</v>
      </c>
      <c r="AF131" s="94" t="s">
        <v>39</v>
      </c>
      <c r="AG131" s="94" t="s">
        <v>4224</v>
      </c>
      <c r="AH131" s="94" t="s">
        <v>1215</v>
      </c>
      <c r="AI131" s="94" t="s">
        <v>39</v>
      </c>
      <c r="AJ131" s="94" t="s">
        <v>39</v>
      </c>
      <c r="AK131" s="94" t="s">
        <v>39</v>
      </c>
      <c r="AL131" s="94" t="s">
        <v>39</v>
      </c>
      <c r="AM131" s="94" t="s">
        <v>1151</v>
      </c>
      <c r="AN131" s="94"/>
      <c r="AO131" s="94" t="s">
        <v>2570</v>
      </c>
      <c r="AP131" s="94" t="s">
        <v>2570</v>
      </c>
      <c r="AQ131" s="94" t="s">
        <v>2569</v>
      </c>
      <c r="AR131" s="94" t="s">
        <v>39</v>
      </c>
      <c r="AS131" s="94" t="s">
        <v>39</v>
      </c>
      <c r="AT131" s="94" t="s">
        <v>39</v>
      </c>
      <c r="AU131" s="94" t="s">
        <v>39</v>
      </c>
      <c r="AV131" s="94" t="s">
        <v>39</v>
      </c>
      <c r="AW131" s="94" t="s">
        <v>39</v>
      </c>
      <c r="AX131" s="94"/>
      <c r="AY131" s="94"/>
      <c r="AZ131" s="94"/>
      <c r="BA131" s="94" t="s">
        <v>39</v>
      </c>
      <c r="BB131" s="94" t="s">
        <v>39</v>
      </c>
      <c r="BC131" s="94"/>
      <c r="BD131" s="94" t="s">
        <v>2875</v>
      </c>
      <c r="BE131" s="94" t="s">
        <v>39</v>
      </c>
      <c r="BF131" s="94" t="s">
        <v>2625</v>
      </c>
      <c r="BG131" s="94" t="s">
        <v>1742</v>
      </c>
      <c r="BH131" s="94" t="s">
        <v>39</v>
      </c>
      <c r="BI131" s="94" t="s">
        <v>39</v>
      </c>
      <c r="BJ131" s="94" t="s">
        <v>39</v>
      </c>
      <c r="BK131" s="94" t="s">
        <v>39</v>
      </c>
      <c r="BL131" s="94" t="s">
        <v>2976</v>
      </c>
      <c r="BM131" s="94" t="s">
        <v>3200</v>
      </c>
      <c r="BN131" s="94" t="s">
        <v>3200</v>
      </c>
      <c r="BO131" s="94" t="s">
        <v>39</v>
      </c>
      <c r="BP131" s="94" t="s">
        <v>39</v>
      </c>
      <c r="BQ131" s="94" t="s">
        <v>2221</v>
      </c>
      <c r="BR131" s="94" t="s">
        <v>1614</v>
      </c>
      <c r="BS131" s="94" t="s">
        <v>1614</v>
      </c>
      <c r="BT131" s="94"/>
    </row>
    <row r="132" spans="1:72" ht="27">
      <c r="A132" s="53" t="s">
        <v>4820</v>
      </c>
      <c r="B132" s="116" t="s">
        <v>6012</v>
      </c>
      <c r="C132" s="116" t="s">
        <v>6012</v>
      </c>
      <c r="D132" s="54"/>
      <c r="E132" s="116"/>
      <c r="F132" s="53" t="s">
        <v>4820</v>
      </c>
      <c r="BO132" s="200"/>
      <c r="BP132" s="200"/>
    </row>
    <row r="133" spans="1:72" ht="9" customHeight="1">
      <c r="A133" s="95" t="s">
        <v>688</v>
      </c>
      <c r="B133" s="94" t="s">
        <v>6011</v>
      </c>
      <c r="C133" s="94" t="s">
        <v>6011</v>
      </c>
      <c r="D133" s="94"/>
      <c r="E133" s="94"/>
      <c r="F133" s="95" t="s">
        <v>688</v>
      </c>
      <c r="BO133" s="200"/>
      <c r="BP133" s="200"/>
    </row>
    <row r="134" spans="1:72" s="14" customFormat="1" ht="18">
      <c r="A134" s="53" t="s">
        <v>5216</v>
      </c>
      <c r="B134" s="54" t="s">
        <v>41</v>
      </c>
      <c r="C134" s="54" t="s">
        <v>41</v>
      </c>
      <c r="D134" s="54" t="s">
        <v>41</v>
      </c>
      <c r="E134" s="54"/>
      <c r="F134" s="187" t="s">
        <v>4778</v>
      </c>
      <c r="G134" s="54" t="s">
        <v>41</v>
      </c>
      <c r="H134" s="54" t="s">
        <v>41</v>
      </c>
      <c r="I134" s="54" t="s">
        <v>41</v>
      </c>
      <c r="J134" s="54" t="s">
        <v>41</v>
      </c>
      <c r="K134" s="54" t="s">
        <v>41</v>
      </c>
      <c r="L134" s="54" t="s">
        <v>41</v>
      </c>
      <c r="M134" s="123" t="s">
        <v>41</v>
      </c>
      <c r="N134" s="54" t="s">
        <v>41</v>
      </c>
      <c r="O134" s="54" t="s">
        <v>41</v>
      </c>
      <c r="P134" s="54" t="s">
        <v>41</v>
      </c>
      <c r="Q134" s="54" t="s">
        <v>41</v>
      </c>
      <c r="R134" s="54" t="s">
        <v>41</v>
      </c>
      <c r="S134" s="54" t="s">
        <v>41</v>
      </c>
      <c r="T134" s="54" t="s">
        <v>41</v>
      </c>
      <c r="U134" s="54" t="s">
        <v>41</v>
      </c>
      <c r="V134" s="54" t="s">
        <v>41</v>
      </c>
      <c r="W134" s="54" t="s">
        <v>41</v>
      </c>
      <c r="X134" s="54" t="s">
        <v>41</v>
      </c>
      <c r="Y134" s="54" t="s">
        <v>41</v>
      </c>
      <c r="Z134" s="123" t="s">
        <v>41</v>
      </c>
      <c r="AA134" s="123" t="s">
        <v>41</v>
      </c>
      <c r="AB134" s="123" t="s">
        <v>41</v>
      </c>
      <c r="AC134" s="54" t="s">
        <v>41</v>
      </c>
      <c r="AD134" s="54" t="s">
        <v>41</v>
      </c>
      <c r="AE134" s="54" t="s">
        <v>41</v>
      </c>
      <c r="AF134" s="54" t="s">
        <v>41</v>
      </c>
      <c r="AG134" s="54" t="s">
        <v>41</v>
      </c>
      <c r="AH134" s="54" t="s">
        <v>41</v>
      </c>
      <c r="AI134" s="54" t="s">
        <v>41</v>
      </c>
      <c r="AJ134" s="54" t="s">
        <v>41</v>
      </c>
      <c r="AK134" s="54" t="s">
        <v>41</v>
      </c>
      <c r="AL134" s="54" t="s">
        <v>41</v>
      </c>
      <c r="AM134" s="54" t="s">
        <v>1149</v>
      </c>
      <c r="AN134" s="54" t="s">
        <v>41</v>
      </c>
      <c r="AO134" s="54" t="s">
        <v>2568</v>
      </c>
      <c r="AP134" s="54" t="s">
        <v>2568</v>
      </c>
      <c r="AQ134" s="54" t="s">
        <v>41</v>
      </c>
      <c r="AR134" s="54" t="s">
        <v>41</v>
      </c>
      <c r="AS134" s="54" t="s">
        <v>41</v>
      </c>
      <c r="AT134" s="54" t="s">
        <v>41</v>
      </c>
      <c r="AU134" s="54" t="s">
        <v>41</v>
      </c>
      <c r="AV134" s="54" t="s">
        <v>41</v>
      </c>
      <c r="AW134" s="54" t="s">
        <v>41</v>
      </c>
      <c r="AX134" s="54" t="s">
        <v>39</v>
      </c>
      <c r="AY134" s="54" t="s">
        <v>41</v>
      </c>
      <c r="AZ134" s="54" t="s">
        <v>41</v>
      </c>
      <c r="BA134" s="54" t="s">
        <v>41</v>
      </c>
      <c r="BB134" s="54" t="s">
        <v>41</v>
      </c>
      <c r="BC134" s="54" t="s">
        <v>41</v>
      </c>
      <c r="BD134" s="54" t="s">
        <v>41</v>
      </c>
      <c r="BE134" s="54" t="s">
        <v>41</v>
      </c>
      <c r="BF134" s="54" t="s">
        <v>41</v>
      </c>
      <c r="BG134" s="54" t="s">
        <v>41</v>
      </c>
      <c r="BH134" s="54" t="s">
        <v>41</v>
      </c>
      <c r="BI134" s="54" t="s">
        <v>41</v>
      </c>
      <c r="BJ134" s="54" t="s">
        <v>41</v>
      </c>
      <c r="BK134" s="54" t="s">
        <v>41</v>
      </c>
      <c r="BL134" s="54" t="s">
        <v>41</v>
      </c>
      <c r="BM134" s="54" t="s">
        <v>41</v>
      </c>
      <c r="BN134" s="54" t="s">
        <v>41</v>
      </c>
      <c r="BO134" s="54" t="s">
        <v>41</v>
      </c>
      <c r="BP134" s="54" t="s">
        <v>41</v>
      </c>
      <c r="BQ134" s="54" t="s">
        <v>41</v>
      </c>
      <c r="BR134" s="54" t="s">
        <v>41</v>
      </c>
      <c r="BS134" s="54" t="s">
        <v>41</v>
      </c>
      <c r="BT134" s="54" t="s">
        <v>41</v>
      </c>
    </row>
    <row r="135" spans="1:72" s="2" customFormat="1" ht="9" customHeight="1">
      <c r="A135" s="95" t="s">
        <v>688</v>
      </c>
      <c r="B135" s="94" t="s">
        <v>5123</v>
      </c>
      <c r="C135" s="94" t="s">
        <v>5123</v>
      </c>
      <c r="D135" s="94" t="s">
        <v>4918</v>
      </c>
      <c r="E135" s="94"/>
      <c r="F135" s="95" t="s">
        <v>688</v>
      </c>
      <c r="G135" s="94"/>
      <c r="H135" s="94" t="s">
        <v>1252</v>
      </c>
      <c r="I135" s="94" t="s">
        <v>1252</v>
      </c>
      <c r="J135" s="94" t="s">
        <v>2008</v>
      </c>
      <c r="K135" s="94" t="s">
        <v>2008</v>
      </c>
      <c r="L135" s="94"/>
      <c r="M135" s="94" t="s">
        <v>2081</v>
      </c>
      <c r="N135" s="94" t="s">
        <v>1252</v>
      </c>
      <c r="O135" s="94" t="s">
        <v>1252</v>
      </c>
      <c r="P135" s="94" t="s">
        <v>1252</v>
      </c>
      <c r="Q135" s="94" t="s">
        <v>1252</v>
      </c>
      <c r="R135" s="94" t="s">
        <v>1252</v>
      </c>
      <c r="S135" s="94" t="s">
        <v>1252</v>
      </c>
      <c r="T135" s="94" t="s">
        <v>2841</v>
      </c>
      <c r="U135" s="94" t="s">
        <v>1252</v>
      </c>
      <c r="V135" s="94" t="s">
        <v>1252</v>
      </c>
      <c r="W135" s="94" t="s">
        <v>1660</v>
      </c>
      <c r="X135" s="94" t="s">
        <v>1252</v>
      </c>
      <c r="Y135" s="94" t="s">
        <v>1252</v>
      </c>
      <c r="Z135" s="94" t="s">
        <v>4106</v>
      </c>
      <c r="AA135" s="94" t="s">
        <v>4106</v>
      </c>
      <c r="AB135" s="94" t="s">
        <v>4106</v>
      </c>
      <c r="AC135" s="94" t="s">
        <v>831</v>
      </c>
      <c r="AD135" s="94" t="s">
        <v>3951</v>
      </c>
      <c r="AE135" s="94" t="s">
        <v>3951</v>
      </c>
      <c r="AF135" s="94" t="s">
        <v>3951</v>
      </c>
      <c r="AG135" s="94"/>
      <c r="AH135" s="94" t="s">
        <v>1252</v>
      </c>
      <c r="AI135" s="94" t="s">
        <v>1252</v>
      </c>
      <c r="AJ135" s="94" t="s">
        <v>1252</v>
      </c>
      <c r="AK135" s="94" t="s">
        <v>1252</v>
      </c>
      <c r="AL135" s="94" t="s">
        <v>1252</v>
      </c>
      <c r="AM135" s="94" t="s">
        <v>1150</v>
      </c>
      <c r="AN135" s="94"/>
      <c r="AO135" s="94" t="s">
        <v>2168</v>
      </c>
      <c r="AP135" s="94" t="s">
        <v>2168</v>
      </c>
      <c r="AQ135" s="94" t="s">
        <v>1252</v>
      </c>
      <c r="AR135" s="94" t="s">
        <v>3366</v>
      </c>
      <c r="AS135" s="94" t="s">
        <v>3320</v>
      </c>
      <c r="AT135" s="94" t="s">
        <v>3497</v>
      </c>
      <c r="AU135" s="94" t="s">
        <v>3497</v>
      </c>
      <c r="AV135" s="94" t="s">
        <v>3497</v>
      </c>
      <c r="AW135" s="94" t="s">
        <v>3497</v>
      </c>
      <c r="AX135" s="94"/>
      <c r="AY135" s="94"/>
      <c r="AZ135" s="94"/>
      <c r="BA135" s="94" t="s">
        <v>1494</v>
      </c>
      <c r="BB135" s="94" t="s">
        <v>1430</v>
      </c>
      <c r="BC135" s="94"/>
      <c r="BD135" s="94" t="s">
        <v>1252</v>
      </c>
      <c r="BE135" s="94" t="s">
        <v>1252</v>
      </c>
      <c r="BF135" s="94" t="s">
        <v>1252</v>
      </c>
      <c r="BG135" s="94" t="s">
        <v>1740</v>
      </c>
      <c r="BH135" s="94" t="s">
        <v>874</v>
      </c>
      <c r="BI135" s="94" t="s">
        <v>874</v>
      </c>
      <c r="BJ135" s="94" t="s">
        <v>1252</v>
      </c>
      <c r="BK135" s="94" t="s">
        <v>1252</v>
      </c>
      <c r="BL135" s="94" t="s">
        <v>784</v>
      </c>
      <c r="BM135" s="94" t="s">
        <v>3221</v>
      </c>
      <c r="BN135" s="94" t="s">
        <v>3221</v>
      </c>
      <c r="BO135" s="94" t="s">
        <v>1252</v>
      </c>
      <c r="BP135" s="94" t="s">
        <v>1252</v>
      </c>
      <c r="BQ135" s="94" t="s">
        <v>2183</v>
      </c>
      <c r="BR135" s="94" t="s">
        <v>1640</v>
      </c>
      <c r="BS135" s="94" t="s">
        <v>1640</v>
      </c>
      <c r="BT135" s="94"/>
    </row>
    <row r="136" spans="1:72" ht="45">
      <c r="A136" s="53" t="s">
        <v>4787</v>
      </c>
      <c r="B136" s="48" t="s">
        <v>5101</v>
      </c>
      <c r="C136" s="48" t="s">
        <v>5101</v>
      </c>
      <c r="D136" s="48" t="s">
        <v>39</v>
      </c>
      <c r="E136" s="48"/>
      <c r="F136" s="53" t="s">
        <v>4787</v>
      </c>
      <c r="BO136" s="200"/>
      <c r="BP136" s="200"/>
    </row>
    <row r="137" spans="1:72">
      <c r="A137" s="95" t="s">
        <v>688</v>
      </c>
      <c r="B137" s="94" t="s">
        <v>5124</v>
      </c>
      <c r="C137" s="94" t="s">
        <v>5124</v>
      </c>
      <c r="D137" s="94" t="s">
        <v>4901</v>
      </c>
      <c r="E137" s="94"/>
      <c r="F137" s="95" t="s">
        <v>688</v>
      </c>
      <c r="BO137" s="200"/>
      <c r="BP137" s="200"/>
    </row>
    <row r="138" spans="1:72" s="192" customFormat="1" ht="27">
      <c r="A138" s="53" t="s">
        <v>4788</v>
      </c>
      <c r="B138" s="48" t="s">
        <v>39</v>
      </c>
      <c r="C138" s="48" t="s">
        <v>39</v>
      </c>
      <c r="D138" s="48" t="s">
        <v>2585</v>
      </c>
      <c r="E138" s="48"/>
      <c r="F138" s="187" t="s">
        <v>4788</v>
      </c>
      <c r="G138" s="190" t="s">
        <v>263</v>
      </c>
      <c r="H138" s="190" t="s">
        <v>39</v>
      </c>
      <c r="I138" s="190" t="s">
        <v>38</v>
      </c>
      <c r="J138" s="190" t="s">
        <v>1918</v>
      </c>
      <c r="K138" s="190" t="s">
        <v>1978</v>
      </c>
      <c r="L138" s="190" t="s">
        <v>38</v>
      </c>
      <c r="M138" s="190" t="s">
        <v>38</v>
      </c>
      <c r="N138" s="190" t="s">
        <v>38</v>
      </c>
      <c r="O138" s="190" t="s">
        <v>189</v>
      </c>
      <c r="P138" s="188" t="s">
        <v>2743</v>
      </c>
      <c r="Q138" s="188" t="s">
        <v>37</v>
      </c>
      <c r="R138" s="188" t="s">
        <v>37</v>
      </c>
      <c r="S138" s="188" t="s">
        <v>37</v>
      </c>
      <c r="T138" s="190" t="s">
        <v>260</v>
      </c>
      <c r="U138" s="188" t="s">
        <v>38</v>
      </c>
      <c r="V138" s="188" t="s">
        <v>295</v>
      </c>
      <c r="W138" s="188" t="s">
        <v>189</v>
      </c>
      <c r="X138" s="190" t="s">
        <v>189</v>
      </c>
      <c r="Y138" s="190" t="s">
        <v>222</v>
      </c>
      <c r="Z138" s="190" t="s">
        <v>263</v>
      </c>
      <c r="AA138" s="190" t="s">
        <v>4031</v>
      </c>
      <c r="AB138" s="190" t="s">
        <v>4030</v>
      </c>
      <c r="AC138" s="188" t="s">
        <v>38</v>
      </c>
      <c r="AD138" s="188" t="s">
        <v>189</v>
      </c>
      <c r="AE138" s="188" t="s">
        <v>38</v>
      </c>
      <c r="AF138" s="190" t="s">
        <v>4209</v>
      </c>
      <c r="AG138" s="190">
        <v>0.25</v>
      </c>
      <c r="AH138" s="188" t="s">
        <v>38</v>
      </c>
      <c r="AI138" s="188" t="s">
        <v>189</v>
      </c>
      <c r="AJ138" s="188" t="s">
        <v>37</v>
      </c>
      <c r="AK138" s="188" t="s">
        <v>38</v>
      </c>
      <c r="AL138" s="188" t="s">
        <v>757</v>
      </c>
      <c r="AM138" s="188" t="s">
        <v>38</v>
      </c>
      <c r="AN138" s="190" t="s">
        <v>189</v>
      </c>
      <c r="AO138" s="190" t="s">
        <v>2552</v>
      </c>
      <c r="AP138" s="190" t="s">
        <v>2505</v>
      </c>
      <c r="AQ138" s="190" t="s">
        <v>2585</v>
      </c>
      <c r="AR138" s="190" t="s">
        <v>471</v>
      </c>
      <c r="AS138" s="190" t="s">
        <v>39</v>
      </c>
      <c r="AT138" s="190" t="s">
        <v>3583</v>
      </c>
      <c r="AU138" s="190" t="s">
        <v>3583</v>
      </c>
      <c r="AV138" s="190" t="s">
        <v>3425</v>
      </c>
      <c r="AW138" s="190" t="s">
        <v>3425</v>
      </c>
      <c r="AX138" s="190" t="s">
        <v>39</v>
      </c>
      <c r="AY138" s="190" t="s">
        <v>37</v>
      </c>
      <c r="AZ138" s="190" t="s">
        <v>37</v>
      </c>
      <c r="BA138" s="190" t="s">
        <v>189</v>
      </c>
      <c r="BB138" s="190" t="s">
        <v>38</v>
      </c>
      <c r="BC138" s="190" t="s">
        <v>263</v>
      </c>
      <c r="BD138" s="188" t="s">
        <v>471</v>
      </c>
      <c r="BE138" s="188" t="s">
        <v>189</v>
      </c>
      <c r="BF138" s="188" t="s">
        <v>189</v>
      </c>
      <c r="BG138" s="190" t="s">
        <v>189</v>
      </c>
      <c r="BH138" s="190" t="s">
        <v>189</v>
      </c>
      <c r="BI138" s="190" t="s">
        <v>189</v>
      </c>
      <c r="BJ138" s="190" t="s">
        <v>38</v>
      </c>
      <c r="BK138" s="190" t="s">
        <v>39</v>
      </c>
      <c r="BL138" s="190" t="s">
        <v>790</v>
      </c>
      <c r="BM138" s="188" t="s">
        <v>37</v>
      </c>
      <c r="BN138" s="188" t="s">
        <v>38</v>
      </c>
      <c r="BO138" s="190" t="s">
        <v>38</v>
      </c>
      <c r="BP138" s="190" t="s">
        <v>39</v>
      </c>
      <c r="BQ138" s="188" t="s">
        <v>37</v>
      </c>
      <c r="BR138" s="188" t="s">
        <v>38</v>
      </c>
      <c r="BS138" s="188" t="s">
        <v>37</v>
      </c>
      <c r="BT138" s="190" t="s">
        <v>38</v>
      </c>
    </row>
    <row r="139" spans="1:72" s="2" customFormat="1">
      <c r="A139" s="95" t="s">
        <v>688</v>
      </c>
      <c r="B139" s="94" t="s">
        <v>5124</v>
      </c>
      <c r="C139" s="94" t="s">
        <v>5124</v>
      </c>
      <c r="D139" s="94" t="s">
        <v>4901</v>
      </c>
      <c r="E139" s="94"/>
      <c r="F139" s="95" t="s">
        <v>688</v>
      </c>
      <c r="G139" s="94"/>
      <c r="H139" s="94" t="s">
        <v>3122</v>
      </c>
      <c r="I139" s="94" t="s">
        <v>3120</v>
      </c>
      <c r="J139" s="94" t="s">
        <v>1950</v>
      </c>
      <c r="K139" s="94" t="s">
        <v>1977</v>
      </c>
      <c r="L139" s="94" t="s">
        <v>3637</v>
      </c>
      <c r="M139" s="94" t="s">
        <v>2041</v>
      </c>
      <c r="N139" s="94" t="s">
        <v>3024</v>
      </c>
      <c r="O139" s="94" t="s">
        <v>1387</v>
      </c>
      <c r="P139" s="94" t="s">
        <v>2742</v>
      </c>
      <c r="Q139" s="94" t="s">
        <v>1206</v>
      </c>
      <c r="R139" s="94" t="s">
        <v>1206</v>
      </c>
      <c r="S139" s="94" t="s">
        <v>1387</v>
      </c>
      <c r="T139" s="94" t="s">
        <v>2828</v>
      </c>
      <c r="U139" s="94" t="s">
        <v>1291</v>
      </c>
      <c r="V139" s="94" t="s">
        <v>3822</v>
      </c>
      <c r="W139" s="94" t="s">
        <v>1689</v>
      </c>
      <c r="X139" s="94" t="s">
        <v>1387</v>
      </c>
      <c r="Y139" s="94" t="s">
        <v>3735</v>
      </c>
      <c r="Z139" s="94" t="s">
        <v>4078</v>
      </c>
      <c r="AA139" s="94" t="s">
        <v>4077</v>
      </c>
      <c r="AB139" s="94" t="s">
        <v>4094</v>
      </c>
      <c r="AC139" s="94" t="s">
        <v>812</v>
      </c>
      <c r="AD139" s="94" t="s">
        <v>3979</v>
      </c>
      <c r="AE139" s="94" t="s">
        <v>3924</v>
      </c>
      <c r="AF139" s="94" t="s">
        <v>3925</v>
      </c>
      <c r="AG139" s="94" t="s">
        <v>1387</v>
      </c>
      <c r="AH139" s="94" t="s">
        <v>2761</v>
      </c>
      <c r="AI139" s="94" t="s">
        <v>1387</v>
      </c>
      <c r="AJ139" s="94" t="s">
        <v>2385</v>
      </c>
      <c r="AK139" s="94" t="s">
        <v>2337</v>
      </c>
      <c r="AL139" s="94" t="s">
        <v>2275</v>
      </c>
      <c r="AM139" s="94" t="s">
        <v>1135</v>
      </c>
      <c r="AN139" s="94"/>
      <c r="AO139" s="94" t="s">
        <v>1206</v>
      </c>
      <c r="AP139" s="94" t="s">
        <v>2506</v>
      </c>
      <c r="AQ139" s="94" t="s">
        <v>1387</v>
      </c>
      <c r="AR139" s="94" t="s">
        <v>3340</v>
      </c>
      <c r="AS139" s="94" t="s">
        <v>3290</v>
      </c>
      <c r="AT139" s="94" t="s">
        <v>3522</v>
      </c>
      <c r="AU139" s="94" t="s">
        <v>3522</v>
      </c>
      <c r="AV139" s="94" t="s">
        <v>3522</v>
      </c>
      <c r="AW139" s="94" t="s">
        <v>3522</v>
      </c>
      <c r="AX139" s="94"/>
      <c r="AY139" s="94"/>
      <c r="AZ139" s="94"/>
      <c r="BA139" s="94" t="s">
        <v>1456</v>
      </c>
      <c r="BB139" s="94" t="s">
        <v>1456</v>
      </c>
      <c r="BC139" s="94"/>
      <c r="BD139" s="94" t="s">
        <v>2888</v>
      </c>
      <c r="BE139" s="94" t="s">
        <v>1387</v>
      </c>
      <c r="BF139" s="94" t="s">
        <v>1387</v>
      </c>
      <c r="BG139" s="94" t="s">
        <v>1738</v>
      </c>
      <c r="BH139" s="94" t="s">
        <v>889</v>
      </c>
      <c r="BI139" s="94" t="s">
        <v>889</v>
      </c>
      <c r="BJ139" s="94" t="s">
        <v>1332</v>
      </c>
      <c r="BK139" s="94" t="s">
        <v>1332</v>
      </c>
      <c r="BL139" s="94" t="s">
        <v>781</v>
      </c>
      <c r="BM139" s="94" t="s">
        <v>3247</v>
      </c>
      <c r="BN139" s="94" t="s">
        <v>3247</v>
      </c>
      <c r="BO139" s="255" t="s">
        <v>3402</v>
      </c>
      <c r="BP139" s="94" t="s">
        <v>2115</v>
      </c>
      <c r="BQ139" s="94" t="s">
        <v>1408</v>
      </c>
      <c r="BR139" s="94" t="s">
        <v>1581</v>
      </c>
      <c r="BS139" s="94" t="s">
        <v>1596</v>
      </c>
      <c r="BT139" s="94"/>
    </row>
    <row r="140" spans="1:72" s="14" customFormat="1" ht="54">
      <c r="A140" s="53" t="s">
        <v>4321</v>
      </c>
      <c r="B140" s="54" t="s">
        <v>5126</v>
      </c>
      <c r="C140" s="54" t="s">
        <v>5126</v>
      </c>
      <c r="D140" s="54" t="s">
        <v>4919</v>
      </c>
      <c r="E140" s="54"/>
      <c r="F140" s="53" t="s">
        <v>4321</v>
      </c>
      <c r="G140" s="54" t="s">
        <v>4323</v>
      </c>
      <c r="H140" s="54" t="s">
        <v>4338</v>
      </c>
      <c r="I140" s="54" t="s">
        <v>4341</v>
      </c>
      <c r="J140" s="54" t="s">
        <v>4323</v>
      </c>
      <c r="K140" s="54" t="s">
        <v>4323</v>
      </c>
      <c r="L140" s="54" t="s">
        <v>4323</v>
      </c>
      <c r="M140" s="123" t="s">
        <v>4344</v>
      </c>
      <c r="N140" s="54" t="s">
        <v>4346</v>
      </c>
      <c r="O140" s="54" t="s">
        <v>4323</v>
      </c>
      <c r="P140" s="54" t="s">
        <v>4323</v>
      </c>
      <c r="Q140" s="54" t="s">
        <v>4323</v>
      </c>
      <c r="R140" s="54" t="s">
        <v>4323</v>
      </c>
      <c r="S140" s="54" t="s">
        <v>4323</v>
      </c>
      <c r="T140" s="54" t="s">
        <v>4323</v>
      </c>
      <c r="U140" s="54" t="s">
        <v>4323</v>
      </c>
      <c r="V140" s="54" t="s">
        <v>4323</v>
      </c>
      <c r="W140" s="54" t="s">
        <v>4323</v>
      </c>
      <c r="X140" s="54" t="s">
        <v>4323</v>
      </c>
      <c r="Y140" s="54" t="s">
        <v>4209</v>
      </c>
      <c r="Z140" s="123" t="s">
        <v>4325</v>
      </c>
      <c r="AA140" s="123" t="s">
        <v>4327</v>
      </c>
      <c r="AB140" s="123" t="s">
        <v>4329</v>
      </c>
      <c r="AC140" s="54" t="s">
        <v>4332</v>
      </c>
      <c r="AD140" s="54" t="s">
        <v>4209</v>
      </c>
      <c r="AE140" s="54" t="s">
        <v>4335</v>
      </c>
      <c r="AF140" s="54" t="s">
        <v>4335</v>
      </c>
      <c r="AG140" s="54" t="s">
        <v>4323</v>
      </c>
      <c r="AH140" s="54" t="s">
        <v>4355</v>
      </c>
      <c r="AI140" s="54" t="s">
        <v>4209</v>
      </c>
      <c r="AJ140" s="54" t="s">
        <v>4358</v>
      </c>
      <c r="AK140" s="54" t="s">
        <v>4363</v>
      </c>
      <c r="AL140" s="54" t="s">
        <v>4361</v>
      </c>
      <c r="AM140" s="54" t="s">
        <v>4209</v>
      </c>
      <c r="AN140" s="54" t="s">
        <v>4209</v>
      </c>
      <c r="AO140" s="54" t="s">
        <v>4364</v>
      </c>
      <c r="AP140" s="54" t="s">
        <v>4368</v>
      </c>
      <c r="AQ140" s="54" t="s">
        <v>4209</v>
      </c>
      <c r="AR140" s="54" t="s">
        <v>4370</v>
      </c>
      <c r="AS140" s="54" t="s">
        <v>4323</v>
      </c>
      <c r="AT140" s="54" t="s">
        <v>4323</v>
      </c>
      <c r="AU140" s="54" t="s">
        <v>4323</v>
      </c>
      <c r="AV140" s="54" t="s">
        <v>4323</v>
      </c>
      <c r="AW140" s="54" t="s">
        <v>4323</v>
      </c>
      <c r="AX140" s="54" t="s">
        <v>4209</v>
      </c>
      <c r="AY140" s="54" t="s">
        <v>4209</v>
      </c>
      <c r="AZ140" s="54" t="s">
        <v>4209</v>
      </c>
      <c r="BA140" s="54" t="s">
        <v>4323</v>
      </c>
      <c r="BB140" s="54" t="s">
        <v>4323</v>
      </c>
      <c r="BC140" s="54" t="s">
        <v>4323</v>
      </c>
      <c r="BD140" s="54" t="s">
        <v>4323</v>
      </c>
      <c r="BE140" s="54" t="s">
        <v>4323</v>
      </c>
      <c r="BF140" s="54" t="s">
        <v>4323</v>
      </c>
      <c r="BG140" s="54" t="s">
        <v>4323</v>
      </c>
      <c r="BH140" s="54" t="s">
        <v>4323</v>
      </c>
      <c r="BI140" s="54" t="s">
        <v>4323</v>
      </c>
      <c r="BJ140" s="54" t="s">
        <v>4379</v>
      </c>
      <c r="BK140" s="54" t="s">
        <v>4381</v>
      </c>
      <c r="BL140" s="54" t="s">
        <v>4323</v>
      </c>
      <c r="BM140" s="54" t="s">
        <v>4323</v>
      </c>
      <c r="BN140" s="54" t="s">
        <v>4323</v>
      </c>
      <c r="BO140" s="254" t="s">
        <v>4323</v>
      </c>
      <c r="BP140" s="54" t="s">
        <v>4323</v>
      </c>
      <c r="BQ140" s="54" t="s">
        <v>4385</v>
      </c>
      <c r="BR140" s="54" t="s">
        <v>4323</v>
      </c>
      <c r="BS140" s="54" t="s">
        <v>4323</v>
      </c>
      <c r="BT140" s="54" t="s">
        <v>4323</v>
      </c>
    </row>
    <row r="141" spans="1:72" s="2" customFormat="1" ht="9" customHeight="1">
      <c r="A141" s="95" t="s">
        <v>688</v>
      </c>
      <c r="B141" s="94" t="s">
        <v>5108</v>
      </c>
      <c r="C141" s="94" t="s">
        <v>5108</v>
      </c>
      <c r="D141" s="94" t="s">
        <v>4920</v>
      </c>
      <c r="E141" s="94"/>
      <c r="F141" s="95" t="s">
        <v>688</v>
      </c>
      <c r="G141" s="94" t="s">
        <v>4322</v>
      </c>
      <c r="H141" s="94" t="s">
        <v>4339</v>
      </c>
      <c r="I141" s="94" t="s">
        <v>1246</v>
      </c>
      <c r="J141" s="94" t="s">
        <v>4342</v>
      </c>
      <c r="K141" s="94" t="s">
        <v>4342</v>
      </c>
      <c r="L141" s="94" t="s">
        <v>4343</v>
      </c>
      <c r="M141" s="94" t="s">
        <v>4345</v>
      </c>
      <c r="N141" s="94" t="s">
        <v>4347</v>
      </c>
      <c r="O141" s="94" t="s">
        <v>4322</v>
      </c>
      <c r="P141" s="94" t="s">
        <v>4322</v>
      </c>
      <c r="Q141" s="94" t="s">
        <v>4348</v>
      </c>
      <c r="R141" s="94" t="s">
        <v>4348</v>
      </c>
      <c r="S141" s="94" t="s">
        <v>4349</v>
      </c>
      <c r="T141" s="94" t="s">
        <v>4350</v>
      </c>
      <c r="U141" s="94" t="s">
        <v>4351</v>
      </c>
      <c r="V141" s="94" t="s">
        <v>4352</v>
      </c>
      <c r="W141" s="94" t="s">
        <v>4353</v>
      </c>
      <c r="X141" s="94" t="s">
        <v>4322</v>
      </c>
      <c r="Y141" s="94"/>
      <c r="Z141" s="94" t="s">
        <v>4330</v>
      </c>
      <c r="AA141" s="94" t="s">
        <v>4330</v>
      </c>
      <c r="AB141" s="94" t="s">
        <v>4330</v>
      </c>
      <c r="AC141" s="94" t="s">
        <v>4333</v>
      </c>
      <c r="AD141" s="94"/>
      <c r="AE141" s="94" t="s">
        <v>4336</v>
      </c>
      <c r="AF141" s="94" t="s">
        <v>4336</v>
      </c>
      <c r="AG141" s="94" t="s">
        <v>4322</v>
      </c>
      <c r="AH141" s="94" t="s">
        <v>4356</v>
      </c>
      <c r="AI141" s="94"/>
      <c r="AJ141" s="94"/>
      <c r="AK141" s="94"/>
      <c r="AL141" s="94" t="s">
        <v>4359</v>
      </c>
      <c r="AM141" s="94"/>
      <c r="AN141" s="94"/>
      <c r="AO141" s="94" t="s">
        <v>4365</v>
      </c>
      <c r="AP141" s="94" t="s">
        <v>4366</v>
      </c>
      <c r="AQ141" s="94"/>
      <c r="AR141" s="94" t="s">
        <v>4371</v>
      </c>
      <c r="AS141" s="94" t="s">
        <v>4372</v>
      </c>
      <c r="AT141" s="94" t="s">
        <v>4373</v>
      </c>
      <c r="AU141" s="94" t="s">
        <v>4373</v>
      </c>
      <c r="AV141" s="94" t="s">
        <v>4374</v>
      </c>
      <c r="AW141" s="94" t="s">
        <v>4375</v>
      </c>
      <c r="AX141" s="94"/>
      <c r="AY141" s="94"/>
      <c r="AZ141" s="94"/>
      <c r="BA141" s="94" t="s">
        <v>4377</v>
      </c>
      <c r="BB141" s="94" t="s">
        <v>4322</v>
      </c>
      <c r="BC141" s="94" t="s">
        <v>4376</v>
      </c>
      <c r="BD141" s="94" t="s">
        <v>4376</v>
      </c>
      <c r="BE141" s="94" t="s">
        <v>4376</v>
      </c>
      <c r="BF141" s="94" t="s">
        <v>4322</v>
      </c>
      <c r="BG141" s="94" t="s">
        <v>4378</v>
      </c>
      <c r="BH141" s="94" t="s">
        <v>4322</v>
      </c>
      <c r="BI141" s="94" t="s">
        <v>4322</v>
      </c>
      <c r="BJ141" s="94" t="s">
        <v>4380</v>
      </c>
      <c r="BK141" s="94" t="s">
        <v>4382</v>
      </c>
      <c r="BL141" s="94" t="s">
        <v>4322</v>
      </c>
      <c r="BM141" s="94" t="s">
        <v>4383</v>
      </c>
      <c r="BN141" s="94" t="s">
        <v>4383</v>
      </c>
      <c r="BO141" s="255" t="s">
        <v>4322</v>
      </c>
      <c r="BP141" s="94" t="s">
        <v>4322</v>
      </c>
      <c r="BQ141" s="94" t="s">
        <v>4386</v>
      </c>
      <c r="BR141" s="94" t="s">
        <v>4387</v>
      </c>
      <c r="BS141" s="94" t="s">
        <v>4388</v>
      </c>
      <c r="BT141" s="94" t="s">
        <v>4322</v>
      </c>
    </row>
    <row r="142" spans="1:72" s="14" customFormat="1" ht="27">
      <c r="A142" s="53" t="s">
        <v>96</v>
      </c>
      <c r="B142" s="54" t="s">
        <v>5016</v>
      </c>
      <c r="C142" s="54" t="s">
        <v>5016</v>
      </c>
      <c r="D142" s="54" t="s">
        <v>39</v>
      </c>
      <c r="E142" s="54"/>
      <c r="F142" s="53" t="s">
        <v>96</v>
      </c>
      <c r="G142" s="48">
        <v>0.25</v>
      </c>
      <c r="H142" s="48" t="s">
        <v>39</v>
      </c>
      <c r="I142" s="48" t="s">
        <v>39</v>
      </c>
      <c r="J142" s="48" t="s">
        <v>39</v>
      </c>
      <c r="K142" s="48" t="s">
        <v>39</v>
      </c>
      <c r="L142" s="54" t="s">
        <v>39</v>
      </c>
      <c r="M142" s="123" t="s">
        <v>4163</v>
      </c>
      <c r="N142" s="54" t="s">
        <v>2691</v>
      </c>
      <c r="O142" s="48" t="s">
        <v>2759</v>
      </c>
      <c r="P142" s="48" t="s">
        <v>2759</v>
      </c>
      <c r="Q142" s="54" t="s">
        <v>39</v>
      </c>
      <c r="R142" s="54" t="s">
        <v>39</v>
      </c>
      <c r="S142" s="48" t="s">
        <v>1415</v>
      </c>
      <c r="T142" s="54" t="s">
        <v>39</v>
      </c>
      <c r="U142" s="54" t="s">
        <v>39</v>
      </c>
      <c r="V142" s="54" t="s">
        <v>39</v>
      </c>
      <c r="W142" s="54" t="s">
        <v>39</v>
      </c>
      <c r="X142" s="54" t="s">
        <v>39</v>
      </c>
      <c r="Y142" s="48">
        <v>0.1</v>
      </c>
      <c r="Z142" s="131" t="s">
        <v>4034</v>
      </c>
      <c r="AA142" s="131" t="s">
        <v>4035</v>
      </c>
      <c r="AB142" s="131" t="s">
        <v>4036</v>
      </c>
      <c r="AC142" s="54" t="s">
        <v>39</v>
      </c>
      <c r="AD142" s="54" t="s">
        <v>39</v>
      </c>
      <c r="AE142" s="48">
        <v>0.1</v>
      </c>
      <c r="AF142" s="54" t="s">
        <v>3932</v>
      </c>
      <c r="AG142" s="48">
        <v>0.1</v>
      </c>
      <c r="AH142" s="54" t="s">
        <v>3652</v>
      </c>
      <c r="AI142" s="54" t="s">
        <v>39</v>
      </c>
      <c r="AJ142" s="54" t="s">
        <v>39</v>
      </c>
      <c r="AK142" s="54" t="s">
        <v>39</v>
      </c>
      <c r="AL142" s="54" t="s">
        <v>39</v>
      </c>
      <c r="AM142" s="54" t="s">
        <v>39</v>
      </c>
      <c r="AN142" s="54" t="s">
        <v>39</v>
      </c>
      <c r="AO142" s="54" t="s">
        <v>181</v>
      </c>
      <c r="AP142" s="54" t="s">
        <v>181</v>
      </c>
      <c r="AQ142" s="73" t="s">
        <v>39</v>
      </c>
      <c r="AR142" s="54" t="s">
        <v>39</v>
      </c>
      <c r="AS142" s="54" t="s">
        <v>39</v>
      </c>
      <c r="AT142" s="54" t="s">
        <v>39</v>
      </c>
      <c r="AU142" s="54" t="s">
        <v>39</v>
      </c>
      <c r="AV142" s="54" t="s">
        <v>39</v>
      </c>
      <c r="AW142" s="54" t="s">
        <v>39</v>
      </c>
      <c r="AX142" s="54" t="s">
        <v>39</v>
      </c>
      <c r="AY142" s="54" t="s">
        <v>39</v>
      </c>
      <c r="AZ142" s="54" t="s">
        <v>39</v>
      </c>
      <c r="BA142" s="54" t="s">
        <v>39</v>
      </c>
      <c r="BB142" s="54" t="s">
        <v>39</v>
      </c>
      <c r="BC142" s="54" t="s">
        <v>39</v>
      </c>
      <c r="BD142" s="54" t="s">
        <v>39</v>
      </c>
      <c r="BE142" s="48" t="s">
        <v>39</v>
      </c>
      <c r="BF142" s="48" t="s">
        <v>39</v>
      </c>
      <c r="BG142" s="48" t="s">
        <v>2759</v>
      </c>
      <c r="BH142" s="54" t="s">
        <v>39</v>
      </c>
      <c r="BI142" s="54" t="s">
        <v>39</v>
      </c>
      <c r="BJ142" s="54" t="s">
        <v>39</v>
      </c>
      <c r="BK142" s="54" t="s">
        <v>39</v>
      </c>
      <c r="BL142" s="54" t="s">
        <v>39</v>
      </c>
      <c r="BM142" s="54" t="s">
        <v>39</v>
      </c>
      <c r="BN142" s="54" t="s">
        <v>39</v>
      </c>
      <c r="BO142" s="254" t="s">
        <v>39</v>
      </c>
      <c r="BP142" s="54" t="s">
        <v>39</v>
      </c>
      <c r="BQ142" s="54" t="s">
        <v>39</v>
      </c>
      <c r="BR142" s="54" t="s">
        <v>39</v>
      </c>
      <c r="BS142" s="54" t="s">
        <v>39</v>
      </c>
      <c r="BT142" s="48">
        <v>0.25</v>
      </c>
    </row>
    <row r="143" spans="1:72" s="2" customFormat="1" ht="9" customHeight="1">
      <c r="A143" s="95" t="s">
        <v>688</v>
      </c>
      <c r="B143" s="94" t="s">
        <v>5089</v>
      </c>
      <c r="C143" s="94" t="s">
        <v>5089</v>
      </c>
      <c r="D143" s="94" t="s">
        <v>39</v>
      </c>
      <c r="E143" s="94"/>
      <c r="F143" s="95" t="s">
        <v>688</v>
      </c>
      <c r="G143" s="94"/>
      <c r="H143" s="94" t="s">
        <v>39</v>
      </c>
      <c r="I143" s="94" t="s">
        <v>39</v>
      </c>
      <c r="J143" s="94" t="s">
        <v>39</v>
      </c>
      <c r="K143" s="94" t="s">
        <v>39</v>
      </c>
      <c r="L143" s="94"/>
      <c r="M143" s="94" t="s">
        <v>4164</v>
      </c>
      <c r="N143" s="94" t="s">
        <v>2690</v>
      </c>
      <c r="O143" s="94" t="s">
        <v>2779</v>
      </c>
      <c r="P143" s="94" t="s">
        <v>1238</v>
      </c>
      <c r="Q143" s="94" t="s">
        <v>39</v>
      </c>
      <c r="R143" s="94" t="s">
        <v>39</v>
      </c>
      <c r="S143" s="94" t="s">
        <v>1903</v>
      </c>
      <c r="T143" s="94" t="s">
        <v>39</v>
      </c>
      <c r="U143" s="94" t="s">
        <v>39</v>
      </c>
      <c r="V143" s="94" t="s">
        <v>39</v>
      </c>
      <c r="W143" s="94" t="s">
        <v>39</v>
      </c>
      <c r="X143" s="94" t="s">
        <v>39</v>
      </c>
      <c r="Y143" s="94" t="s">
        <v>3733</v>
      </c>
      <c r="Z143" s="94" t="s">
        <v>4047</v>
      </c>
      <c r="AA143" s="94" t="s">
        <v>4046</v>
      </c>
      <c r="AB143" s="94" t="s">
        <v>4083</v>
      </c>
      <c r="AC143" s="94" t="s">
        <v>39</v>
      </c>
      <c r="AD143" s="94" t="s">
        <v>39</v>
      </c>
      <c r="AE143" s="94" t="s">
        <v>3933</v>
      </c>
      <c r="AF143" s="94" t="s">
        <v>3934</v>
      </c>
      <c r="AG143" s="94" t="s">
        <v>4220</v>
      </c>
      <c r="AH143" s="94" t="s">
        <v>1226</v>
      </c>
      <c r="AI143" s="94" t="s">
        <v>39</v>
      </c>
      <c r="AJ143" s="94" t="s">
        <v>39</v>
      </c>
      <c r="AK143" s="94" t="s">
        <v>39</v>
      </c>
      <c r="AL143" s="94" t="s">
        <v>39</v>
      </c>
      <c r="AM143" s="94" t="s">
        <v>39</v>
      </c>
      <c r="AN143" s="94"/>
      <c r="AO143" s="94" t="s">
        <v>1284</v>
      </c>
      <c r="AP143" s="94" t="s">
        <v>1323</v>
      </c>
      <c r="AQ143" s="94" t="s">
        <v>39</v>
      </c>
      <c r="AR143" s="94" t="s">
        <v>39</v>
      </c>
      <c r="AS143" s="94" t="s">
        <v>39</v>
      </c>
      <c r="AT143" s="94" t="s">
        <v>39</v>
      </c>
      <c r="AU143" s="94" t="s">
        <v>39</v>
      </c>
      <c r="AV143" s="94" t="s">
        <v>39</v>
      </c>
      <c r="AW143" s="94" t="s">
        <v>39</v>
      </c>
      <c r="AX143" s="94"/>
      <c r="AY143" s="94"/>
      <c r="AZ143" s="94"/>
      <c r="BA143" s="94" t="s">
        <v>39</v>
      </c>
      <c r="BB143" s="94" t="s">
        <v>39</v>
      </c>
      <c r="BC143" s="94"/>
      <c r="BD143" s="94" t="s">
        <v>39</v>
      </c>
      <c r="BE143" s="94" t="s">
        <v>39</v>
      </c>
      <c r="BF143" s="94" t="s">
        <v>39</v>
      </c>
      <c r="BG143" s="94" t="s">
        <v>2866</v>
      </c>
      <c r="BH143" s="94" t="s">
        <v>39</v>
      </c>
      <c r="BI143" s="94" t="s">
        <v>39</v>
      </c>
      <c r="BJ143" s="94" t="s">
        <v>39</v>
      </c>
      <c r="BK143" s="94" t="s">
        <v>39</v>
      </c>
      <c r="BL143" s="94" t="s">
        <v>39</v>
      </c>
      <c r="BM143" s="94" t="s">
        <v>39</v>
      </c>
      <c r="BN143" s="94" t="s">
        <v>39</v>
      </c>
      <c r="BO143" s="255" t="s">
        <v>39</v>
      </c>
      <c r="BP143" s="94" t="s">
        <v>39</v>
      </c>
      <c r="BQ143" s="94" t="s">
        <v>39</v>
      </c>
      <c r="BR143" s="94" t="s">
        <v>39</v>
      </c>
      <c r="BS143" s="94" t="s">
        <v>39</v>
      </c>
      <c r="BT143" s="94"/>
    </row>
    <row r="144" spans="1:72" s="117" customFormat="1" ht="27">
      <c r="A144" s="53" t="s">
        <v>144</v>
      </c>
      <c r="B144" s="54" t="s">
        <v>5016</v>
      </c>
      <c r="C144" s="54" t="s">
        <v>5016</v>
      </c>
      <c r="D144" s="54" t="s">
        <v>39</v>
      </c>
      <c r="E144" s="54"/>
      <c r="F144" s="53" t="s">
        <v>144</v>
      </c>
      <c r="G144" s="54" t="s">
        <v>39</v>
      </c>
      <c r="H144" s="48" t="s">
        <v>39</v>
      </c>
      <c r="I144" s="48" t="s">
        <v>39</v>
      </c>
      <c r="J144" s="48" t="s">
        <v>39</v>
      </c>
      <c r="K144" s="48" t="s">
        <v>39</v>
      </c>
      <c r="L144" s="54" t="s">
        <v>39</v>
      </c>
      <c r="M144" s="123" t="s">
        <v>39</v>
      </c>
      <c r="N144" s="54" t="s">
        <v>2691</v>
      </c>
      <c r="O144" s="48" t="s">
        <v>2759</v>
      </c>
      <c r="P144" s="48" t="s">
        <v>2759</v>
      </c>
      <c r="Q144" s="54" t="s">
        <v>39</v>
      </c>
      <c r="R144" s="54" t="s">
        <v>39</v>
      </c>
      <c r="S144" s="48" t="s">
        <v>1415</v>
      </c>
      <c r="T144" s="54" t="s">
        <v>39</v>
      </c>
      <c r="U144" s="54" t="s">
        <v>39</v>
      </c>
      <c r="V144" s="54" t="s">
        <v>39</v>
      </c>
      <c r="W144" s="54" t="s">
        <v>39</v>
      </c>
      <c r="X144" s="54" t="s">
        <v>39</v>
      </c>
      <c r="Y144" s="54" t="s">
        <v>39</v>
      </c>
      <c r="Z144" s="131" t="s">
        <v>4034</v>
      </c>
      <c r="AA144" s="131" t="s">
        <v>4035</v>
      </c>
      <c r="AB144" s="131" t="s">
        <v>4036</v>
      </c>
      <c r="AC144" s="54" t="s">
        <v>39</v>
      </c>
      <c r="AD144" s="54" t="s">
        <v>39</v>
      </c>
      <c r="AE144" s="48">
        <v>0.1</v>
      </c>
      <c r="AF144" s="48">
        <v>0.1</v>
      </c>
      <c r="AG144" s="48">
        <v>0.1</v>
      </c>
      <c r="AH144" s="54" t="s">
        <v>39</v>
      </c>
      <c r="AI144" s="54" t="s">
        <v>39</v>
      </c>
      <c r="AJ144" s="54" t="s">
        <v>39</v>
      </c>
      <c r="AK144" s="54" t="s">
        <v>39</v>
      </c>
      <c r="AL144" s="54" t="s">
        <v>39</v>
      </c>
      <c r="AM144" s="54" t="s">
        <v>39</v>
      </c>
      <c r="AN144" s="54" t="s">
        <v>39</v>
      </c>
      <c r="AO144" s="54" t="s">
        <v>181</v>
      </c>
      <c r="AP144" s="54" t="s">
        <v>181</v>
      </c>
      <c r="AQ144" s="73" t="s">
        <v>39</v>
      </c>
      <c r="AR144" s="54" t="s">
        <v>39</v>
      </c>
      <c r="AS144" s="54" t="s">
        <v>39</v>
      </c>
      <c r="AT144" s="54" t="s">
        <v>39</v>
      </c>
      <c r="AU144" s="54" t="s">
        <v>39</v>
      </c>
      <c r="AV144" s="54" t="s">
        <v>39</v>
      </c>
      <c r="AW144" s="54" t="s">
        <v>39</v>
      </c>
      <c r="AX144" s="54" t="s">
        <v>39</v>
      </c>
      <c r="AY144" s="54" t="s">
        <v>39</v>
      </c>
      <c r="AZ144" s="54" t="s">
        <v>39</v>
      </c>
      <c r="BA144" s="54" t="s">
        <v>39</v>
      </c>
      <c r="BB144" s="54" t="s">
        <v>39</v>
      </c>
      <c r="BC144" s="54" t="s">
        <v>39</v>
      </c>
      <c r="BD144" s="54" t="s">
        <v>39</v>
      </c>
      <c r="BE144" s="54" t="s">
        <v>39</v>
      </c>
      <c r="BF144" s="48" t="s">
        <v>39</v>
      </c>
      <c r="BG144" s="48" t="s">
        <v>2759</v>
      </c>
      <c r="BH144" s="54" t="s">
        <v>39</v>
      </c>
      <c r="BI144" s="54" t="s">
        <v>39</v>
      </c>
      <c r="BJ144" s="54" t="s">
        <v>39</v>
      </c>
      <c r="BK144" s="54" t="s">
        <v>39</v>
      </c>
      <c r="BL144" s="54" t="s">
        <v>39</v>
      </c>
      <c r="BM144" s="54" t="s">
        <v>39</v>
      </c>
      <c r="BN144" s="54" t="s">
        <v>39</v>
      </c>
      <c r="BO144" s="254" t="s">
        <v>39</v>
      </c>
      <c r="BP144" s="54" t="s">
        <v>39</v>
      </c>
      <c r="BQ144" s="54" t="s">
        <v>39</v>
      </c>
      <c r="BR144" s="54" t="s">
        <v>39</v>
      </c>
      <c r="BS144" s="54" t="s">
        <v>39</v>
      </c>
      <c r="BT144" s="48">
        <v>0.25</v>
      </c>
    </row>
    <row r="145" spans="1:72" s="2" customFormat="1" ht="9" customHeight="1">
      <c r="A145" s="95" t="s">
        <v>688</v>
      </c>
      <c r="B145" s="94" t="s">
        <v>5089</v>
      </c>
      <c r="C145" s="94" t="s">
        <v>5089</v>
      </c>
      <c r="D145" s="94" t="s">
        <v>39</v>
      </c>
      <c r="E145" s="94"/>
      <c r="F145" s="95" t="s">
        <v>688</v>
      </c>
      <c r="G145" s="94"/>
      <c r="H145" s="94" t="s">
        <v>39</v>
      </c>
      <c r="I145" s="94" t="s">
        <v>39</v>
      </c>
      <c r="J145" s="94" t="s">
        <v>39</v>
      </c>
      <c r="K145" s="94" t="s">
        <v>39</v>
      </c>
      <c r="L145" s="94"/>
      <c r="M145" s="94" t="s">
        <v>39</v>
      </c>
      <c r="N145" s="94" t="s">
        <v>2690</v>
      </c>
      <c r="O145" s="94" t="s">
        <v>2779</v>
      </c>
      <c r="P145" s="94" t="s">
        <v>1238</v>
      </c>
      <c r="Q145" s="94" t="s">
        <v>39</v>
      </c>
      <c r="R145" s="94" t="s">
        <v>39</v>
      </c>
      <c r="S145" s="94" t="s">
        <v>1903</v>
      </c>
      <c r="T145" s="94" t="s">
        <v>39</v>
      </c>
      <c r="U145" s="94" t="s">
        <v>39</v>
      </c>
      <c r="V145" s="94" t="s">
        <v>39</v>
      </c>
      <c r="W145" s="94" t="s">
        <v>39</v>
      </c>
      <c r="X145" s="94" t="s">
        <v>39</v>
      </c>
      <c r="Y145" s="94" t="s">
        <v>39</v>
      </c>
      <c r="Z145" s="94" t="s">
        <v>4047</v>
      </c>
      <c r="AA145" s="94" t="s">
        <v>4046</v>
      </c>
      <c r="AB145" s="94" t="s">
        <v>4083</v>
      </c>
      <c r="AC145" s="94" t="s">
        <v>39</v>
      </c>
      <c r="AD145" s="94" t="s">
        <v>39</v>
      </c>
      <c r="AE145" s="94" t="s">
        <v>3933</v>
      </c>
      <c r="AF145" s="94" t="s">
        <v>3935</v>
      </c>
      <c r="AG145" s="94" t="s">
        <v>4220</v>
      </c>
      <c r="AH145" s="94" t="s">
        <v>39</v>
      </c>
      <c r="AI145" s="94" t="s">
        <v>39</v>
      </c>
      <c r="AJ145" s="94" t="s">
        <v>39</v>
      </c>
      <c r="AK145" s="94" t="s">
        <v>39</v>
      </c>
      <c r="AL145" s="94" t="s">
        <v>39</v>
      </c>
      <c r="AM145" s="94" t="s">
        <v>39</v>
      </c>
      <c r="AN145" s="94"/>
      <c r="AO145" s="94" t="s">
        <v>1284</v>
      </c>
      <c r="AP145" s="94" t="s">
        <v>1323</v>
      </c>
      <c r="AQ145" s="94" t="s">
        <v>39</v>
      </c>
      <c r="AR145" s="94" t="s">
        <v>39</v>
      </c>
      <c r="AS145" s="94" t="s">
        <v>39</v>
      </c>
      <c r="AT145" s="94" t="s">
        <v>39</v>
      </c>
      <c r="AU145" s="94" t="s">
        <v>39</v>
      </c>
      <c r="AV145" s="94" t="s">
        <v>39</v>
      </c>
      <c r="AW145" s="94" t="s">
        <v>39</v>
      </c>
      <c r="AX145" s="94"/>
      <c r="AY145" s="94"/>
      <c r="AZ145" s="94"/>
      <c r="BA145" s="94" t="s">
        <v>39</v>
      </c>
      <c r="BB145" s="94" t="s">
        <v>39</v>
      </c>
      <c r="BC145" s="94"/>
      <c r="BD145" s="94" t="s">
        <v>39</v>
      </c>
      <c r="BE145" s="94" t="s">
        <v>39</v>
      </c>
      <c r="BF145" s="94" t="s">
        <v>39</v>
      </c>
      <c r="BG145" s="94" t="s">
        <v>2866</v>
      </c>
      <c r="BH145" s="94" t="s">
        <v>39</v>
      </c>
      <c r="BI145" s="94" t="s">
        <v>39</v>
      </c>
      <c r="BJ145" s="94" t="s">
        <v>39</v>
      </c>
      <c r="BK145" s="94" t="s">
        <v>39</v>
      </c>
      <c r="BL145" s="94" t="s">
        <v>39</v>
      </c>
      <c r="BM145" s="94" t="s">
        <v>39</v>
      </c>
      <c r="BN145" s="94" t="s">
        <v>39</v>
      </c>
      <c r="BO145" s="255" t="s">
        <v>39</v>
      </c>
      <c r="BP145" s="94" t="s">
        <v>39</v>
      </c>
      <c r="BQ145" s="94" t="s">
        <v>39</v>
      </c>
      <c r="BR145" s="94" t="s">
        <v>39</v>
      </c>
      <c r="BS145" s="94" t="s">
        <v>39</v>
      </c>
      <c r="BT145" s="94"/>
    </row>
    <row r="146" spans="1:72" s="117" customFormat="1" ht="18">
      <c r="A146" s="53" t="s">
        <v>143</v>
      </c>
      <c r="B146" s="54" t="s">
        <v>39</v>
      </c>
      <c r="C146" s="54" t="s">
        <v>39</v>
      </c>
      <c r="D146" s="54" t="s">
        <v>39</v>
      </c>
      <c r="E146" s="54"/>
      <c r="F146" s="53" t="s">
        <v>143</v>
      </c>
      <c r="G146" s="54" t="s">
        <v>39</v>
      </c>
      <c r="H146" s="48" t="s">
        <v>39</v>
      </c>
      <c r="I146" s="48" t="s">
        <v>39</v>
      </c>
      <c r="J146" s="48" t="s">
        <v>39</v>
      </c>
      <c r="K146" s="48" t="s">
        <v>39</v>
      </c>
      <c r="L146" s="54" t="s">
        <v>39</v>
      </c>
      <c r="M146" s="123" t="s">
        <v>2630</v>
      </c>
      <c r="N146" s="54" t="s">
        <v>2691</v>
      </c>
      <c r="O146" s="54" t="s">
        <v>39</v>
      </c>
      <c r="P146" s="54" t="s">
        <v>39</v>
      </c>
      <c r="Q146" s="54" t="s">
        <v>39</v>
      </c>
      <c r="R146" s="54" t="s">
        <v>39</v>
      </c>
      <c r="S146" s="48" t="s">
        <v>1415</v>
      </c>
      <c r="T146" s="54" t="s">
        <v>39</v>
      </c>
      <c r="U146" s="54" t="s">
        <v>39</v>
      </c>
      <c r="V146" s="54" t="s">
        <v>39</v>
      </c>
      <c r="W146" s="54" t="s">
        <v>39</v>
      </c>
      <c r="X146" s="54" t="s">
        <v>39</v>
      </c>
      <c r="Y146" s="54" t="s">
        <v>39</v>
      </c>
      <c r="Z146" s="131" t="s">
        <v>4034</v>
      </c>
      <c r="AA146" s="131" t="s">
        <v>4035</v>
      </c>
      <c r="AB146" s="131" t="s">
        <v>4036</v>
      </c>
      <c r="AC146" s="54" t="s">
        <v>39</v>
      </c>
      <c r="AD146" s="54" t="s">
        <v>39</v>
      </c>
      <c r="AE146" s="48">
        <v>0.1</v>
      </c>
      <c r="AF146" s="54" t="s">
        <v>3932</v>
      </c>
      <c r="AG146" s="48">
        <v>0.1</v>
      </c>
      <c r="AH146" s="54" t="s">
        <v>39</v>
      </c>
      <c r="AI146" s="54" t="s">
        <v>39</v>
      </c>
      <c r="AJ146" s="54" t="s">
        <v>39</v>
      </c>
      <c r="AK146" s="54" t="s">
        <v>39</v>
      </c>
      <c r="AL146" s="54" t="s">
        <v>39</v>
      </c>
      <c r="AM146" s="54" t="s">
        <v>39</v>
      </c>
      <c r="AN146" s="54" t="s">
        <v>39</v>
      </c>
      <c r="AO146" s="54" t="s">
        <v>39</v>
      </c>
      <c r="AP146" s="54" t="s">
        <v>39</v>
      </c>
      <c r="AQ146" s="73" t="s">
        <v>39</v>
      </c>
      <c r="AR146" s="54" t="s">
        <v>39</v>
      </c>
      <c r="AS146" s="54" t="s">
        <v>39</v>
      </c>
      <c r="AT146" s="54" t="s">
        <v>39</v>
      </c>
      <c r="AU146" s="54" t="s">
        <v>39</v>
      </c>
      <c r="AV146" s="54" t="s">
        <v>39</v>
      </c>
      <c r="AW146" s="54" t="s">
        <v>39</v>
      </c>
      <c r="AX146" s="54" t="s">
        <v>39</v>
      </c>
      <c r="AY146" s="54" t="s">
        <v>39</v>
      </c>
      <c r="AZ146" s="54" t="s">
        <v>39</v>
      </c>
      <c r="BA146" s="54" t="s">
        <v>39</v>
      </c>
      <c r="BB146" s="54" t="s">
        <v>39</v>
      </c>
      <c r="BC146" s="54" t="s">
        <v>39</v>
      </c>
      <c r="BD146" s="54" t="s">
        <v>39</v>
      </c>
      <c r="BE146" s="54" t="s">
        <v>39</v>
      </c>
      <c r="BF146" s="48" t="s">
        <v>39</v>
      </c>
      <c r="BG146" s="54" t="s">
        <v>39</v>
      </c>
      <c r="BH146" s="54" t="s">
        <v>39</v>
      </c>
      <c r="BI146" s="54" t="s">
        <v>39</v>
      </c>
      <c r="BJ146" s="54" t="s">
        <v>39</v>
      </c>
      <c r="BK146" s="54" t="s">
        <v>39</v>
      </c>
      <c r="BL146" s="54" t="s">
        <v>39</v>
      </c>
      <c r="BM146" s="54" t="s">
        <v>39</v>
      </c>
      <c r="BN146" s="54" t="s">
        <v>39</v>
      </c>
      <c r="BO146" s="254" t="s">
        <v>39</v>
      </c>
      <c r="BP146" s="54" t="s">
        <v>39</v>
      </c>
      <c r="BQ146" s="54" t="s">
        <v>39</v>
      </c>
      <c r="BR146" s="54" t="s">
        <v>39</v>
      </c>
      <c r="BS146" s="54" t="s">
        <v>39</v>
      </c>
      <c r="BT146" s="48">
        <v>0.25</v>
      </c>
    </row>
    <row r="147" spans="1:72" s="2" customFormat="1" ht="9" customHeight="1">
      <c r="A147" s="95" t="s">
        <v>688</v>
      </c>
      <c r="B147" s="94" t="s">
        <v>39</v>
      </c>
      <c r="C147" s="94" t="s">
        <v>39</v>
      </c>
      <c r="D147" s="94" t="s">
        <v>39</v>
      </c>
      <c r="E147" s="94"/>
      <c r="F147" s="95" t="s">
        <v>688</v>
      </c>
      <c r="G147" s="94"/>
      <c r="H147" s="94" t="s">
        <v>39</v>
      </c>
      <c r="I147" s="94" t="s">
        <v>39</v>
      </c>
      <c r="J147" s="94" t="s">
        <v>39</v>
      </c>
      <c r="K147" s="94" t="s">
        <v>39</v>
      </c>
      <c r="L147" s="94"/>
      <c r="M147" s="94" t="s">
        <v>2670</v>
      </c>
      <c r="N147" s="94" t="s">
        <v>2690</v>
      </c>
      <c r="O147" s="94" t="s">
        <v>39</v>
      </c>
      <c r="P147" s="94" t="s">
        <v>39</v>
      </c>
      <c r="Q147" s="94" t="s">
        <v>39</v>
      </c>
      <c r="R147" s="94" t="s">
        <v>39</v>
      </c>
      <c r="S147" s="94" t="s">
        <v>1903</v>
      </c>
      <c r="T147" s="94" t="s">
        <v>39</v>
      </c>
      <c r="U147" s="94" t="s">
        <v>39</v>
      </c>
      <c r="V147" s="94" t="s">
        <v>39</v>
      </c>
      <c r="W147" s="94" t="s">
        <v>39</v>
      </c>
      <c r="X147" s="94" t="s">
        <v>39</v>
      </c>
      <c r="Y147" s="94" t="s">
        <v>39</v>
      </c>
      <c r="Z147" s="94" t="s">
        <v>4047</v>
      </c>
      <c r="AA147" s="94" t="s">
        <v>4046</v>
      </c>
      <c r="AB147" s="94" t="s">
        <v>4083</v>
      </c>
      <c r="AC147" s="94" t="s">
        <v>39</v>
      </c>
      <c r="AD147" s="94" t="s">
        <v>39</v>
      </c>
      <c r="AE147" s="94" t="s">
        <v>3933</v>
      </c>
      <c r="AF147" s="94" t="s">
        <v>3934</v>
      </c>
      <c r="AG147" s="94" t="s">
        <v>4220</v>
      </c>
      <c r="AH147" s="94" t="s">
        <v>39</v>
      </c>
      <c r="AI147" s="94" t="s">
        <v>39</v>
      </c>
      <c r="AJ147" s="94" t="s">
        <v>39</v>
      </c>
      <c r="AK147" s="94" t="s">
        <v>39</v>
      </c>
      <c r="AL147" s="94" t="s">
        <v>39</v>
      </c>
      <c r="AM147" s="94" t="s">
        <v>39</v>
      </c>
      <c r="AN147" s="94"/>
      <c r="AO147" s="94" t="s">
        <v>39</v>
      </c>
      <c r="AP147" s="94" t="s">
        <v>39</v>
      </c>
      <c r="AQ147" s="94" t="s">
        <v>39</v>
      </c>
      <c r="AR147" s="94" t="s">
        <v>39</v>
      </c>
      <c r="AS147" s="94" t="s">
        <v>39</v>
      </c>
      <c r="AT147" s="94" t="s">
        <v>39</v>
      </c>
      <c r="AU147" s="94" t="s">
        <v>39</v>
      </c>
      <c r="AV147" s="94" t="s">
        <v>39</v>
      </c>
      <c r="AW147" s="94" t="s">
        <v>39</v>
      </c>
      <c r="AX147" s="94"/>
      <c r="AY147" s="94"/>
      <c r="AZ147" s="94"/>
      <c r="BA147" s="94" t="s">
        <v>39</v>
      </c>
      <c r="BB147" s="94" t="s">
        <v>39</v>
      </c>
      <c r="BC147" s="94"/>
      <c r="BD147" s="94" t="s">
        <v>39</v>
      </c>
      <c r="BE147" s="94" t="s">
        <v>39</v>
      </c>
      <c r="BF147" s="94" t="s">
        <v>39</v>
      </c>
      <c r="BG147" s="94" t="s">
        <v>39</v>
      </c>
      <c r="BH147" s="94" t="s">
        <v>39</v>
      </c>
      <c r="BI147" s="94" t="s">
        <v>39</v>
      </c>
      <c r="BJ147" s="94" t="s">
        <v>39</v>
      </c>
      <c r="BK147" s="94" t="s">
        <v>39</v>
      </c>
      <c r="BL147" s="94" t="s">
        <v>39</v>
      </c>
      <c r="BM147" s="94" t="s">
        <v>39</v>
      </c>
      <c r="BN147" s="94" t="s">
        <v>39</v>
      </c>
      <c r="BO147" s="255" t="s">
        <v>39</v>
      </c>
      <c r="BP147" s="94" t="s">
        <v>39</v>
      </c>
      <c r="BQ147" s="94" t="s">
        <v>39</v>
      </c>
      <c r="BR147" s="94" t="s">
        <v>39</v>
      </c>
      <c r="BS147" s="94" t="s">
        <v>39</v>
      </c>
      <c r="BT147" s="94"/>
    </row>
    <row r="148" spans="1:72" s="117" customFormat="1" ht="27">
      <c r="A148" s="53" t="s">
        <v>182</v>
      </c>
      <c r="B148" s="54" t="s">
        <v>5017</v>
      </c>
      <c r="C148" s="54" t="s">
        <v>5017</v>
      </c>
      <c r="D148" s="54" t="s">
        <v>39</v>
      </c>
      <c r="E148" s="54"/>
      <c r="F148" s="53" t="s">
        <v>182</v>
      </c>
      <c r="G148" s="54" t="s">
        <v>39</v>
      </c>
      <c r="H148" s="48" t="s">
        <v>39</v>
      </c>
      <c r="I148" s="48" t="s">
        <v>39</v>
      </c>
      <c r="J148" s="48" t="s">
        <v>39</v>
      </c>
      <c r="K148" s="48" t="s">
        <v>39</v>
      </c>
      <c r="L148" s="54" t="s">
        <v>39</v>
      </c>
      <c r="M148" s="123" t="s">
        <v>4159</v>
      </c>
      <c r="N148" s="54" t="s">
        <v>39</v>
      </c>
      <c r="O148" s="54" t="s">
        <v>39</v>
      </c>
      <c r="P148" s="54" t="s">
        <v>39</v>
      </c>
      <c r="Q148" s="54" t="s">
        <v>39</v>
      </c>
      <c r="R148" s="54" t="s">
        <v>39</v>
      </c>
      <c r="S148" s="54" t="s">
        <v>39</v>
      </c>
      <c r="T148" s="54" t="s">
        <v>673</v>
      </c>
      <c r="U148" s="54" t="s">
        <v>39</v>
      </c>
      <c r="V148" s="54" t="s">
        <v>39</v>
      </c>
      <c r="W148" s="54" t="s">
        <v>39</v>
      </c>
      <c r="X148" s="54" t="s">
        <v>39</v>
      </c>
      <c r="Y148" s="48" t="s">
        <v>3734</v>
      </c>
      <c r="Z148" s="123" t="s">
        <v>39</v>
      </c>
      <c r="AA148" s="123" t="s">
        <v>39</v>
      </c>
      <c r="AB148" s="123" t="s">
        <v>39</v>
      </c>
      <c r="AC148" s="54" t="s">
        <v>39</v>
      </c>
      <c r="AD148" s="48" t="s">
        <v>39</v>
      </c>
      <c r="AE148" s="48" t="s">
        <v>39</v>
      </c>
      <c r="AF148" s="48" t="s">
        <v>39</v>
      </c>
      <c r="AG148" s="48" t="s">
        <v>4209</v>
      </c>
      <c r="AH148" s="54" t="s">
        <v>39</v>
      </c>
      <c r="AI148" s="54" t="s">
        <v>39</v>
      </c>
      <c r="AJ148" s="54" t="s">
        <v>39</v>
      </c>
      <c r="AK148" s="54" t="s">
        <v>39</v>
      </c>
      <c r="AL148" s="54" t="s">
        <v>39</v>
      </c>
      <c r="AM148" s="54" t="s">
        <v>39</v>
      </c>
      <c r="AN148" s="54" t="s">
        <v>39</v>
      </c>
      <c r="AO148" s="54" t="s">
        <v>183</v>
      </c>
      <c r="AP148" s="54" t="s">
        <v>183</v>
      </c>
      <c r="AQ148" s="73" t="s">
        <v>39</v>
      </c>
      <c r="AR148" s="54" t="s">
        <v>39</v>
      </c>
      <c r="AS148" s="54" t="s">
        <v>39</v>
      </c>
      <c r="AT148" s="54" t="s">
        <v>39</v>
      </c>
      <c r="AU148" s="54" t="s">
        <v>39</v>
      </c>
      <c r="AV148" s="54" t="s">
        <v>39</v>
      </c>
      <c r="AW148" s="54" t="s">
        <v>39</v>
      </c>
      <c r="AX148" s="54" t="s">
        <v>39</v>
      </c>
      <c r="AY148" s="54" t="s">
        <v>441</v>
      </c>
      <c r="AZ148" s="54" t="s">
        <v>525</v>
      </c>
      <c r="BA148" s="54" t="s">
        <v>39</v>
      </c>
      <c r="BB148" s="54" t="s">
        <v>39</v>
      </c>
      <c r="BC148" s="54" t="s">
        <v>39</v>
      </c>
      <c r="BD148" s="54" t="s">
        <v>39</v>
      </c>
      <c r="BE148" s="54" t="s">
        <v>39</v>
      </c>
      <c r="BF148" s="48" t="s">
        <v>39</v>
      </c>
      <c r="BG148" s="54" t="s">
        <v>39</v>
      </c>
      <c r="BH148" s="54" t="s">
        <v>39</v>
      </c>
      <c r="BI148" s="54" t="s">
        <v>39</v>
      </c>
      <c r="BJ148" s="54" t="s">
        <v>39</v>
      </c>
      <c r="BK148" s="54" t="s">
        <v>39</v>
      </c>
      <c r="BL148" s="54" t="s">
        <v>39</v>
      </c>
      <c r="BM148" s="54" t="s">
        <v>39</v>
      </c>
      <c r="BN148" s="54" t="s">
        <v>39</v>
      </c>
      <c r="BO148" s="254" t="s">
        <v>39</v>
      </c>
      <c r="BP148" s="54" t="s">
        <v>39</v>
      </c>
      <c r="BQ148" s="54" t="s">
        <v>39</v>
      </c>
      <c r="BR148" s="54" t="s">
        <v>39</v>
      </c>
      <c r="BS148" s="54" t="s">
        <v>39</v>
      </c>
      <c r="BT148" s="75" t="s">
        <v>441</v>
      </c>
    </row>
    <row r="149" spans="1:72" s="2" customFormat="1" ht="9" customHeight="1">
      <c r="A149" s="95" t="s">
        <v>688</v>
      </c>
      <c r="B149" s="94" t="s">
        <v>5090</v>
      </c>
      <c r="C149" s="94" t="s">
        <v>5090</v>
      </c>
      <c r="D149" s="94" t="s">
        <v>39</v>
      </c>
      <c r="E149" s="94"/>
      <c r="F149" s="95" t="s">
        <v>688</v>
      </c>
      <c r="G149" s="94"/>
      <c r="H149" s="94" t="s">
        <v>39</v>
      </c>
      <c r="I149" s="94" t="s">
        <v>39</v>
      </c>
      <c r="J149" s="94" t="s">
        <v>39</v>
      </c>
      <c r="K149" s="94" t="s">
        <v>39</v>
      </c>
      <c r="L149" s="94"/>
      <c r="M149" s="94" t="s">
        <v>4158</v>
      </c>
      <c r="N149" s="94" t="s">
        <v>39</v>
      </c>
      <c r="O149" s="94" t="s">
        <v>39</v>
      </c>
      <c r="P149" s="94" t="s">
        <v>39</v>
      </c>
      <c r="Q149" s="94" t="s">
        <v>39</v>
      </c>
      <c r="R149" s="94" t="s">
        <v>39</v>
      </c>
      <c r="S149" s="94" t="s">
        <v>39</v>
      </c>
      <c r="T149" s="94" t="s">
        <v>2808</v>
      </c>
      <c r="U149" s="94" t="s">
        <v>39</v>
      </c>
      <c r="V149" s="94" t="s">
        <v>39</v>
      </c>
      <c r="W149" s="94" t="s">
        <v>39</v>
      </c>
      <c r="X149" s="94" t="s">
        <v>39</v>
      </c>
      <c r="Y149" s="94" t="s">
        <v>3733</v>
      </c>
      <c r="Z149" s="94" t="s">
        <v>39</v>
      </c>
      <c r="AA149" s="94" t="s">
        <v>39</v>
      </c>
      <c r="AB149" s="94" t="s">
        <v>39</v>
      </c>
      <c r="AC149" s="94" t="s">
        <v>39</v>
      </c>
      <c r="AD149" s="94" t="s">
        <v>39</v>
      </c>
      <c r="AE149" s="94" t="s">
        <v>39</v>
      </c>
      <c r="AF149" s="94" t="s">
        <v>39</v>
      </c>
      <c r="AG149" s="94"/>
      <c r="AH149" s="94" t="s">
        <v>39</v>
      </c>
      <c r="AI149" s="94" t="s">
        <v>39</v>
      </c>
      <c r="AJ149" s="94" t="s">
        <v>39</v>
      </c>
      <c r="AK149" s="94" t="s">
        <v>39</v>
      </c>
      <c r="AL149" s="94" t="s">
        <v>39</v>
      </c>
      <c r="AM149" s="94" t="s">
        <v>39</v>
      </c>
      <c r="AN149" s="94"/>
      <c r="AO149" s="94" t="s">
        <v>2547</v>
      </c>
      <c r="AP149" s="94" t="s">
        <v>1325</v>
      </c>
      <c r="AQ149" s="94" t="s">
        <v>39</v>
      </c>
      <c r="AR149" s="94" t="s">
        <v>39</v>
      </c>
      <c r="AS149" s="94" t="s">
        <v>39</v>
      </c>
      <c r="AT149" s="94" t="s">
        <v>39</v>
      </c>
      <c r="AU149" s="94" t="s">
        <v>39</v>
      </c>
      <c r="AV149" s="94" t="s">
        <v>39</v>
      </c>
      <c r="AW149" s="94" t="s">
        <v>39</v>
      </c>
      <c r="AX149" s="94"/>
      <c r="AY149" s="94"/>
      <c r="AZ149" s="94"/>
      <c r="BA149" s="94" t="s">
        <v>39</v>
      </c>
      <c r="BB149" s="94" t="s">
        <v>39</v>
      </c>
      <c r="BC149" s="94"/>
      <c r="BD149" s="94" t="s">
        <v>39</v>
      </c>
      <c r="BE149" s="94" t="s">
        <v>39</v>
      </c>
      <c r="BF149" s="94" t="s">
        <v>39</v>
      </c>
      <c r="BG149" s="94" t="s">
        <v>39</v>
      </c>
      <c r="BH149" s="94" t="s">
        <v>39</v>
      </c>
      <c r="BI149" s="94" t="s">
        <v>39</v>
      </c>
      <c r="BJ149" s="94" t="s">
        <v>39</v>
      </c>
      <c r="BK149" s="94" t="s">
        <v>39</v>
      </c>
      <c r="BL149" s="94" t="s">
        <v>39</v>
      </c>
      <c r="BM149" s="94" t="s">
        <v>39</v>
      </c>
      <c r="BN149" s="94" t="s">
        <v>39</v>
      </c>
      <c r="BO149" s="255" t="s">
        <v>39</v>
      </c>
      <c r="BP149" s="94" t="s">
        <v>39</v>
      </c>
      <c r="BQ149" s="94" t="s">
        <v>39</v>
      </c>
      <c r="BR149" s="94" t="s">
        <v>39</v>
      </c>
      <c r="BS149" s="94" t="s">
        <v>39</v>
      </c>
      <c r="BT149" s="94"/>
    </row>
    <row r="150" spans="1:72" ht="9" customHeight="1">
      <c r="A150" s="154"/>
      <c r="B150" s="204"/>
      <c r="C150" s="204"/>
      <c r="D150" s="204"/>
      <c r="E150" s="246"/>
      <c r="F150" s="154"/>
    </row>
    <row r="151" spans="1:72">
      <c r="A151" s="176" t="s">
        <v>4795</v>
      </c>
      <c r="B151" s="202" t="str">
        <f>B1</f>
        <v xml:space="preserve">Interlloyd Premium Plus </v>
      </c>
      <c r="C151" s="202" t="str">
        <f>C1</f>
        <v xml:space="preserve">Interlloyd Premium Plus HB </v>
      </c>
      <c r="D151" s="202" t="str">
        <f>D1</f>
        <v>Interlloyd Protect</v>
      </c>
      <c r="E151" s="140"/>
      <c r="F151" s="50" t="s">
        <v>4795</v>
      </c>
      <c r="BO151" s="200"/>
      <c r="BP151" s="200"/>
    </row>
    <row r="152" spans="1:72" ht="18">
      <c r="A152" s="53" t="s">
        <v>6075</v>
      </c>
      <c r="B152" s="48">
        <v>0.5</v>
      </c>
      <c r="C152" s="48">
        <v>0.5</v>
      </c>
      <c r="D152" s="54" t="s">
        <v>6076</v>
      </c>
      <c r="E152" s="48"/>
      <c r="F152" s="53" t="s">
        <v>4796</v>
      </c>
      <c r="BO152" s="200"/>
      <c r="BP152" s="200"/>
    </row>
    <row r="153" spans="1:72" ht="9" customHeight="1">
      <c r="A153" s="95" t="s">
        <v>688</v>
      </c>
      <c r="B153" s="91" t="s">
        <v>6070</v>
      </c>
      <c r="C153" s="91" t="s">
        <v>6071</v>
      </c>
      <c r="D153" s="91" t="s">
        <v>6073</v>
      </c>
      <c r="E153" s="91"/>
      <c r="F153" s="95" t="s">
        <v>688</v>
      </c>
      <c r="BO153" s="200"/>
      <c r="BP153" s="200"/>
    </row>
    <row r="154" spans="1:72" ht="9" customHeight="1">
      <c r="A154" s="220" t="s">
        <v>6077</v>
      </c>
      <c r="B154" s="65" t="s">
        <v>5152</v>
      </c>
      <c r="C154" s="65" t="s">
        <v>5152</v>
      </c>
      <c r="D154" s="65" t="s">
        <v>5152</v>
      </c>
      <c r="E154" s="60"/>
      <c r="F154" s="220" t="s">
        <v>6069</v>
      </c>
      <c r="BO154" s="200"/>
      <c r="BP154" s="200"/>
    </row>
    <row r="155" spans="1:72" ht="9" customHeight="1">
      <c r="A155" s="95" t="s">
        <v>688</v>
      </c>
      <c r="B155" s="91" t="s">
        <v>1136</v>
      </c>
      <c r="C155" s="91" t="s">
        <v>1136</v>
      </c>
      <c r="D155" s="91" t="s">
        <v>1136</v>
      </c>
      <c r="E155" s="91"/>
      <c r="F155" s="95" t="s">
        <v>688</v>
      </c>
      <c r="BO155" s="200"/>
      <c r="BP155" s="200"/>
    </row>
    <row r="156" spans="1:72" ht="18">
      <c r="A156" s="53" t="s">
        <v>5297</v>
      </c>
      <c r="B156" s="54" t="s">
        <v>39</v>
      </c>
      <c r="C156" s="54" t="s">
        <v>39</v>
      </c>
      <c r="D156" s="54" t="s">
        <v>5377</v>
      </c>
      <c r="E156" s="54"/>
      <c r="F156" s="53" t="s">
        <v>5297</v>
      </c>
      <c r="BO156" s="200"/>
      <c r="BP156" s="200"/>
    </row>
    <row r="157" spans="1:72" ht="9" customHeight="1">
      <c r="A157" s="95" t="s">
        <v>688</v>
      </c>
      <c r="B157" s="91" t="s">
        <v>39</v>
      </c>
      <c r="C157" s="91" t="s">
        <v>39</v>
      </c>
      <c r="D157" s="91" t="s">
        <v>5378</v>
      </c>
      <c r="E157" s="91"/>
      <c r="F157" s="95" t="s">
        <v>688</v>
      </c>
      <c r="BO157" s="200"/>
      <c r="BP157" s="200"/>
    </row>
    <row r="158" spans="1:72" ht="18">
      <c r="A158" s="53" t="s">
        <v>5301</v>
      </c>
      <c r="B158" s="54" t="s">
        <v>39</v>
      </c>
      <c r="C158" s="54" t="s">
        <v>39</v>
      </c>
      <c r="D158" s="54" t="s">
        <v>39</v>
      </c>
      <c r="E158" s="54"/>
      <c r="F158" s="53" t="s">
        <v>5301</v>
      </c>
      <c r="BO158" s="200"/>
      <c r="BP158" s="200"/>
    </row>
    <row r="159" spans="1:72" ht="9" customHeight="1">
      <c r="A159" s="95" t="s">
        <v>688</v>
      </c>
      <c r="B159" s="91" t="s">
        <v>39</v>
      </c>
      <c r="C159" s="91" t="s">
        <v>39</v>
      </c>
      <c r="D159" s="91" t="s">
        <v>39</v>
      </c>
      <c r="E159" s="91"/>
      <c r="F159" s="95" t="s">
        <v>688</v>
      </c>
      <c r="BO159" s="200"/>
      <c r="BP159" s="200"/>
    </row>
    <row r="160" spans="1:72" ht="9" customHeight="1">
      <c r="A160" s="154"/>
      <c r="B160" s="204"/>
      <c r="C160" s="204"/>
      <c r="D160" s="204"/>
      <c r="E160" s="246"/>
      <c r="F160" s="154"/>
    </row>
    <row r="161" spans="1:72">
      <c r="A161" s="176" t="s">
        <v>4882</v>
      </c>
      <c r="B161" s="202" t="str">
        <f>B1</f>
        <v xml:space="preserve">Interlloyd Premium Plus </v>
      </c>
      <c r="C161" s="202" t="str">
        <f>C1</f>
        <v xml:space="preserve">Interlloyd Premium Plus HB </v>
      </c>
      <c r="D161" s="202" t="str">
        <f>D1</f>
        <v>Interlloyd Protect</v>
      </c>
      <c r="E161" s="140"/>
      <c r="F161" s="50" t="s">
        <v>71</v>
      </c>
      <c r="BO161" s="200"/>
      <c r="BP161" s="200"/>
    </row>
    <row r="162" spans="1:72" s="2" customFormat="1" ht="14.25" customHeight="1">
      <c r="A162" s="53" t="s">
        <v>6080</v>
      </c>
      <c r="B162" s="54" t="s">
        <v>5150</v>
      </c>
      <c r="C162" s="54" t="s">
        <v>5150</v>
      </c>
      <c r="D162" s="54" t="s">
        <v>5150</v>
      </c>
      <c r="E162" s="54"/>
      <c r="F162" s="187" t="s">
        <v>6080</v>
      </c>
      <c r="G162" s="212"/>
      <c r="H162" s="54"/>
      <c r="I162" s="54"/>
      <c r="J162"/>
      <c r="K162" s="203"/>
      <c r="L162" s="203"/>
      <c r="M162" s="203"/>
      <c r="P162" s="19"/>
      <c r="Q162" s="20"/>
      <c r="R162" s="11"/>
      <c r="S162" s="19"/>
      <c r="T162" s="19"/>
      <c r="U162" s="19"/>
      <c r="BO162" s="242"/>
      <c r="BP162" s="242"/>
    </row>
    <row r="163" spans="1:72" s="14" customFormat="1" ht="9" customHeight="1">
      <c r="A163" s="95" t="s">
        <v>688</v>
      </c>
      <c r="B163" s="91" t="s">
        <v>5309</v>
      </c>
      <c r="C163" s="91" t="s">
        <v>5309</v>
      </c>
      <c r="D163" s="94" t="s">
        <v>5309</v>
      </c>
      <c r="E163" s="91"/>
      <c r="F163" s="95" t="s">
        <v>688</v>
      </c>
      <c r="G163" s="95"/>
      <c r="H163" s="94"/>
      <c r="I163" s="94"/>
      <c r="J163"/>
      <c r="K163" s="95"/>
      <c r="L163" s="95"/>
      <c r="M163" s="95"/>
      <c r="BO163" s="251"/>
      <c r="BP163" s="251"/>
    </row>
    <row r="164" spans="1:72" s="14" customFormat="1" ht="9" customHeight="1">
      <c r="A164" s="53" t="s">
        <v>6084</v>
      </c>
      <c r="B164" s="54" t="s">
        <v>4953</v>
      </c>
      <c r="C164" s="54" t="s">
        <v>4953</v>
      </c>
      <c r="D164" s="54" t="s">
        <v>39</v>
      </c>
      <c r="E164" s="54"/>
      <c r="F164" s="187" t="s">
        <v>6084</v>
      </c>
      <c r="G164" s="95"/>
      <c r="H164" s="94"/>
      <c r="I164" s="94"/>
      <c r="J164"/>
      <c r="K164" s="95"/>
      <c r="L164" s="95"/>
      <c r="M164" s="95"/>
      <c r="BO164" s="251"/>
      <c r="BP164" s="251"/>
    </row>
    <row r="165" spans="1:72" s="14" customFormat="1" ht="9" customHeight="1">
      <c r="A165" s="95" t="s">
        <v>688</v>
      </c>
      <c r="B165" s="91" t="s">
        <v>6081</v>
      </c>
      <c r="C165" s="91" t="s">
        <v>6081</v>
      </c>
      <c r="D165" s="94" t="s">
        <v>39</v>
      </c>
      <c r="E165" s="91"/>
      <c r="F165" s="95" t="s">
        <v>688</v>
      </c>
      <c r="G165" s="95"/>
      <c r="H165" s="94"/>
      <c r="I165" s="94"/>
      <c r="J165"/>
      <c r="K165" s="95"/>
      <c r="L165" s="95"/>
      <c r="M165" s="95"/>
      <c r="BO165" s="251"/>
      <c r="BP165" s="251"/>
    </row>
    <row r="166" spans="1:72" s="14" customFormat="1" ht="9" customHeight="1">
      <c r="A166" s="53" t="s">
        <v>6085</v>
      </c>
      <c r="B166" s="54" t="s">
        <v>6087</v>
      </c>
      <c r="C166" s="54" t="s">
        <v>6087</v>
      </c>
      <c r="D166" s="54" t="s">
        <v>39</v>
      </c>
      <c r="E166" s="54"/>
      <c r="F166" s="187" t="s">
        <v>6085</v>
      </c>
      <c r="G166" s="95"/>
      <c r="H166" s="94"/>
      <c r="I166" s="94"/>
      <c r="J166"/>
      <c r="K166" s="95"/>
      <c r="L166" s="95"/>
      <c r="M166" s="95"/>
      <c r="BO166" s="251"/>
      <c r="BP166" s="251"/>
    </row>
    <row r="167" spans="1:72" s="14" customFormat="1" ht="9" customHeight="1">
      <c r="A167" s="95" t="s">
        <v>688</v>
      </c>
      <c r="B167" s="91" t="s">
        <v>6088</v>
      </c>
      <c r="C167" s="91" t="s">
        <v>6088</v>
      </c>
      <c r="D167" s="94" t="s">
        <v>39</v>
      </c>
      <c r="E167" s="91"/>
      <c r="F167" s="95" t="s">
        <v>688</v>
      </c>
      <c r="G167" s="95"/>
      <c r="H167" s="94"/>
      <c r="I167" s="94"/>
      <c r="J167"/>
      <c r="K167" s="95"/>
      <c r="L167" s="95"/>
      <c r="M167" s="95"/>
      <c r="BO167" s="251"/>
      <c r="BP167" s="251"/>
    </row>
    <row r="168" spans="1:72" s="14" customFormat="1" ht="9" customHeight="1">
      <c r="A168" s="53" t="s">
        <v>5322</v>
      </c>
      <c r="B168" s="54" t="s">
        <v>41</v>
      </c>
      <c r="C168" s="54" t="s">
        <v>41</v>
      </c>
      <c r="D168" s="54" t="s">
        <v>39</v>
      </c>
      <c r="E168" s="54"/>
      <c r="F168" s="53" t="s">
        <v>5322</v>
      </c>
      <c r="G168" s="243"/>
      <c r="H168" s="73"/>
      <c r="I168" s="73"/>
      <c r="J168" s="117"/>
      <c r="K168" s="243"/>
      <c r="L168" s="243"/>
      <c r="M168" s="243"/>
      <c r="BO168" s="251"/>
      <c r="BP168" s="251"/>
    </row>
    <row r="169" spans="1:72" s="14" customFormat="1" ht="9" customHeight="1">
      <c r="A169" s="95" t="s">
        <v>688</v>
      </c>
      <c r="B169" s="94" t="s">
        <v>5326</v>
      </c>
      <c r="C169" s="94" t="s">
        <v>5326</v>
      </c>
      <c r="D169" s="94" t="s">
        <v>39</v>
      </c>
      <c r="E169" s="94"/>
      <c r="F169" s="95" t="s">
        <v>688</v>
      </c>
      <c r="G169" s="95"/>
      <c r="H169" s="94"/>
      <c r="I169" s="94"/>
      <c r="J169"/>
      <c r="K169" s="95"/>
      <c r="L169" s="95"/>
      <c r="M169" s="95"/>
      <c r="BO169" s="251"/>
      <c r="BP169" s="251"/>
    </row>
    <row r="170" spans="1:72" s="14" customFormat="1" ht="18">
      <c r="A170" s="53" t="s">
        <v>135</v>
      </c>
      <c r="B170" s="54" t="s">
        <v>5072</v>
      </c>
      <c r="C170" s="54" t="s">
        <v>5072</v>
      </c>
      <c r="D170" s="54" t="s">
        <v>39</v>
      </c>
      <c r="E170" s="54"/>
      <c r="F170" s="53" t="s">
        <v>135</v>
      </c>
      <c r="G170" s="54" t="s">
        <v>39</v>
      </c>
      <c r="H170" s="54" t="s">
        <v>39</v>
      </c>
      <c r="I170" s="54" t="s">
        <v>39</v>
      </c>
      <c r="J170" s="54" t="s">
        <v>39</v>
      </c>
      <c r="K170" s="54" t="s">
        <v>39</v>
      </c>
      <c r="L170" s="54" t="s">
        <v>39</v>
      </c>
      <c r="M170" s="123" t="s">
        <v>323</v>
      </c>
      <c r="N170" s="54" t="s">
        <v>41</v>
      </c>
      <c r="O170" s="54" t="s">
        <v>39</v>
      </c>
      <c r="P170" s="54" t="s">
        <v>39</v>
      </c>
      <c r="Q170" s="54" t="s">
        <v>39</v>
      </c>
      <c r="R170" s="54" t="s">
        <v>39</v>
      </c>
      <c r="S170" s="54" t="s">
        <v>39</v>
      </c>
      <c r="T170" s="54" t="s">
        <v>41</v>
      </c>
      <c r="U170" s="54" t="s">
        <v>39</v>
      </c>
      <c r="V170" s="54" t="s">
        <v>39</v>
      </c>
      <c r="W170" s="54" t="s">
        <v>39</v>
      </c>
      <c r="X170" s="54" t="s">
        <v>39</v>
      </c>
      <c r="Y170" s="54" t="s">
        <v>39</v>
      </c>
      <c r="Z170" s="123" t="s">
        <v>39</v>
      </c>
      <c r="AA170" s="123" t="s">
        <v>39</v>
      </c>
      <c r="AB170" s="123" t="s">
        <v>39</v>
      </c>
      <c r="AC170" s="54" t="s">
        <v>39</v>
      </c>
      <c r="AD170" s="54" t="s">
        <v>39</v>
      </c>
      <c r="AE170" s="54" t="s">
        <v>39</v>
      </c>
      <c r="AF170" s="54" t="s">
        <v>3962</v>
      </c>
      <c r="AG170" s="54" t="s">
        <v>4209</v>
      </c>
      <c r="AH170" s="54" t="s">
        <v>39</v>
      </c>
      <c r="AI170" s="54" t="s">
        <v>39</v>
      </c>
      <c r="AJ170" s="54" t="s">
        <v>39</v>
      </c>
      <c r="AK170" s="54" t="s">
        <v>744</v>
      </c>
      <c r="AL170" s="54" t="s">
        <v>744</v>
      </c>
      <c r="AM170" s="54" t="s">
        <v>39</v>
      </c>
      <c r="AN170" s="54" t="s">
        <v>39</v>
      </c>
      <c r="AO170" s="54" t="s">
        <v>39</v>
      </c>
      <c r="AP170" s="54" t="s">
        <v>744</v>
      </c>
      <c r="AQ170" s="73" t="s">
        <v>39</v>
      </c>
      <c r="AR170" s="54" t="s">
        <v>39</v>
      </c>
      <c r="AS170" s="54" t="s">
        <v>39</v>
      </c>
      <c r="AT170" s="54" t="s">
        <v>39</v>
      </c>
      <c r="AU170" s="54" t="s">
        <v>39</v>
      </c>
      <c r="AV170" s="54" t="s">
        <v>39</v>
      </c>
      <c r="AW170" s="54" t="s">
        <v>39</v>
      </c>
      <c r="AX170" s="54" t="s">
        <v>39</v>
      </c>
      <c r="AY170" s="54" t="s">
        <v>441</v>
      </c>
      <c r="AZ170" s="54" t="s">
        <v>441</v>
      </c>
      <c r="BA170" s="54" t="s">
        <v>39</v>
      </c>
      <c r="BB170" s="54" t="s">
        <v>39</v>
      </c>
      <c r="BC170" s="54" t="s">
        <v>39</v>
      </c>
      <c r="BD170" s="54" t="s">
        <v>39</v>
      </c>
      <c r="BE170" s="54" t="s">
        <v>39</v>
      </c>
      <c r="BF170" s="54" t="s">
        <v>219</v>
      </c>
      <c r="BG170" s="54" t="s">
        <v>39</v>
      </c>
      <c r="BH170" s="54" t="s">
        <v>39</v>
      </c>
      <c r="BI170" s="54" t="s">
        <v>39</v>
      </c>
      <c r="BJ170" s="54" t="s">
        <v>39</v>
      </c>
      <c r="BK170" s="54" t="s">
        <v>1339</v>
      </c>
      <c r="BL170" s="54" t="s">
        <v>39</v>
      </c>
      <c r="BM170" s="54" t="s">
        <v>39</v>
      </c>
      <c r="BN170" s="54" t="s">
        <v>39</v>
      </c>
      <c r="BO170" s="54" t="s">
        <v>39</v>
      </c>
      <c r="BP170" s="54" t="s">
        <v>39</v>
      </c>
      <c r="BQ170" s="54" t="s">
        <v>39</v>
      </c>
      <c r="BR170" s="54" t="s">
        <v>39</v>
      </c>
      <c r="BS170" s="54" t="s">
        <v>39</v>
      </c>
      <c r="BT170" s="54" t="s">
        <v>422</v>
      </c>
    </row>
    <row r="171" spans="1:72" s="2" customFormat="1" ht="9" customHeight="1">
      <c r="A171" s="95" t="s">
        <v>688</v>
      </c>
      <c r="B171" s="94" t="s">
        <v>5073</v>
      </c>
      <c r="C171" s="94" t="s">
        <v>5073</v>
      </c>
      <c r="D171" s="94" t="s">
        <v>39</v>
      </c>
      <c r="E171" s="94"/>
      <c r="F171" s="95" t="s">
        <v>688</v>
      </c>
      <c r="G171" s="94"/>
      <c r="H171" s="94" t="s">
        <v>39</v>
      </c>
      <c r="I171" s="94" t="s">
        <v>39</v>
      </c>
      <c r="J171" s="94" t="s">
        <v>39</v>
      </c>
      <c r="K171" s="94" t="s">
        <v>39</v>
      </c>
      <c r="L171" s="94"/>
      <c r="M171" s="94" t="s">
        <v>2037</v>
      </c>
      <c r="N171" s="94" t="s">
        <v>2694</v>
      </c>
      <c r="O171" s="94" t="s">
        <v>39</v>
      </c>
      <c r="P171" s="94" t="s">
        <v>39</v>
      </c>
      <c r="Q171" s="94" t="s">
        <v>39</v>
      </c>
      <c r="R171" s="94" t="s">
        <v>39</v>
      </c>
      <c r="S171" s="94" t="s">
        <v>39</v>
      </c>
      <c r="T171" s="94" t="s">
        <v>2808</v>
      </c>
      <c r="U171" s="94" t="s">
        <v>39</v>
      </c>
      <c r="V171" s="94" t="s">
        <v>39</v>
      </c>
      <c r="W171" s="94" t="s">
        <v>39</v>
      </c>
      <c r="X171" s="94" t="s">
        <v>39</v>
      </c>
      <c r="Y171" s="94" t="s">
        <v>39</v>
      </c>
      <c r="Z171" s="94" t="s">
        <v>39</v>
      </c>
      <c r="AA171" s="94" t="s">
        <v>39</v>
      </c>
      <c r="AB171" s="94" t="s">
        <v>39</v>
      </c>
      <c r="AC171" s="94" t="s">
        <v>39</v>
      </c>
      <c r="AD171" s="94" t="s">
        <v>39</v>
      </c>
      <c r="AE171" s="94" t="s">
        <v>39</v>
      </c>
      <c r="AF171" s="94" t="s">
        <v>3963</v>
      </c>
      <c r="AG171" s="94"/>
      <c r="AH171" s="94" t="s">
        <v>39</v>
      </c>
      <c r="AI171" s="94" t="s">
        <v>39</v>
      </c>
      <c r="AJ171" s="94" t="s">
        <v>39</v>
      </c>
      <c r="AK171" s="94" t="s">
        <v>2328</v>
      </c>
      <c r="AL171" s="94" t="s">
        <v>2264</v>
      </c>
      <c r="AM171" s="94" t="s">
        <v>39</v>
      </c>
      <c r="AN171" s="94"/>
      <c r="AO171" s="94" t="s">
        <v>39</v>
      </c>
      <c r="AP171" s="94" t="s">
        <v>2473</v>
      </c>
      <c r="AQ171" s="94" t="s">
        <v>39</v>
      </c>
      <c r="AR171" s="94" t="s">
        <v>39</v>
      </c>
      <c r="AS171" s="94" t="s">
        <v>39</v>
      </c>
      <c r="AT171" s="94" t="s">
        <v>39</v>
      </c>
      <c r="AU171" s="94" t="s">
        <v>39</v>
      </c>
      <c r="AV171" s="94" t="s">
        <v>39</v>
      </c>
      <c r="AW171" s="94" t="s">
        <v>39</v>
      </c>
      <c r="AX171" s="94"/>
      <c r="AY171" s="94"/>
      <c r="AZ171" s="94"/>
      <c r="BA171" s="94" t="s">
        <v>39</v>
      </c>
      <c r="BB171" s="94" t="s">
        <v>39</v>
      </c>
      <c r="BC171" s="94"/>
      <c r="BD171" s="94" t="s">
        <v>39</v>
      </c>
      <c r="BE171" s="94" t="s">
        <v>39</v>
      </c>
      <c r="BF171" s="94" t="s">
        <v>2606</v>
      </c>
      <c r="BG171" s="94" t="s">
        <v>39</v>
      </c>
      <c r="BH171" s="94" t="s">
        <v>39</v>
      </c>
      <c r="BI171" s="94" t="s">
        <v>39</v>
      </c>
      <c r="BJ171" s="94" t="s">
        <v>39</v>
      </c>
      <c r="BK171" s="94" t="s">
        <v>1338</v>
      </c>
      <c r="BL171" s="94" t="s">
        <v>39</v>
      </c>
      <c r="BM171" s="94" t="s">
        <v>39</v>
      </c>
      <c r="BN171" s="94" t="s">
        <v>39</v>
      </c>
      <c r="BO171" s="94" t="s">
        <v>39</v>
      </c>
      <c r="BP171" s="94" t="s">
        <v>39</v>
      </c>
      <c r="BQ171" s="94" t="s">
        <v>39</v>
      </c>
      <c r="BR171" s="94" t="s">
        <v>39</v>
      </c>
      <c r="BS171" s="94" t="s">
        <v>39</v>
      </c>
      <c r="BT171" s="94"/>
    </row>
    <row r="172" spans="1:72" ht="9" customHeight="1">
      <c r="A172" s="11"/>
      <c r="B172" s="204"/>
      <c r="C172" s="204"/>
      <c r="D172" s="204"/>
      <c r="E172" s="246"/>
    </row>
    <row r="173" spans="1:72">
      <c r="A173" s="176" t="s">
        <v>72</v>
      </c>
      <c r="B173" s="202" t="str">
        <f>B1</f>
        <v xml:space="preserve">Interlloyd Premium Plus </v>
      </c>
      <c r="C173" s="202" t="str">
        <f>C1</f>
        <v xml:space="preserve">Interlloyd Premium Plus HB </v>
      </c>
      <c r="D173" s="202" t="str">
        <f>D1</f>
        <v>Interlloyd Protect</v>
      </c>
      <c r="E173" s="140"/>
      <c r="F173" s="50" t="s">
        <v>72</v>
      </c>
      <c r="BO173" s="200"/>
      <c r="BP173" s="200"/>
    </row>
    <row r="174" spans="1:72" s="14" customFormat="1" ht="27">
      <c r="A174" s="53" t="s">
        <v>4869</v>
      </c>
      <c r="B174" s="54" t="s">
        <v>4983</v>
      </c>
      <c r="C174" s="54" t="s">
        <v>4983</v>
      </c>
      <c r="D174" s="54" t="s">
        <v>4870</v>
      </c>
      <c r="E174" s="54"/>
      <c r="F174" s="53" t="s">
        <v>4781</v>
      </c>
      <c r="G174" s="54" t="s">
        <v>58</v>
      </c>
      <c r="H174" s="54" t="s">
        <v>1777</v>
      </c>
      <c r="I174" s="54" t="s">
        <v>1777</v>
      </c>
      <c r="J174" s="54" t="s">
        <v>89</v>
      </c>
      <c r="K174" s="54" t="s">
        <v>89</v>
      </c>
      <c r="L174" s="54" t="s">
        <v>89</v>
      </c>
      <c r="M174" s="123" t="s">
        <v>2634</v>
      </c>
      <c r="N174" s="54" t="s">
        <v>89</v>
      </c>
      <c r="O174" s="54" t="s">
        <v>23</v>
      </c>
      <c r="P174" s="54" t="s">
        <v>23</v>
      </c>
      <c r="Q174" s="54" t="s">
        <v>23</v>
      </c>
      <c r="R174" s="54" t="s">
        <v>23</v>
      </c>
      <c r="S174" s="54" t="s">
        <v>58</v>
      </c>
      <c r="T174" s="54" t="s">
        <v>23</v>
      </c>
      <c r="U174" s="54" t="s">
        <v>58</v>
      </c>
      <c r="V174" s="54" t="s">
        <v>23</v>
      </c>
      <c r="W174" s="54" t="s">
        <v>1662</v>
      </c>
      <c r="X174" s="54" t="s">
        <v>1386</v>
      </c>
      <c r="Y174" s="54" t="s">
        <v>1761</v>
      </c>
      <c r="Z174" s="123" t="s">
        <v>23</v>
      </c>
      <c r="AA174" s="123" t="s">
        <v>58</v>
      </c>
      <c r="AB174" s="123" t="s">
        <v>58</v>
      </c>
      <c r="AC174" s="54" t="s">
        <v>811</v>
      </c>
      <c r="AD174" s="54" t="s">
        <v>3967</v>
      </c>
      <c r="AE174" s="54" t="s">
        <v>3967</v>
      </c>
      <c r="AF174" s="54" t="s">
        <v>3967</v>
      </c>
      <c r="AG174" s="54" t="s">
        <v>4233</v>
      </c>
      <c r="AH174" s="54" t="s">
        <v>747</v>
      </c>
      <c r="AI174" s="54" t="s">
        <v>2435</v>
      </c>
      <c r="AJ174" s="54" t="s">
        <v>811</v>
      </c>
      <c r="AK174" s="54" t="s">
        <v>811</v>
      </c>
      <c r="AL174" s="54" t="s">
        <v>747</v>
      </c>
      <c r="AM174" s="54" t="s">
        <v>1139</v>
      </c>
      <c r="AN174" s="54" t="s">
        <v>23</v>
      </c>
      <c r="AO174" s="54" t="s">
        <v>89</v>
      </c>
      <c r="AP174" s="54" t="s">
        <v>89</v>
      </c>
      <c r="AQ174" s="54" t="s">
        <v>23</v>
      </c>
      <c r="AR174" s="54" t="s">
        <v>3336</v>
      </c>
      <c r="AS174" s="54" t="s">
        <v>89</v>
      </c>
      <c r="AT174" s="54" t="s">
        <v>89</v>
      </c>
      <c r="AU174" s="54" t="s">
        <v>89</v>
      </c>
      <c r="AV174" s="54" t="s">
        <v>89</v>
      </c>
      <c r="AW174" s="54" t="s">
        <v>89</v>
      </c>
      <c r="AX174" s="54" t="s">
        <v>39</v>
      </c>
      <c r="AY174" s="54" t="s">
        <v>58</v>
      </c>
      <c r="AZ174" s="54" t="s">
        <v>58</v>
      </c>
      <c r="BA174" s="54" t="s">
        <v>23</v>
      </c>
      <c r="BB174" s="54" t="s">
        <v>23</v>
      </c>
      <c r="BC174" s="54" t="s">
        <v>89</v>
      </c>
      <c r="BD174" s="54" t="s">
        <v>58</v>
      </c>
      <c r="BE174" s="54" t="s">
        <v>58</v>
      </c>
      <c r="BF174" s="54" t="s">
        <v>89</v>
      </c>
      <c r="BG174" s="54" t="s">
        <v>23</v>
      </c>
      <c r="BH174" s="54" t="s">
        <v>397</v>
      </c>
      <c r="BI174" s="54" t="s">
        <v>397</v>
      </c>
      <c r="BJ174" s="54" t="s">
        <v>58</v>
      </c>
      <c r="BK174" s="54" t="s">
        <v>89</v>
      </c>
      <c r="BL174" s="54" t="s">
        <v>89</v>
      </c>
      <c r="BM174" s="54" t="s">
        <v>23</v>
      </c>
      <c r="BN174" s="54" t="s">
        <v>23</v>
      </c>
      <c r="BO174" s="54" t="s">
        <v>1777</v>
      </c>
      <c r="BP174" s="54" t="s">
        <v>89</v>
      </c>
      <c r="BQ174" s="54" t="s">
        <v>23</v>
      </c>
      <c r="BR174" s="54" t="s">
        <v>1649</v>
      </c>
      <c r="BS174" s="54" t="s">
        <v>1646</v>
      </c>
      <c r="BT174" s="54" t="s">
        <v>444</v>
      </c>
    </row>
    <row r="175" spans="1:72" s="2" customFormat="1" ht="9" customHeight="1">
      <c r="A175" s="95" t="s">
        <v>688</v>
      </c>
      <c r="B175" s="94" t="s">
        <v>4982</v>
      </c>
      <c r="C175" s="94" t="s">
        <v>4982</v>
      </c>
      <c r="D175" s="94" t="s">
        <v>4871</v>
      </c>
      <c r="E175" s="94"/>
      <c r="F175" s="95" t="s">
        <v>688</v>
      </c>
      <c r="G175" s="94"/>
      <c r="H175" s="94" t="s">
        <v>3148</v>
      </c>
      <c r="I175" s="94" t="s">
        <v>3149</v>
      </c>
      <c r="J175" s="94" t="s">
        <v>2012</v>
      </c>
      <c r="K175" s="94" t="s">
        <v>2012</v>
      </c>
      <c r="L175" s="94"/>
      <c r="M175" s="94" t="s">
        <v>2053</v>
      </c>
      <c r="N175" s="94" t="s">
        <v>2695</v>
      </c>
      <c r="O175" s="94" t="s">
        <v>1218</v>
      </c>
      <c r="P175" s="94" t="s">
        <v>1219</v>
      </c>
      <c r="Q175" s="94" t="s">
        <v>1406</v>
      </c>
      <c r="R175" s="94" t="s">
        <v>1406</v>
      </c>
      <c r="S175" s="94" t="s">
        <v>1406</v>
      </c>
      <c r="T175" s="94" t="s">
        <v>2833</v>
      </c>
      <c r="U175" s="94" t="s">
        <v>1295</v>
      </c>
      <c r="V175" s="94" t="s">
        <v>1384</v>
      </c>
      <c r="W175" s="94" t="s">
        <v>1663</v>
      </c>
      <c r="X175" s="94" t="s">
        <v>1384</v>
      </c>
      <c r="Y175" s="94" t="s">
        <v>3729</v>
      </c>
      <c r="Z175" s="94" t="s">
        <v>4057</v>
      </c>
      <c r="AA175" s="94" t="s">
        <v>4056</v>
      </c>
      <c r="AB175" s="94" t="s">
        <v>4056</v>
      </c>
      <c r="AC175" s="94" t="s">
        <v>2945</v>
      </c>
      <c r="AD175" s="94" t="s">
        <v>2605</v>
      </c>
      <c r="AE175" s="94" t="s">
        <v>2605</v>
      </c>
      <c r="AF175" s="94" t="s">
        <v>2605</v>
      </c>
      <c r="AG175" s="94" t="s">
        <v>4234</v>
      </c>
      <c r="AH175" s="94" t="s">
        <v>1885</v>
      </c>
      <c r="AI175" s="94" t="s">
        <v>1384</v>
      </c>
      <c r="AJ175" s="94" t="s">
        <v>2371</v>
      </c>
      <c r="AK175" s="94" t="s">
        <v>2313</v>
      </c>
      <c r="AL175" s="94" t="s">
        <v>2256</v>
      </c>
      <c r="AM175" s="94" t="s">
        <v>1140</v>
      </c>
      <c r="AN175" s="94"/>
      <c r="AO175" s="94" t="s">
        <v>1274</v>
      </c>
      <c r="AP175" s="94" t="s">
        <v>1274</v>
      </c>
      <c r="AQ175" s="94" t="s">
        <v>1384</v>
      </c>
      <c r="AR175" s="94" t="s">
        <v>3325</v>
      </c>
      <c r="AS175" s="94" t="s">
        <v>3325</v>
      </c>
      <c r="AT175" s="94" t="s">
        <v>3502</v>
      </c>
      <c r="AU175" s="94" t="s">
        <v>3502</v>
      </c>
      <c r="AV175" s="94" t="s">
        <v>3502</v>
      </c>
      <c r="AW175" s="94" t="s">
        <v>3502</v>
      </c>
      <c r="AX175" s="94"/>
      <c r="AY175" s="94"/>
      <c r="AZ175" s="94"/>
      <c r="BA175" s="94" t="s">
        <v>1448</v>
      </c>
      <c r="BB175" s="94" t="s">
        <v>1448</v>
      </c>
      <c r="BC175" s="94"/>
      <c r="BD175" s="94" t="s">
        <v>2893</v>
      </c>
      <c r="BE175" s="94" t="s">
        <v>1216</v>
      </c>
      <c r="BF175" s="94" t="s">
        <v>1385</v>
      </c>
      <c r="BG175" s="94" t="s">
        <v>1721</v>
      </c>
      <c r="BH175" s="94" t="s">
        <v>851</v>
      </c>
      <c r="BI175" s="94" t="s">
        <v>851</v>
      </c>
      <c r="BJ175" s="94" t="s">
        <v>1274</v>
      </c>
      <c r="BK175" s="94" t="s">
        <v>1274</v>
      </c>
      <c r="BL175" s="94" t="s">
        <v>2985</v>
      </c>
      <c r="BM175" s="94" t="s">
        <v>3226</v>
      </c>
      <c r="BN175" s="94" t="s">
        <v>3226</v>
      </c>
      <c r="BO175" s="94" t="s">
        <v>3404</v>
      </c>
      <c r="BP175" s="94" t="s">
        <v>2112</v>
      </c>
      <c r="BQ175" s="94" t="s">
        <v>2184</v>
      </c>
      <c r="BR175" s="94" t="s">
        <v>1648</v>
      </c>
      <c r="BS175" s="94" t="s">
        <v>1647</v>
      </c>
      <c r="BT175" s="94"/>
    </row>
    <row r="176" spans="1:72" s="14" customFormat="1" ht="18">
      <c r="A176" s="53" t="s">
        <v>4782</v>
      </c>
      <c r="B176" s="54" t="s">
        <v>5068</v>
      </c>
      <c r="C176" s="54" t="s">
        <v>5068</v>
      </c>
      <c r="D176" s="54" t="s">
        <v>4874</v>
      </c>
      <c r="E176" s="54"/>
      <c r="F176" s="53" t="s">
        <v>4782</v>
      </c>
      <c r="G176" s="54" t="s">
        <v>129</v>
      </c>
      <c r="H176" s="54" t="s">
        <v>3152</v>
      </c>
      <c r="I176" s="54" t="s">
        <v>3153</v>
      </c>
      <c r="J176" s="54" t="s">
        <v>2013</v>
      </c>
      <c r="K176" s="54" t="s">
        <v>2013</v>
      </c>
      <c r="L176" s="54" t="s">
        <v>39</v>
      </c>
      <c r="M176" s="123" t="s">
        <v>632</v>
      </c>
      <c r="N176" s="54" t="s">
        <v>205</v>
      </c>
      <c r="O176" s="54" t="s">
        <v>2782</v>
      </c>
      <c r="P176" s="54" t="s">
        <v>2782</v>
      </c>
      <c r="Q176" s="54" t="s">
        <v>129</v>
      </c>
      <c r="R176" s="54" t="s">
        <v>129</v>
      </c>
      <c r="S176" s="54" t="s">
        <v>129</v>
      </c>
      <c r="T176" s="54" t="s">
        <v>2832</v>
      </c>
      <c r="U176" s="54" t="s">
        <v>3811</v>
      </c>
      <c r="V176" s="54" t="s">
        <v>129</v>
      </c>
      <c r="W176" s="54" t="s">
        <v>39</v>
      </c>
      <c r="X176" s="54" t="s">
        <v>129</v>
      </c>
      <c r="Y176" s="54" t="s">
        <v>1877</v>
      </c>
      <c r="Z176" s="123" t="s">
        <v>129</v>
      </c>
      <c r="AA176" s="123" t="s">
        <v>130</v>
      </c>
      <c r="AB176" s="123" t="s">
        <v>130</v>
      </c>
      <c r="AC176" s="54" t="s">
        <v>129</v>
      </c>
      <c r="AD176" s="54" t="s">
        <v>3972</v>
      </c>
      <c r="AE176" s="54" t="s">
        <v>3972</v>
      </c>
      <c r="AF176" s="54" t="s">
        <v>3972</v>
      </c>
      <c r="AG176" s="54" t="s">
        <v>4237</v>
      </c>
      <c r="AH176" s="54" t="s">
        <v>3657</v>
      </c>
      <c r="AI176" s="54" t="s">
        <v>129</v>
      </c>
      <c r="AJ176" s="54" t="s">
        <v>129</v>
      </c>
      <c r="AK176" s="54" t="s">
        <v>130</v>
      </c>
      <c r="AL176" s="54" t="s">
        <v>205</v>
      </c>
      <c r="AM176" s="54" t="s">
        <v>39</v>
      </c>
      <c r="AN176" s="54" t="s">
        <v>129</v>
      </c>
      <c r="AO176" s="54" t="s">
        <v>1877</v>
      </c>
      <c r="AP176" s="54" t="s">
        <v>1877</v>
      </c>
      <c r="AQ176" s="54" t="s">
        <v>129</v>
      </c>
      <c r="AR176" s="54" t="s">
        <v>482</v>
      </c>
      <c r="AS176" s="54" t="s">
        <v>304</v>
      </c>
      <c r="AT176" s="54" t="s">
        <v>130</v>
      </c>
      <c r="AU176" s="54" t="s">
        <v>130</v>
      </c>
      <c r="AV176" s="54" t="s">
        <v>3435</v>
      </c>
      <c r="AW176" s="54" t="s">
        <v>3435</v>
      </c>
      <c r="AX176" s="54" t="s">
        <v>39</v>
      </c>
      <c r="AY176" s="54" t="s">
        <v>39</v>
      </c>
      <c r="AZ176" s="54" t="s">
        <v>39</v>
      </c>
      <c r="BA176" s="54" t="s">
        <v>129</v>
      </c>
      <c r="BB176" s="54" t="s">
        <v>129</v>
      </c>
      <c r="BC176" s="54" t="s">
        <v>380</v>
      </c>
      <c r="BD176" s="54" t="s">
        <v>129</v>
      </c>
      <c r="BE176" s="54" t="s">
        <v>1217</v>
      </c>
      <c r="BF176" s="54" t="s">
        <v>39</v>
      </c>
      <c r="BG176" s="54" t="s">
        <v>2782</v>
      </c>
      <c r="BH176" s="54" t="s">
        <v>415</v>
      </c>
      <c r="BI176" s="54" t="s">
        <v>415</v>
      </c>
      <c r="BJ176" s="54" t="s">
        <v>204</v>
      </c>
      <c r="BK176" s="54" t="s">
        <v>557</v>
      </c>
      <c r="BL176" s="54" t="s">
        <v>205</v>
      </c>
      <c r="BM176" s="54" t="s">
        <v>1877</v>
      </c>
      <c r="BN176" s="54" t="s">
        <v>1877</v>
      </c>
      <c r="BO176" s="54" t="s">
        <v>130</v>
      </c>
      <c r="BP176" s="54" t="s">
        <v>2113</v>
      </c>
      <c r="BQ176" s="54" t="s">
        <v>129</v>
      </c>
      <c r="BR176" s="54" t="s">
        <v>39</v>
      </c>
      <c r="BS176" s="54" t="s">
        <v>39</v>
      </c>
      <c r="BT176" s="54" t="s">
        <v>423</v>
      </c>
    </row>
    <row r="177" spans="1:72" s="2" customFormat="1" ht="9" customHeight="1">
      <c r="A177" s="95" t="s">
        <v>688</v>
      </c>
      <c r="B177" s="94" t="s">
        <v>5069</v>
      </c>
      <c r="C177" s="94" t="s">
        <v>5069</v>
      </c>
      <c r="D177" s="94" t="s">
        <v>4875</v>
      </c>
      <c r="E177" s="94"/>
      <c r="F177" s="95" t="s">
        <v>688</v>
      </c>
      <c r="G177" s="94"/>
      <c r="H177" s="94" t="s">
        <v>3150</v>
      </c>
      <c r="I177" s="94" t="s">
        <v>3151</v>
      </c>
      <c r="J177" s="94" t="s">
        <v>2012</v>
      </c>
      <c r="K177" s="94" t="s">
        <v>2012</v>
      </c>
      <c r="L177" s="94"/>
      <c r="M177" s="94" t="s">
        <v>2055</v>
      </c>
      <c r="N177" s="94" t="s">
        <v>1384</v>
      </c>
      <c r="O177" s="94" t="s">
        <v>2575</v>
      </c>
      <c r="P177" s="94" t="s">
        <v>2575</v>
      </c>
      <c r="Q177" s="94" t="s">
        <v>1384</v>
      </c>
      <c r="R177" s="94" t="s">
        <v>1384</v>
      </c>
      <c r="S177" s="94" t="s">
        <v>1383</v>
      </c>
      <c r="T177" s="94" t="s">
        <v>2831</v>
      </c>
      <c r="U177" s="94" t="s">
        <v>3810</v>
      </c>
      <c r="V177" s="94" t="s">
        <v>1385</v>
      </c>
      <c r="W177" s="94" t="s">
        <v>39</v>
      </c>
      <c r="X177" s="94" t="s">
        <v>1385</v>
      </c>
      <c r="Y177" s="94" t="s">
        <v>3743</v>
      </c>
      <c r="Z177" s="94" t="s">
        <v>4059</v>
      </c>
      <c r="AA177" s="94" t="s">
        <v>4058</v>
      </c>
      <c r="AB177" s="94" t="s">
        <v>4058</v>
      </c>
      <c r="AC177" s="94" t="s">
        <v>835</v>
      </c>
      <c r="AD177" s="94" t="s">
        <v>2914</v>
      </c>
      <c r="AE177" s="94" t="s">
        <v>2914</v>
      </c>
      <c r="AF177" s="94" t="s">
        <v>2914</v>
      </c>
      <c r="AG177" s="94" t="s">
        <v>4238</v>
      </c>
      <c r="AH177" s="94" t="s">
        <v>2749</v>
      </c>
      <c r="AI177" s="94" t="s">
        <v>1385</v>
      </c>
      <c r="AJ177" s="94" t="s">
        <v>1385</v>
      </c>
      <c r="AK177" s="94" t="s">
        <v>2323</v>
      </c>
      <c r="AL177" s="94" t="s">
        <v>2258</v>
      </c>
      <c r="AM177" s="94" t="s">
        <v>39</v>
      </c>
      <c r="AN177" s="94"/>
      <c r="AO177" s="94" t="s">
        <v>1275</v>
      </c>
      <c r="AP177" s="94" t="s">
        <v>1275</v>
      </c>
      <c r="AQ177" s="94" t="s">
        <v>1385</v>
      </c>
      <c r="AR177" s="94" t="s">
        <v>3327</v>
      </c>
      <c r="AS177" s="94" t="s">
        <v>3327</v>
      </c>
      <c r="AT177" s="94" t="s">
        <v>3503</v>
      </c>
      <c r="AU177" s="94" t="s">
        <v>3503</v>
      </c>
      <c r="AV177" s="94" t="s">
        <v>3503</v>
      </c>
      <c r="AW177" s="94" t="s">
        <v>3503</v>
      </c>
      <c r="AX177" s="94"/>
      <c r="AY177" s="94"/>
      <c r="AZ177" s="94"/>
      <c r="BA177" s="94" t="s">
        <v>1451</v>
      </c>
      <c r="BB177" s="94" t="s">
        <v>1451</v>
      </c>
      <c r="BC177" s="94"/>
      <c r="BD177" s="94" t="s">
        <v>2575</v>
      </c>
      <c r="BE177" s="94" t="s">
        <v>1215</v>
      </c>
      <c r="BF177" s="94" t="s">
        <v>39</v>
      </c>
      <c r="BG177" s="94" t="s">
        <v>1746</v>
      </c>
      <c r="BH177" s="94" t="s">
        <v>852</v>
      </c>
      <c r="BI177" s="94" t="s">
        <v>852</v>
      </c>
      <c r="BJ177" s="94" t="s">
        <v>1354</v>
      </c>
      <c r="BK177" s="94" t="s">
        <v>1272</v>
      </c>
      <c r="BL177" s="94" t="s">
        <v>2988</v>
      </c>
      <c r="BM177" s="94" t="s">
        <v>3230</v>
      </c>
      <c r="BN177" s="94" t="s">
        <v>3230</v>
      </c>
      <c r="BO177" s="94" t="s">
        <v>3403</v>
      </c>
      <c r="BP177" s="94" t="s">
        <v>2123</v>
      </c>
      <c r="BQ177" s="94" t="s">
        <v>2187</v>
      </c>
      <c r="BR177" s="94" t="s">
        <v>39</v>
      </c>
      <c r="BS177" s="94" t="s">
        <v>39</v>
      </c>
      <c r="BT177" s="94"/>
    </row>
    <row r="178" spans="1:72" s="14" customFormat="1" ht="18">
      <c r="A178" s="53" t="s">
        <v>6204</v>
      </c>
      <c r="B178" s="54" t="s">
        <v>5483</v>
      </c>
      <c r="C178" s="54" t="s">
        <v>5483</v>
      </c>
      <c r="D178" s="54" t="s">
        <v>5483</v>
      </c>
      <c r="E178" s="54"/>
      <c r="F178" s="53" t="s">
        <v>4783</v>
      </c>
      <c r="G178" s="54" t="s">
        <v>39</v>
      </c>
      <c r="H178" s="54" t="s">
        <v>534</v>
      </c>
      <c r="I178" s="54" t="s">
        <v>534</v>
      </c>
      <c r="J178" s="54" t="s">
        <v>39</v>
      </c>
      <c r="K178" s="54" t="s">
        <v>39</v>
      </c>
      <c r="L178" s="54" t="s">
        <v>39</v>
      </c>
      <c r="M178" s="123" t="s">
        <v>41</v>
      </c>
      <c r="N178" s="54" t="s">
        <v>39</v>
      </c>
      <c r="O178" s="54" t="s">
        <v>534</v>
      </c>
      <c r="P178" s="54" t="s">
        <v>534</v>
      </c>
      <c r="Q178" s="54" t="s">
        <v>39</v>
      </c>
      <c r="R178" s="54" t="s">
        <v>39</v>
      </c>
      <c r="S178" s="54" t="s">
        <v>39</v>
      </c>
      <c r="T178" s="54" t="s">
        <v>39</v>
      </c>
      <c r="U178" s="54" t="s">
        <v>534</v>
      </c>
      <c r="V178" s="54" t="s">
        <v>39</v>
      </c>
      <c r="W178" s="54" t="s">
        <v>39</v>
      </c>
      <c r="X178" s="54" t="s">
        <v>39</v>
      </c>
      <c r="Y178" s="54" t="s">
        <v>534</v>
      </c>
      <c r="Z178" s="123" t="s">
        <v>534</v>
      </c>
      <c r="AA178" s="123" t="s">
        <v>534</v>
      </c>
      <c r="AB178" s="123" t="s">
        <v>534</v>
      </c>
      <c r="AC178" s="54" t="s">
        <v>534</v>
      </c>
      <c r="AD178" s="54" t="s">
        <v>39</v>
      </c>
      <c r="AE178" s="54" t="s">
        <v>41</v>
      </c>
      <c r="AF178" s="54" t="s">
        <v>41</v>
      </c>
      <c r="AG178" s="54" t="s">
        <v>384</v>
      </c>
      <c r="AH178" s="54" t="s">
        <v>534</v>
      </c>
      <c r="AI178" s="54" t="s">
        <v>2252</v>
      </c>
      <c r="AJ178" s="54" t="s">
        <v>2252</v>
      </c>
      <c r="AK178" s="54" t="s">
        <v>2252</v>
      </c>
      <c r="AL178" s="54" t="s">
        <v>2252</v>
      </c>
      <c r="AM178" s="54" t="s">
        <v>39</v>
      </c>
      <c r="AN178" s="54" t="s">
        <v>41</v>
      </c>
      <c r="AO178" s="54" t="s">
        <v>534</v>
      </c>
      <c r="AP178" s="54" t="s">
        <v>534</v>
      </c>
      <c r="AQ178" s="54" t="s">
        <v>534</v>
      </c>
      <c r="AR178" s="54" t="s">
        <v>41</v>
      </c>
      <c r="AS178" s="54" t="s">
        <v>41</v>
      </c>
      <c r="AT178" s="54" t="s">
        <v>39</v>
      </c>
      <c r="AU178" s="54" t="s">
        <v>39</v>
      </c>
      <c r="AV178" s="54" t="s">
        <v>41</v>
      </c>
      <c r="AW178" s="54" t="s">
        <v>41</v>
      </c>
      <c r="AX178" s="54" t="s">
        <v>39</v>
      </c>
      <c r="AY178" s="54" t="s">
        <v>39</v>
      </c>
      <c r="AZ178" s="54" t="s">
        <v>39</v>
      </c>
      <c r="BA178" s="54" t="s">
        <v>534</v>
      </c>
      <c r="BB178" s="54" t="s">
        <v>534</v>
      </c>
      <c r="BC178" s="54" t="s">
        <v>39</v>
      </c>
      <c r="BD178" s="54" t="s">
        <v>39</v>
      </c>
      <c r="BE178" s="54" t="s">
        <v>41</v>
      </c>
      <c r="BF178" s="54" t="s">
        <v>39</v>
      </c>
      <c r="BG178" s="54" t="s">
        <v>534</v>
      </c>
      <c r="BH178" s="54" t="s">
        <v>41</v>
      </c>
      <c r="BI178" s="54" t="s">
        <v>41</v>
      </c>
      <c r="BJ178" s="54" t="s">
        <v>41</v>
      </c>
      <c r="BK178" s="54" t="s">
        <v>41</v>
      </c>
      <c r="BL178" s="54" t="s">
        <v>41</v>
      </c>
      <c r="BM178" s="54" t="s">
        <v>3227</v>
      </c>
      <c r="BN178" s="54" t="s">
        <v>3227</v>
      </c>
      <c r="BO178" s="54" t="s">
        <v>41</v>
      </c>
      <c r="BP178" s="54" t="s">
        <v>41</v>
      </c>
      <c r="BQ178" s="54" t="s">
        <v>2185</v>
      </c>
      <c r="BR178" s="73" t="s">
        <v>39</v>
      </c>
      <c r="BS178" s="73" t="s">
        <v>39</v>
      </c>
      <c r="BT178" s="54" t="s">
        <v>425</v>
      </c>
    </row>
    <row r="179" spans="1:72" s="2" customFormat="1" ht="9" customHeight="1">
      <c r="A179" s="95" t="s">
        <v>688</v>
      </c>
      <c r="B179" s="94" t="s">
        <v>4985</v>
      </c>
      <c r="C179" s="94" t="s">
        <v>4985</v>
      </c>
      <c r="D179" s="94" t="s">
        <v>4873</v>
      </c>
      <c r="E179" s="94"/>
      <c r="F179" s="95" t="s">
        <v>688</v>
      </c>
      <c r="G179" s="94"/>
      <c r="H179" s="94" t="s">
        <v>3155</v>
      </c>
      <c r="I179" s="94" t="s">
        <v>3154</v>
      </c>
      <c r="J179" s="94" t="s">
        <v>2019</v>
      </c>
      <c r="K179" s="94" t="s">
        <v>2019</v>
      </c>
      <c r="L179" s="94"/>
      <c r="M179" s="94" t="s">
        <v>2054</v>
      </c>
      <c r="N179" s="94" t="s">
        <v>2734</v>
      </c>
      <c r="O179" s="94" t="s">
        <v>1219</v>
      </c>
      <c r="P179" s="94" t="s">
        <v>1224</v>
      </c>
      <c r="Q179" s="94" t="s">
        <v>1405</v>
      </c>
      <c r="R179" s="94" t="s">
        <v>1405</v>
      </c>
      <c r="S179" s="94" t="s">
        <v>1405</v>
      </c>
      <c r="T179" s="94" t="s">
        <v>2834</v>
      </c>
      <c r="U179" s="94" t="s">
        <v>1295</v>
      </c>
      <c r="V179" s="94" t="s">
        <v>1383</v>
      </c>
      <c r="W179" s="94" t="s">
        <v>39</v>
      </c>
      <c r="X179" s="94" t="s">
        <v>1383</v>
      </c>
      <c r="Y179" s="94" t="s">
        <v>3705</v>
      </c>
      <c r="Z179" s="94" t="s">
        <v>4055</v>
      </c>
      <c r="AA179" s="94" t="s">
        <v>4055</v>
      </c>
      <c r="AB179" s="94" t="s">
        <v>4055</v>
      </c>
      <c r="AC179" s="94" t="s">
        <v>2946</v>
      </c>
      <c r="AD179" s="94" t="s">
        <v>3968</v>
      </c>
      <c r="AE179" s="94" t="s">
        <v>3969</v>
      </c>
      <c r="AF179" s="94" t="s">
        <v>3970</v>
      </c>
      <c r="AG179" s="94" t="s">
        <v>4235</v>
      </c>
      <c r="AH179" s="94" t="s">
        <v>1228</v>
      </c>
      <c r="AI179" s="94" t="s">
        <v>2412</v>
      </c>
      <c r="AJ179" s="94" t="s">
        <v>2372</v>
      </c>
      <c r="AK179" s="94" t="s">
        <v>2314</v>
      </c>
      <c r="AL179" s="94" t="s">
        <v>2251</v>
      </c>
      <c r="AM179" s="94" t="s">
        <v>1140</v>
      </c>
      <c r="AN179" s="94"/>
      <c r="AO179" s="94" t="s">
        <v>2465</v>
      </c>
      <c r="AP179" s="94" t="s">
        <v>2465</v>
      </c>
      <c r="AQ179" s="94" t="s">
        <v>2574</v>
      </c>
      <c r="AR179" s="94" t="s">
        <v>3329</v>
      </c>
      <c r="AS179" s="94" t="s">
        <v>3329</v>
      </c>
      <c r="AT179" s="94" t="s">
        <v>3562</v>
      </c>
      <c r="AU179" s="94" t="s">
        <v>3562</v>
      </c>
      <c r="AV179" s="94" t="s">
        <v>3500</v>
      </c>
      <c r="AW179" s="94" t="s">
        <v>3500</v>
      </c>
      <c r="AX179" s="94"/>
      <c r="AY179" s="94"/>
      <c r="AZ179" s="94"/>
      <c r="BA179" s="94" t="s">
        <v>1448</v>
      </c>
      <c r="BB179" s="94" t="s">
        <v>1450</v>
      </c>
      <c r="BC179" s="94"/>
      <c r="BD179" s="94" t="s">
        <v>2603</v>
      </c>
      <c r="BE179" s="94" t="s">
        <v>1228</v>
      </c>
      <c r="BF179" s="94" t="s">
        <v>2603</v>
      </c>
      <c r="BG179" s="94" t="s">
        <v>2859</v>
      </c>
      <c r="BH179" s="94" t="s">
        <v>849</v>
      </c>
      <c r="BI179" s="94" t="s">
        <v>849</v>
      </c>
      <c r="BJ179" s="94" t="s">
        <v>1330</v>
      </c>
      <c r="BK179" s="94" t="s">
        <v>1330</v>
      </c>
      <c r="BL179" s="94" t="s">
        <v>2986</v>
      </c>
      <c r="BM179" s="94" t="s">
        <v>3228</v>
      </c>
      <c r="BN179" s="94" t="s">
        <v>3228</v>
      </c>
      <c r="BO179" s="94" t="s">
        <v>2155</v>
      </c>
      <c r="BP179" s="94" t="s">
        <v>2155</v>
      </c>
      <c r="BQ179" s="94" t="s">
        <v>2184</v>
      </c>
      <c r="BR179" s="94" t="s">
        <v>1645</v>
      </c>
      <c r="BS179" s="94" t="s">
        <v>1645</v>
      </c>
      <c r="BT179" s="94"/>
    </row>
    <row r="180" spans="1:72" s="14" customFormat="1" ht="27">
      <c r="A180" s="58" t="s">
        <v>2836</v>
      </c>
      <c r="B180" s="54" t="s">
        <v>5067</v>
      </c>
      <c r="C180" s="54" t="s">
        <v>5067</v>
      </c>
      <c r="D180" s="54" t="s">
        <v>4877</v>
      </c>
      <c r="E180" s="54"/>
      <c r="F180" s="58" t="s">
        <v>2836</v>
      </c>
      <c r="G180" s="54" t="s">
        <v>118</v>
      </c>
      <c r="H180" s="54" t="s">
        <v>2572</v>
      </c>
      <c r="I180" s="54" t="s">
        <v>2572</v>
      </c>
      <c r="J180" s="54" t="s">
        <v>1914</v>
      </c>
      <c r="K180" s="54" t="s">
        <v>1914</v>
      </c>
      <c r="L180" s="54" t="s">
        <v>654</v>
      </c>
      <c r="M180" s="123" t="s">
        <v>750</v>
      </c>
      <c r="N180" s="54" t="s">
        <v>2686</v>
      </c>
      <c r="O180" s="54" t="s">
        <v>396</v>
      </c>
      <c r="P180" s="54" t="s">
        <v>396</v>
      </c>
      <c r="Q180" s="54" t="s">
        <v>39</v>
      </c>
      <c r="R180" s="54" t="s">
        <v>750</v>
      </c>
      <c r="S180" s="54" t="s">
        <v>39</v>
      </c>
      <c r="T180" s="54" t="s">
        <v>396</v>
      </c>
      <c r="U180" s="54" t="s">
        <v>750</v>
      </c>
      <c r="V180" s="54" t="s">
        <v>39</v>
      </c>
      <c r="W180" s="54" t="s">
        <v>396</v>
      </c>
      <c r="X180" s="54" t="s">
        <v>2837</v>
      </c>
      <c r="Y180" s="54" t="s">
        <v>750</v>
      </c>
      <c r="Z180" s="123" t="s">
        <v>750</v>
      </c>
      <c r="AA180" s="123" t="s">
        <v>750</v>
      </c>
      <c r="AB180" s="123" t="s">
        <v>750</v>
      </c>
      <c r="AC180" s="54" t="s">
        <v>750</v>
      </c>
      <c r="AD180" s="54" t="s">
        <v>3971</v>
      </c>
      <c r="AE180" s="54" t="s">
        <v>3971</v>
      </c>
      <c r="AF180" s="54" t="s">
        <v>3971</v>
      </c>
      <c r="AG180" s="54" t="s">
        <v>750</v>
      </c>
      <c r="AH180" s="54" t="s">
        <v>3655</v>
      </c>
      <c r="AI180" s="54" t="s">
        <v>750</v>
      </c>
      <c r="AJ180" s="54" t="s">
        <v>750</v>
      </c>
      <c r="AK180" s="54" t="s">
        <v>750</v>
      </c>
      <c r="AL180" s="54" t="s">
        <v>750</v>
      </c>
      <c r="AM180" s="54" t="s">
        <v>39</v>
      </c>
      <c r="AN180" s="54" t="s">
        <v>91</v>
      </c>
      <c r="AO180" s="54" t="s">
        <v>750</v>
      </c>
      <c r="AP180" s="54" t="s">
        <v>750</v>
      </c>
      <c r="AQ180" s="54" t="s">
        <v>2572</v>
      </c>
      <c r="AR180" s="54" t="s">
        <v>750</v>
      </c>
      <c r="AS180" s="54" t="s">
        <v>750</v>
      </c>
      <c r="AT180" s="54" t="s">
        <v>750</v>
      </c>
      <c r="AU180" s="54" t="s">
        <v>396</v>
      </c>
      <c r="AV180" s="54" t="s">
        <v>750</v>
      </c>
      <c r="AW180" s="54" t="s">
        <v>396</v>
      </c>
      <c r="AX180" s="54" t="s">
        <v>39</v>
      </c>
      <c r="AY180" s="54" t="s">
        <v>244</v>
      </c>
      <c r="AZ180" s="54" t="s">
        <v>244</v>
      </c>
      <c r="BA180" s="54" t="s">
        <v>194</v>
      </c>
      <c r="BB180" s="54" t="s">
        <v>194</v>
      </c>
      <c r="BC180" s="54" t="s">
        <v>367</v>
      </c>
      <c r="BD180" s="54" t="s">
        <v>2686</v>
      </c>
      <c r="BE180" s="54" t="s">
        <v>39</v>
      </c>
      <c r="BF180" s="116" t="s">
        <v>2604</v>
      </c>
      <c r="BG180" s="54" t="s">
        <v>396</v>
      </c>
      <c r="BH180" s="54" t="s">
        <v>396</v>
      </c>
      <c r="BI180" s="54" t="s">
        <v>396</v>
      </c>
      <c r="BJ180" s="54" t="s">
        <v>226</v>
      </c>
      <c r="BK180" s="54" t="s">
        <v>226</v>
      </c>
      <c r="BL180" s="54" t="s">
        <v>2686</v>
      </c>
      <c r="BM180" s="54" t="s">
        <v>39</v>
      </c>
      <c r="BN180" s="54" t="s">
        <v>39</v>
      </c>
      <c r="BO180" s="54" t="s">
        <v>750</v>
      </c>
      <c r="BP180" s="54" t="s">
        <v>750</v>
      </c>
      <c r="BQ180" s="54" t="s">
        <v>750</v>
      </c>
      <c r="BR180" s="54" t="s">
        <v>750</v>
      </c>
      <c r="BS180" s="54" t="s">
        <v>750</v>
      </c>
      <c r="BT180" s="54" t="s">
        <v>2838</v>
      </c>
    </row>
    <row r="181" spans="1:72" s="2" customFormat="1" ht="9" customHeight="1">
      <c r="A181" s="95"/>
      <c r="B181" s="94" t="s">
        <v>5066</v>
      </c>
      <c r="C181" s="94" t="s">
        <v>5066</v>
      </c>
      <c r="D181" s="94" t="s">
        <v>4878</v>
      </c>
      <c r="E181" s="94"/>
      <c r="F181" s="95"/>
      <c r="G181" s="94"/>
      <c r="H181" s="94" t="s">
        <v>3156</v>
      </c>
      <c r="I181" s="94" t="s">
        <v>3143</v>
      </c>
      <c r="J181" s="94" t="s">
        <v>2014</v>
      </c>
      <c r="K181" s="94" t="s">
        <v>2014</v>
      </c>
      <c r="L181" s="94"/>
      <c r="M181" s="94" t="s">
        <v>2056</v>
      </c>
      <c r="N181" s="94" t="s">
        <v>2696</v>
      </c>
      <c r="O181" s="94" t="s">
        <v>2745</v>
      </c>
      <c r="P181" s="94" t="s">
        <v>1223</v>
      </c>
      <c r="Q181" s="94" t="s">
        <v>39</v>
      </c>
      <c r="R181" s="94" t="s">
        <v>1218</v>
      </c>
      <c r="S181" s="94" t="s">
        <v>39</v>
      </c>
      <c r="T181" s="94" t="s">
        <v>2835</v>
      </c>
      <c r="U181" s="94" t="s">
        <v>1295</v>
      </c>
      <c r="V181" s="94" t="s">
        <v>39</v>
      </c>
      <c r="W181" s="94" t="s">
        <v>1665</v>
      </c>
      <c r="X181" s="94" t="s">
        <v>1384</v>
      </c>
      <c r="Y181" s="94" t="s">
        <v>3742</v>
      </c>
      <c r="Z181" s="94" t="s">
        <v>4057</v>
      </c>
      <c r="AA181" s="94" t="s">
        <v>4057</v>
      </c>
      <c r="AB181" s="94" t="s">
        <v>4057</v>
      </c>
      <c r="AC181" s="94" t="s">
        <v>834</v>
      </c>
      <c r="AD181" s="94" t="s">
        <v>2605</v>
      </c>
      <c r="AE181" s="94" t="s">
        <v>2605</v>
      </c>
      <c r="AF181" s="94" t="s">
        <v>2605</v>
      </c>
      <c r="AG181" s="94" t="s">
        <v>4236</v>
      </c>
      <c r="AH181" s="94" t="s">
        <v>1223</v>
      </c>
      <c r="AI181" s="94" t="s">
        <v>2413</v>
      </c>
      <c r="AJ181" s="94" t="s">
        <v>2373</v>
      </c>
      <c r="AK181" s="94" t="s">
        <v>2315</v>
      </c>
      <c r="AL181" s="94" t="s">
        <v>2253</v>
      </c>
      <c r="AM181" s="94" t="s">
        <v>39</v>
      </c>
      <c r="AN181" s="94"/>
      <c r="AO181" s="94" t="s">
        <v>1275</v>
      </c>
      <c r="AP181" s="94" t="s">
        <v>2466</v>
      </c>
      <c r="AQ181" s="94" t="s">
        <v>2573</v>
      </c>
      <c r="AR181" s="94" t="s">
        <v>3328</v>
      </c>
      <c r="AS181" s="94" t="s">
        <v>3328</v>
      </c>
      <c r="AT181" s="94" t="s">
        <v>3500</v>
      </c>
      <c r="AU181" s="94" t="s">
        <v>3592</v>
      </c>
      <c r="AV181" s="94" t="s">
        <v>3499</v>
      </c>
      <c r="AW181" s="94" t="s">
        <v>3543</v>
      </c>
      <c r="AX181" s="94"/>
      <c r="AY181" s="94"/>
      <c r="AZ181" s="94"/>
      <c r="BA181" s="94" t="s">
        <v>1448</v>
      </c>
      <c r="BB181" s="94" t="s">
        <v>1448</v>
      </c>
      <c r="BC181" s="94"/>
      <c r="BD181" s="94" t="s">
        <v>2883</v>
      </c>
      <c r="BE181" s="94" t="s">
        <v>39</v>
      </c>
      <c r="BF181" s="94" t="s">
        <v>1896</v>
      </c>
      <c r="BG181" s="94" t="s">
        <v>1723</v>
      </c>
      <c r="BH181" s="94" t="s">
        <v>848</v>
      </c>
      <c r="BI181" s="94" t="s">
        <v>848</v>
      </c>
      <c r="BJ181" s="94" t="s">
        <v>1275</v>
      </c>
      <c r="BK181" s="94" t="s">
        <v>1275</v>
      </c>
      <c r="BL181" s="94" t="s">
        <v>2987</v>
      </c>
      <c r="BM181" s="94" t="s">
        <v>39</v>
      </c>
      <c r="BN181" s="94" t="s">
        <v>39</v>
      </c>
      <c r="BO181" s="94" t="s">
        <v>1384</v>
      </c>
      <c r="BP181" s="94" t="s">
        <v>1384</v>
      </c>
      <c r="BQ181" s="94" t="s">
        <v>1405</v>
      </c>
      <c r="BR181" s="94" t="s">
        <v>1611</v>
      </c>
      <c r="BS181" s="94" t="s">
        <v>1611</v>
      </c>
      <c r="BT181" s="94"/>
    </row>
    <row r="182" spans="1:72" s="14" customFormat="1" ht="18">
      <c r="A182" s="53" t="s">
        <v>63</v>
      </c>
      <c r="B182" s="54" t="s">
        <v>5084</v>
      </c>
      <c r="C182" s="54" t="s">
        <v>5084</v>
      </c>
      <c r="D182" s="54" t="s">
        <v>39</v>
      </c>
      <c r="E182" s="54"/>
      <c r="F182" s="53" t="s">
        <v>63</v>
      </c>
      <c r="G182" s="54" t="s">
        <v>265</v>
      </c>
      <c r="H182" s="54" t="s">
        <v>39</v>
      </c>
      <c r="I182" s="54" t="s">
        <v>39</v>
      </c>
      <c r="J182" s="54" t="s">
        <v>41</v>
      </c>
      <c r="K182" s="54" t="s">
        <v>41</v>
      </c>
      <c r="L182" s="54" t="s">
        <v>39</v>
      </c>
      <c r="M182" s="123" t="s">
        <v>2058</v>
      </c>
      <c r="N182" s="54" t="s">
        <v>39</v>
      </c>
      <c r="O182" s="54" t="s">
        <v>39</v>
      </c>
      <c r="P182" s="54" t="s">
        <v>39</v>
      </c>
      <c r="Q182" s="54" t="s">
        <v>39</v>
      </c>
      <c r="R182" s="54" t="s">
        <v>39</v>
      </c>
      <c r="S182" s="54" t="s">
        <v>39</v>
      </c>
      <c r="T182" s="54" t="s">
        <v>39</v>
      </c>
      <c r="U182" s="54" t="s">
        <v>39</v>
      </c>
      <c r="V182" s="54" t="s">
        <v>39</v>
      </c>
      <c r="W182" s="54" t="s">
        <v>39</v>
      </c>
      <c r="X182" s="54" t="s">
        <v>39</v>
      </c>
      <c r="Y182" s="54" t="s">
        <v>39</v>
      </c>
      <c r="Z182" s="123" t="s">
        <v>39</v>
      </c>
      <c r="AA182" s="123" t="s">
        <v>39</v>
      </c>
      <c r="AB182" s="123" t="s">
        <v>39</v>
      </c>
      <c r="AC182" s="54" t="s">
        <v>39</v>
      </c>
      <c r="AD182" s="54" t="s">
        <v>39</v>
      </c>
      <c r="AE182" s="54" t="s">
        <v>39</v>
      </c>
      <c r="AF182" s="54" t="s">
        <v>39</v>
      </c>
      <c r="AG182" s="54" t="s">
        <v>4209</v>
      </c>
      <c r="AH182" s="54" t="s">
        <v>39</v>
      </c>
      <c r="AI182" s="54" t="s">
        <v>39</v>
      </c>
      <c r="AJ182" s="54" t="s">
        <v>39</v>
      </c>
      <c r="AK182" s="54" t="s">
        <v>2257</v>
      </c>
      <c r="AL182" s="54" t="s">
        <v>2257</v>
      </c>
      <c r="AM182" s="54" t="s">
        <v>39</v>
      </c>
      <c r="AN182" s="54" t="s">
        <v>39</v>
      </c>
      <c r="AO182" s="54" t="s">
        <v>39</v>
      </c>
      <c r="AP182" s="54" t="s">
        <v>39</v>
      </c>
      <c r="AQ182" s="54" t="s">
        <v>39</v>
      </c>
      <c r="AR182" s="54" t="s">
        <v>39</v>
      </c>
      <c r="AS182" s="54" t="s">
        <v>39</v>
      </c>
      <c r="AT182" s="54" t="s">
        <v>39</v>
      </c>
      <c r="AU182" s="54" t="s">
        <v>39</v>
      </c>
      <c r="AV182" s="54" t="s">
        <v>39</v>
      </c>
      <c r="AW182" s="54" t="s">
        <v>39</v>
      </c>
      <c r="AX182" s="54" t="s">
        <v>39</v>
      </c>
      <c r="AY182" s="54" t="s">
        <v>39</v>
      </c>
      <c r="AZ182" s="54" t="s">
        <v>39</v>
      </c>
      <c r="BA182" s="54" t="s">
        <v>39</v>
      </c>
      <c r="BB182" s="54" t="s">
        <v>39</v>
      </c>
      <c r="BC182" s="54" t="s">
        <v>373</v>
      </c>
      <c r="BD182" s="54" t="s">
        <v>39</v>
      </c>
      <c r="BE182" s="54" t="s">
        <v>39</v>
      </c>
      <c r="BF182" s="54" t="s">
        <v>39</v>
      </c>
      <c r="BG182" s="54" t="s">
        <v>39</v>
      </c>
      <c r="BH182" s="54" t="s">
        <v>39</v>
      </c>
      <c r="BI182" s="54" t="s">
        <v>39</v>
      </c>
      <c r="BJ182" s="54" t="s">
        <v>39</v>
      </c>
      <c r="BK182" s="54" t="s">
        <v>39</v>
      </c>
      <c r="BL182" s="76" t="s">
        <v>39</v>
      </c>
      <c r="BM182" s="54" t="s">
        <v>39</v>
      </c>
      <c r="BN182" s="54" t="s">
        <v>39</v>
      </c>
      <c r="BO182" s="54" t="s">
        <v>39</v>
      </c>
      <c r="BP182" s="54" t="s">
        <v>39</v>
      </c>
      <c r="BQ182" s="54" t="s">
        <v>39</v>
      </c>
      <c r="BR182" s="54" t="s">
        <v>39</v>
      </c>
      <c r="BS182" s="54" t="s">
        <v>39</v>
      </c>
      <c r="BT182" s="54" t="s">
        <v>427</v>
      </c>
    </row>
    <row r="183" spans="1:72" s="2" customFormat="1" ht="9" customHeight="1">
      <c r="A183" s="95" t="s">
        <v>688</v>
      </c>
      <c r="B183" s="94" t="s">
        <v>5085</v>
      </c>
      <c r="C183" s="94" t="s">
        <v>5085</v>
      </c>
      <c r="D183" s="94" t="s">
        <v>39</v>
      </c>
      <c r="E183" s="94"/>
      <c r="F183" s="95" t="s">
        <v>688</v>
      </c>
      <c r="G183" s="94"/>
      <c r="H183" s="94" t="s">
        <v>39</v>
      </c>
      <c r="I183" s="94" t="s">
        <v>39</v>
      </c>
      <c r="J183" s="94" t="s">
        <v>1947</v>
      </c>
      <c r="K183" s="94" t="s">
        <v>1973</v>
      </c>
      <c r="L183" s="94"/>
      <c r="M183" s="94" t="s">
        <v>2057</v>
      </c>
      <c r="N183" s="94" t="s">
        <v>39</v>
      </c>
      <c r="O183" s="94" t="s">
        <v>39</v>
      </c>
      <c r="P183" s="94" t="s">
        <v>39</v>
      </c>
      <c r="Q183" s="94" t="s">
        <v>39</v>
      </c>
      <c r="R183" s="94" t="s">
        <v>39</v>
      </c>
      <c r="S183" s="94" t="s">
        <v>1411</v>
      </c>
      <c r="T183" s="94" t="s">
        <v>39</v>
      </c>
      <c r="U183" s="94" t="s">
        <v>39</v>
      </c>
      <c r="V183" s="94" t="s">
        <v>39</v>
      </c>
      <c r="W183" s="94" t="s">
        <v>39</v>
      </c>
      <c r="X183" s="94" t="s">
        <v>39</v>
      </c>
      <c r="Y183" s="94" t="s">
        <v>39</v>
      </c>
      <c r="Z183" s="94" t="s">
        <v>39</v>
      </c>
      <c r="AA183" s="94" t="s">
        <v>39</v>
      </c>
      <c r="AB183" s="94" t="s">
        <v>39</v>
      </c>
      <c r="AC183" s="94" t="s">
        <v>39</v>
      </c>
      <c r="AD183" s="94" t="s">
        <v>39</v>
      </c>
      <c r="AE183" s="94" t="s">
        <v>39</v>
      </c>
      <c r="AF183" s="94" t="s">
        <v>39</v>
      </c>
      <c r="AG183" s="94"/>
      <c r="AH183" s="94" t="s">
        <v>39</v>
      </c>
      <c r="AI183" s="94" t="s">
        <v>39</v>
      </c>
      <c r="AJ183" s="94" t="s">
        <v>39</v>
      </c>
      <c r="AK183" s="94" t="s">
        <v>2319</v>
      </c>
      <c r="AL183" s="94" t="s">
        <v>2318</v>
      </c>
      <c r="AM183" s="94" t="s">
        <v>39</v>
      </c>
      <c r="AN183" s="94"/>
      <c r="AO183" s="94" t="s">
        <v>39</v>
      </c>
      <c r="AP183" s="94" t="s">
        <v>39</v>
      </c>
      <c r="AQ183" s="94" t="s">
        <v>1411</v>
      </c>
      <c r="AR183" s="94" t="s">
        <v>39</v>
      </c>
      <c r="AS183" s="94" t="s">
        <v>39</v>
      </c>
      <c r="AT183" s="94" t="s">
        <v>39</v>
      </c>
      <c r="AU183" s="94" t="s">
        <v>39</v>
      </c>
      <c r="AV183" s="94" t="s">
        <v>39</v>
      </c>
      <c r="AW183" s="94" t="s">
        <v>39</v>
      </c>
      <c r="AX183" s="94"/>
      <c r="AY183" s="94"/>
      <c r="AZ183" s="94"/>
      <c r="BA183" s="94" t="s">
        <v>39</v>
      </c>
      <c r="BB183" s="94" t="s">
        <v>39</v>
      </c>
      <c r="BC183" s="94"/>
      <c r="BD183" s="94" t="s">
        <v>39</v>
      </c>
      <c r="BE183" s="94" t="s">
        <v>39</v>
      </c>
      <c r="BF183" s="94" t="s">
        <v>39</v>
      </c>
      <c r="BG183" s="94" t="s">
        <v>39</v>
      </c>
      <c r="BH183" s="94" t="s">
        <v>39</v>
      </c>
      <c r="BI183" s="94" t="s">
        <v>39</v>
      </c>
      <c r="BJ183" s="94" t="s">
        <v>39</v>
      </c>
      <c r="BK183" s="94" t="s">
        <v>39</v>
      </c>
      <c r="BL183" s="94" t="s">
        <v>39</v>
      </c>
      <c r="BM183" s="94" t="s">
        <v>39</v>
      </c>
      <c r="BN183" s="94" t="s">
        <v>39</v>
      </c>
      <c r="BO183" s="94" t="s">
        <v>39</v>
      </c>
      <c r="BP183" s="94" t="s">
        <v>39</v>
      </c>
      <c r="BQ183" s="94" t="s">
        <v>39</v>
      </c>
      <c r="BR183" s="94" t="s">
        <v>1602</v>
      </c>
      <c r="BS183" s="94" t="s">
        <v>1602</v>
      </c>
      <c r="BT183" s="94"/>
    </row>
    <row r="184" spans="1:72" s="14" customFormat="1" ht="18">
      <c r="A184" s="53" t="s">
        <v>6205</v>
      </c>
      <c r="B184" s="54" t="s">
        <v>41</v>
      </c>
      <c r="C184" s="54" t="s">
        <v>41</v>
      </c>
      <c r="D184" s="54" t="s">
        <v>39</v>
      </c>
      <c r="E184" s="54"/>
      <c r="F184" s="53" t="s">
        <v>4828</v>
      </c>
      <c r="G184" s="54" t="s">
        <v>39</v>
      </c>
      <c r="H184" s="54" t="s">
        <v>533</v>
      </c>
      <c r="I184" s="54" t="s">
        <v>533</v>
      </c>
      <c r="J184" s="54" t="s">
        <v>81</v>
      </c>
      <c r="K184" s="54" t="s">
        <v>81</v>
      </c>
      <c r="L184" s="54" t="s">
        <v>41</v>
      </c>
      <c r="M184" s="123" t="s">
        <v>126</v>
      </c>
      <c r="N184" s="54" t="s">
        <v>41</v>
      </c>
      <c r="O184" s="54" t="s">
        <v>41</v>
      </c>
      <c r="P184" s="54" t="s">
        <v>41</v>
      </c>
      <c r="Q184" s="54" t="s">
        <v>39</v>
      </c>
      <c r="R184" s="54" t="s">
        <v>39</v>
      </c>
      <c r="S184" s="54" t="s">
        <v>39</v>
      </c>
      <c r="T184" s="54" t="s">
        <v>39</v>
      </c>
      <c r="U184" s="54" t="s">
        <v>1080</v>
      </c>
      <c r="V184" s="54" t="s">
        <v>39</v>
      </c>
      <c r="W184" s="54" t="s">
        <v>41</v>
      </c>
      <c r="X184" s="54" t="s">
        <v>39</v>
      </c>
      <c r="Y184" s="54" t="s">
        <v>39</v>
      </c>
      <c r="Z184" s="123" t="s">
        <v>39</v>
      </c>
      <c r="AA184" s="123" t="s">
        <v>81</v>
      </c>
      <c r="AB184" s="123" t="s">
        <v>81</v>
      </c>
      <c r="AC184" s="54" t="s">
        <v>2955</v>
      </c>
      <c r="AD184" s="54" t="s">
        <v>39</v>
      </c>
      <c r="AE184" s="54" t="s">
        <v>81</v>
      </c>
      <c r="AF184" s="54" t="s">
        <v>41</v>
      </c>
      <c r="AG184" s="54" t="s">
        <v>533</v>
      </c>
      <c r="AH184" s="54" t="s">
        <v>126</v>
      </c>
      <c r="AI184" s="54" t="s">
        <v>39</v>
      </c>
      <c r="AJ184" s="54" t="s">
        <v>41</v>
      </c>
      <c r="AK184" s="54" t="s">
        <v>41</v>
      </c>
      <c r="AL184" s="54" t="s">
        <v>41</v>
      </c>
      <c r="AM184" s="54" t="s">
        <v>39</v>
      </c>
      <c r="AN184" s="54" t="s">
        <v>39</v>
      </c>
      <c r="AO184" s="54" t="s">
        <v>81</v>
      </c>
      <c r="AP184" s="54" t="s">
        <v>41</v>
      </c>
      <c r="AQ184" s="73" t="s">
        <v>39</v>
      </c>
      <c r="AR184" s="54" t="s">
        <v>81</v>
      </c>
      <c r="AS184" s="54" t="s">
        <v>41</v>
      </c>
      <c r="AT184" s="54" t="s">
        <v>41</v>
      </c>
      <c r="AU184" s="54" t="s">
        <v>41</v>
      </c>
      <c r="AV184" s="54" t="s">
        <v>41</v>
      </c>
      <c r="AW184" s="54" t="s">
        <v>41</v>
      </c>
      <c r="AX184" s="54" t="s">
        <v>39</v>
      </c>
      <c r="AY184" s="54" t="s">
        <v>39</v>
      </c>
      <c r="AZ184" s="54" t="s">
        <v>39</v>
      </c>
      <c r="BA184" s="54" t="s">
        <v>533</v>
      </c>
      <c r="BB184" s="54" t="s">
        <v>533</v>
      </c>
      <c r="BC184" s="54" t="s">
        <v>39</v>
      </c>
      <c r="BD184" s="54" t="s">
        <v>81</v>
      </c>
      <c r="BE184" s="54" t="s">
        <v>39</v>
      </c>
      <c r="BF184" s="54" t="s">
        <v>90</v>
      </c>
      <c r="BG184" s="54" t="s">
        <v>41</v>
      </c>
      <c r="BH184" s="54" t="s">
        <v>41</v>
      </c>
      <c r="BI184" s="54" t="s">
        <v>41</v>
      </c>
      <c r="BJ184" s="54" t="s">
        <v>568</v>
      </c>
      <c r="BK184" s="54" t="s">
        <v>121</v>
      </c>
      <c r="BL184" s="54" t="s">
        <v>41</v>
      </c>
      <c r="BM184" s="54" t="s">
        <v>78</v>
      </c>
      <c r="BN184" s="54" t="s">
        <v>78</v>
      </c>
      <c r="BO184" s="54" t="s">
        <v>616</v>
      </c>
      <c r="BP184" s="54" t="s">
        <v>616</v>
      </c>
      <c r="BQ184" s="54" t="s">
        <v>78</v>
      </c>
      <c r="BR184" s="54" t="s">
        <v>1588</v>
      </c>
      <c r="BS184" s="54" t="s">
        <v>81</v>
      </c>
      <c r="BT184" s="54" t="s">
        <v>41</v>
      </c>
    </row>
    <row r="185" spans="1:72" s="2" customFormat="1" ht="9" customHeight="1">
      <c r="A185" s="95" t="s">
        <v>688</v>
      </c>
      <c r="B185" s="94" t="s">
        <v>4984</v>
      </c>
      <c r="C185" s="94" t="s">
        <v>4984</v>
      </c>
      <c r="D185" s="94" t="s">
        <v>39</v>
      </c>
      <c r="E185" s="94"/>
      <c r="F185" s="95" t="s">
        <v>688</v>
      </c>
      <c r="G185" s="94"/>
      <c r="H185" s="94" t="s">
        <v>3161</v>
      </c>
      <c r="I185" s="94" t="s">
        <v>3160</v>
      </c>
      <c r="J185" s="94" t="s">
        <v>2015</v>
      </c>
      <c r="K185" s="94" t="s">
        <v>2015</v>
      </c>
      <c r="L185" s="94"/>
      <c r="M185" s="94" t="s">
        <v>2053</v>
      </c>
      <c r="N185" s="94" t="s">
        <v>2699</v>
      </c>
      <c r="O185" s="94" t="s">
        <v>2781</v>
      </c>
      <c r="P185" s="94" t="s">
        <v>2781</v>
      </c>
      <c r="Q185" s="94" t="s">
        <v>39</v>
      </c>
      <c r="R185" s="94" t="s">
        <v>39</v>
      </c>
      <c r="S185" s="94" t="s">
        <v>39</v>
      </c>
      <c r="T185" s="94" t="s">
        <v>39</v>
      </c>
      <c r="U185" s="94" t="s">
        <v>1295</v>
      </c>
      <c r="V185" s="94" t="s">
        <v>39</v>
      </c>
      <c r="W185" s="94" t="s">
        <v>1664</v>
      </c>
      <c r="X185" s="94" t="s">
        <v>39</v>
      </c>
      <c r="Y185" s="94" t="s">
        <v>39</v>
      </c>
      <c r="Z185" s="94" t="s">
        <v>4057</v>
      </c>
      <c r="AA185" s="94" t="s">
        <v>4056</v>
      </c>
      <c r="AB185" s="94" t="s">
        <v>4056</v>
      </c>
      <c r="AC185" s="94" t="s">
        <v>2954</v>
      </c>
      <c r="AD185" s="94" t="s">
        <v>39</v>
      </c>
      <c r="AE185" s="94" t="s">
        <v>3969</v>
      </c>
      <c r="AF185" s="94" t="s">
        <v>3970</v>
      </c>
      <c r="AG185" s="94" t="s">
        <v>4232</v>
      </c>
      <c r="AH185" s="94" t="s">
        <v>1224</v>
      </c>
      <c r="AI185" s="94" t="s">
        <v>39</v>
      </c>
      <c r="AJ185" s="94" t="s">
        <v>2374</v>
      </c>
      <c r="AK185" s="94" t="s">
        <v>2317</v>
      </c>
      <c r="AL185" s="94" t="s">
        <v>2255</v>
      </c>
      <c r="AM185" s="94" t="s">
        <v>39</v>
      </c>
      <c r="AN185" s="94"/>
      <c r="AO185" s="94" t="s">
        <v>2464</v>
      </c>
      <c r="AP185" s="94" t="s">
        <v>2464</v>
      </c>
      <c r="AQ185" s="94" t="s">
        <v>39</v>
      </c>
      <c r="AR185" s="94" t="s">
        <v>3326</v>
      </c>
      <c r="AS185" s="94" t="s">
        <v>3326</v>
      </c>
      <c r="AT185" s="94" t="s">
        <v>3501</v>
      </c>
      <c r="AU185" s="94" t="s">
        <v>3501</v>
      </c>
      <c r="AV185" s="94" t="s">
        <v>3501</v>
      </c>
      <c r="AW185" s="94" t="s">
        <v>3501</v>
      </c>
      <c r="AX185" s="94"/>
      <c r="AY185" s="94"/>
      <c r="AZ185" s="94"/>
      <c r="BA185" s="94" t="s">
        <v>1449</v>
      </c>
      <c r="BB185" s="94" t="s">
        <v>1449</v>
      </c>
      <c r="BC185" s="94"/>
      <c r="BD185" s="94" t="s">
        <v>2781</v>
      </c>
      <c r="BE185" s="94" t="s">
        <v>39</v>
      </c>
      <c r="BF185" s="94" t="s">
        <v>1893</v>
      </c>
      <c r="BG185" s="94" t="s">
        <v>1743</v>
      </c>
      <c r="BH185" s="94" t="s">
        <v>850</v>
      </c>
      <c r="BI185" s="94" t="s">
        <v>850</v>
      </c>
      <c r="BJ185" s="94" t="s">
        <v>1273</v>
      </c>
      <c r="BK185" s="94" t="s">
        <v>1273</v>
      </c>
      <c r="BL185" s="94" t="s">
        <v>789</v>
      </c>
      <c r="BM185" s="94" t="s">
        <v>3229</v>
      </c>
      <c r="BN185" s="94" t="s">
        <v>3229</v>
      </c>
      <c r="BO185" s="94" t="s">
        <v>2132</v>
      </c>
      <c r="BP185" s="94" t="s">
        <v>2132</v>
      </c>
      <c r="BQ185" s="94" t="s">
        <v>2184</v>
      </c>
      <c r="BR185" s="94" t="s">
        <v>1587</v>
      </c>
      <c r="BS185" s="94" t="s">
        <v>1610</v>
      </c>
      <c r="BT185" s="94"/>
    </row>
    <row r="186" spans="1:72" s="14" customFormat="1" ht="18">
      <c r="A186" s="53" t="s">
        <v>131</v>
      </c>
      <c r="B186" s="54" t="s">
        <v>5005</v>
      </c>
      <c r="C186" s="54" t="s">
        <v>5005</v>
      </c>
      <c r="D186" s="54" t="s">
        <v>39</v>
      </c>
      <c r="E186" s="54"/>
      <c r="F186" s="53" t="s">
        <v>131</v>
      </c>
      <c r="G186" s="54" t="s">
        <v>39</v>
      </c>
      <c r="H186" s="54" t="s">
        <v>3144</v>
      </c>
      <c r="I186" s="54" t="s">
        <v>3144</v>
      </c>
      <c r="J186" s="54" t="s">
        <v>39</v>
      </c>
      <c r="K186" s="54" t="s">
        <v>39</v>
      </c>
      <c r="L186" s="54" t="s">
        <v>39</v>
      </c>
      <c r="M186" s="123" t="s">
        <v>2635</v>
      </c>
      <c r="N186" s="54" t="s">
        <v>2698</v>
      </c>
      <c r="O186" s="54" t="s">
        <v>39</v>
      </c>
      <c r="P186" s="54" t="s">
        <v>2755</v>
      </c>
      <c r="Q186" s="54" t="s">
        <v>39</v>
      </c>
      <c r="R186" s="54" t="s">
        <v>39</v>
      </c>
      <c r="S186" s="54" t="s">
        <v>39</v>
      </c>
      <c r="T186" s="54" t="s">
        <v>670</v>
      </c>
      <c r="U186" s="54" t="s">
        <v>3825</v>
      </c>
      <c r="V186" s="54" t="s">
        <v>39</v>
      </c>
      <c r="W186" s="54" t="s">
        <v>39</v>
      </c>
      <c r="X186" s="54" t="s">
        <v>39</v>
      </c>
      <c r="Y186" s="54" t="s">
        <v>39</v>
      </c>
      <c r="Z186" s="123" t="s">
        <v>39</v>
      </c>
      <c r="AA186" s="123" t="s">
        <v>4065</v>
      </c>
      <c r="AB186" s="123" t="s">
        <v>4065</v>
      </c>
      <c r="AC186" s="54" t="s">
        <v>814</v>
      </c>
      <c r="AD186" s="54" t="s">
        <v>39</v>
      </c>
      <c r="AE186" s="54" t="s">
        <v>3973</v>
      </c>
      <c r="AF186" s="54" t="s">
        <v>3974</v>
      </c>
      <c r="AG186" s="54" t="s">
        <v>4239</v>
      </c>
      <c r="AH186" s="54" t="s">
        <v>3656</v>
      </c>
      <c r="AI186" s="54" t="s">
        <v>39</v>
      </c>
      <c r="AJ186" s="54" t="s">
        <v>39</v>
      </c>
      <c r="AK186" s="54" t="s">
        <v>2325</v>
      </c>
      <c r="AL186" s="54" t="s">
        <v>753</v>
      </c>
      <c r="AM186" s="54" t="s">
        <v>39</v>
      </c>
      <c r="AN186" s="54" t="s">
        <v>39</v>
      </c>
      <c r="AO186" s="54" t="s">
        <v>2469</v>
      </c>
      <c r="AP186" s="54" t="s">
        <v>2469</v>
      </c>
      <c r="AQ186" s="73" t="s">
        <v>39</v>
      </c>
      <c r="AR186" s="54" t="s">
        <v>3350</v>
      </c>
      <c r="AS186" s="127" t="s">
        <v>3349</v>
      </c>
      <c r="AT186" s="54" t="s">
        <v>3599</v>
      </c>
      <c r="AU186" s="54" t="s">
        <v>3434</v>
      </c>
      <c r="AV186" s="54" t="s">
        <v>3506</v>
      </c>
      <c r="AW186" s="54" t="s">
        <v>3434</v>
      </c>
      <c r="AX186" s="54" t="s">
        <v>39</v>
      </c>
      <c r="AY186" s="54" t="s">
        <v>39</v>
      </c>
      <c r="AZ186" s="54" t="s">
        <v>39</v>
      </c>
      <c r="BA186" s="54" t="s">
        <v>39</v>
      </c>
      <c r="BB186" s="75" t="s">
        <v>1474</v>
      </c>
      <c r="BC186" s="54" t="s">
        <v>39</v>
      </c>
      <c r="BD186" s="54" t="s">
        <v>39</v>
      </c>
      <c r="BE186" s="54" t="s">
        <v>39</v>
      </c>
      <c r="BF186" s="54" t="s">
        <v>39</v>
      </c>
      <c r="BG186" s="54" t="s">
        <v>39</v>
      </c>
      <c r="BH186" s="54" t="s">
        <v>39</v>
      </c>
      <c r="BI186" s="54" t="s">
        <v>39</v>
      </c>
      <c r="BJ186" s="54" t="s">
        <v>555</v>
      </c>
      <c r="BK186" s="54" t="s">
        <v>556</v>
      </c>
      <c r="BL186" s="54" t="s">
        <v>2990</v>
      </c>
      <c r="BM186" s="54" t="s">
        <v>39</v>
      </c>
      <c r="BN186" s="54" t="s">
        <v>39</v>
      </c>
      <c r="BO186" s="54" t="s">
        <v>39</v>
      </c>
      <c r="BP186" s="54" t="s">
        <v>39</v>
      </c>
      <c r="BQ186" s="54" t="s">
        <v>2186</v>
      </c>
      <c r="BR186" s="54" t="s">
        <v>39</v>
      </c>
      <c r="BS186" s="54" t="s">
        <v>39</v>
      </c>
      <c r="BT186" s="54" t="s">
        <v>419</v>
      </c>
    </row>
    <row r="187" spans="1:72" s="2" customFormat="1" ht="9" customHeight="1">
      <c r="A187" s="95" t="s">
        <v>688</v>
      </c>
      <c r="B187" s="94" t="s">
        <v>5070</v>
      </c>
      <c r="C187" s="94" t="s">
        <v>5070</v>
      </c>
      <c r="D187" s="94" t="s">
        <v>39</v>
      </c>
      <c r="E187" s="94"/>
      <c r="F187" s="95" t="s">
        <v>688</v>
      </c>
      <c r="G187" s="94"/>
      <c r="H187" s="94" t="s">
        <v>3145</v>
      </c>
      <c r="I187" s="94" t="s">
        <v>3141</v>
      </c>
      <c r="J187" s="94" t="s">
        <v>39</v>
      </c>
      <c r="K187" s="94" t="s">
        <v>39</v>
      </c>
      <c r="L187" s="94"/>
      <c r="M187" s="94" t="s">
        <v>2053</v>
      </c>
      <c r="N187" s="94" t="s">
        <v>2697</v>
      </c>
      <c r="O187" s="94" t="s">
        <v>39</v>
      </c>
      <c r="P187" s="94" t="s">
        <v>1233</v>
      </c>
      <c r="Q187" s="94" t="s">
        <v>39</v>
      </c>
      <c r="R187" s="94" t="s">
        <v>39</v>
      </c>
      <c r="S187" s="94" t="s">
        <v>39</v>
      </c>
      <c r="T187" s="94" t="s">
        <v>2811</v>
      </c>
      <c r="U187" s="94" t="s">
        <v>3824</v>
      </c>
      <c r="V187" s="94" t="s">
        <v>39</v>
      </c>
      <c r="W187" s="94" t="s">
        <v>39</v>
      </c>
      <c r="X187" s="94" t="s">
        <v>39</v>
      </c>
      <c r="Y187" s="94" t="s">
        <v>39</v>
      </c>
      <c r="Z187" s="94" t="s">
        <v>39</v>
      </c>
      <c r="AA187" s="94" t="s">
        <v>4039</v>
      </c>
      <c r="AB187" s="94" t="s">
        <v>4039</v>
      </c>
      <c r="AC187" s="94" t="s">
        <v>813</v>
      </c>
      <c r="AD187" s="94" t="s">
        <v>39</v>
      </c>
      <c r="AE187" s="94" t="s">
        <v>3975</v>
      </c>
      <c r="AF187" s="94" t="s">
        <v>3976</v>
      </c>
      <c r="AG187" s="94" t="s">
        <v>4231</v>
      </c>
      <c r="AH187" s="94" t="s">
        <v>1259</v>
      </c>
      <c r="AI187" s="94" t="s">
        <v>39</v>
      </c>
      <c r="AJ187" s="94" t="s">
        <v>39</v>
      </c>
      <c r="AK187" s="94" t="s">
        <v>2324</v>
      </c>
      <c r="AL187" s="94" t="s">
        <v>2260</v>
      </c>
      <c r="AM187" s="94" t="s">
        <v>39</v>
      </c>
      <c r="AN187" s="94"/>
      <c r="AO187" s="94" t="s">
        <v>2545</v>
      </c>
      <c r="AP187" s="94" t="s">
        <v>2467</v>
      </c>
      <c r="AQ187" s="94" t="s">
        <v>39</v>
      </c>
      <c r="AR187" s="94" t="s">
        <v>3348</v>
      </c>
      <c r="AS187" s="94" t="s">
        <v>3298</v>
      </c>
      <c r="AT187" s="94" t="s">
        <v>3505</v>
      </c>
      <c r="AU187" s="94" t="s">
        <v>3597</v>
      </c>
      <c r="AV187" s="94" t="s">
        <v>3505</v>
      </c>
      <c r="AW187" s="94" t="s">
        <v>3545</v>
      </c>
      <c r="AX187" s="94"/>
      <c r="AY187" s="94"/>
      <c r="AZ187" s="94"/>
      <c r="BA187" s="94" t="s">
        <v>39</v>
      </c>
      <c r="BB187" s="94" t="s">
        <v>1473</v>
      </c>
      <c r="BC187" s="94"/>
      <c r="BD187" s="94" t="s">
        <v>39</v>
      </c>
      <c r="BE187" s="94" t="s">
        <v>39</v>
      </c>
      <c r="BF187" s="94" t="s">
        <v>39</v>
      </c>
      <c r="BG187" s="94" t="s">
        <v>39</v>
      </c>
      <c r="BH187" s="94" t="s">
        <v>39</v>
      </c>
      <c r="BI187" s="94" t="s">
        <v>39</v>
      </c>
      <c r="BJ187" s="94" t="s">
        <v>1286</v>
      </c>
      <c r="BK187" s="94" t="s">
        <v>1286</v>
      </c>
      <c r="BL187" s="94" t="s">
        <v>2989</v>
      </c>
      <c r="BM187" s="94" t="s">
        <v>39</v>
      </c>
      <c r="BN187" s="94" t="s">
        <v>39</v>
      </c>
      <c r="BO187" s="94" t="s">
        <v>39</v>
      </c>
      <c r="BP187" s="94" t="s">
        <v>39</v>
      </c>
      <c r="BQ187" s="94" t="s">
        <v>1406</v>
      </c>
      <c r="BR187" s="94" t="s">
        <v>39</v>
      </c>
      <c r="BS187" s="94" t="s">
        <v>39</v>
      </c>
      <c r="BT187" s="94"/>
    </row>
    <row r="188" spans="1:72" s="14" customFormat="1" ht="27">
      <c r="A188" s="53" t="s">
        <v>132</v>
      </c>
      <c r="B188" s="54" t="s">
        <v>5007</v>
      </c>
      <c r="C188" s="54" t="s">
        <v>5007</v>
      </c>
      <c r="D188" s="54" t="s">
        <v>39</v>
      </c>
      <c r="E188" s="54"/>
      <c r="F188" s="53" t="s">
        <v>132</v>
      </c>
      <c r="G188" s="54" t="s">
        <v>39</v>
      </c>
      <c r="H188" s="54" t="s">
        <v>3147</v>
      </c>
      <c r="I188" s="54" t="s">
        <v>39</v>
      </c>
      <c r="J188" s="54" t="s">
        <v>2016</v>
      </c>
      <c r="K188" s="54" t="s">
        <v>2016</v>
      </c>
      <c r="L188" s="54" t="s">
        <v>655</v>
      </c>
      <c r="M188" s="123" t="s">
        <v>2637</v>
      </c>
      <c r="N188" s="54" t="s">
        <v>2701</v>
      </c>
      <c r="O188" s="54" t="s">
        <v>39</v>
      </c>
      <c r="P188" s="54" t="s">
        <v>39</v>
      </c>
      <c r="Q188" s="54" t="s">
        <v>39</v>
      </c>
      <c r="R188" s="54" t="s">
        <v>39</v>
      </c>
      <c r="S188" s="54" t="s">
        <v>39</v>
      </c>
      <c r="T188" s="54" t="s">
        <v>39</v>
      </c>
      <c r="U188" s="54" t="s">
        <v>39</v>
      </c>
      <c r="V188" s="54" t="s">
        <v>39</v>
      </c>
      <c r="W188" s="54" t="s">
        <v>39</v>
      </c>
      <c r="X188" s="54" t="s">
        <v>39</v>
      </c>
      <c r="Y188" s="54" t="s">
        <v>39</v>
      </c>
      <c r="Z188" s="123" t="s">
        <v>4098</v>
      </c>
      <c r="AA188" s="123" t="s">
        <v>4098</v>
      </c>
      <c r="AB188" s="123" t="s">
        <v>4098</v>
      </c>
      <c r="AC188" s="54" t="s">
        <v>39</v>
      </c>
      <c r="AD188" s="54" t="s">
        <v>3977</v>
      </c>
      <c r="AE188" s="54" t="s">
        <v>3977</v>
      </c>
      <c r="AF188" s="54" t="s">
        <v>3977</v>
      </c>
      <c r="AG188" s="54" t="s">
        <v>4240</v>
      </c>
      <c r="AH188" s="54" t="s">
        <v>3659</v>
      </c>
      <c r="AI188" s="54" t="s">
        <v>39</v>
      </c>
      <c r="AJ188" s="54" t="s">
        <v>39</v>
      </c>
      <c r="AK188" s="54" t="s">
        <v>39</v>
      </c>
      <c r="AL188" s="54" t="s">
        <v>755</v>
      </c>
      <c r="AM188" s="54" t="s">
        <v>39</v>
      </c>
      <c r="AN188" s="54" t="s">
        <v>39</v>
      </c>
      <c r="AO188" s="54" t="s">
        <v>2470</v>
      </c>
      <c r="AP188" s="54" t="s">
        <v>2470</v>
      </c>
      <c r="AQ188" s="73" t="s">
        <v>39</v>
      </c>
      <c r="AR188" s="54" t="s">
        <v>3347</v>
      </c>
      <c r="AS188" s="54" t="s">
        <v>1774</v>
      </c>
      <c r="AT188" s="54" t="s">
        <v>39</v>
      </c>
      <c r="AU188" s="54" t="s">
        <v>3440</v>
      </c>
      <c r="AV188" s="54" t="s">
        <v>3598</v>
      </c>
      <c r="AW188" s="54" t="s">
        <v>3440</v>
      </c>
      <c r="AX188" s="54" t="s">
        <v>39</v>
      </c>
      <c r="AY188" s="54" t="s">
        <v>39</v>
      </c>
      <c r="AZ188" s="54" t="s">
        <v>39</v>
      </c>
      <c r="BA188" s="54" t="s">
        <v>39</v>
      </c>
      <c r="BB188" s="54" t="s">
        <v>39</v>
      </c>
      <c r="BC188" s="54" t="s">
        <v>39</v>
      </c>
      <c r="BD188" s="54" t="s">
        <v>2907</v>
      </c>
      <c r="BE188" s="54" t="s">
        <v>39</v>
      </c>
      <c r="BF188" s="54" t="s">
        <v>39</v>
      </c>
      <c r="BG188" s="54" t="s">
        <v>39</v>
      </c>
      <c r="BH188" s="54" t="s">
        <v>897</v>
      </c>
      <c r="BI188" s="54" t="s">
        <v>897</v>
      </c>
      <c r="BJ188" s="54" t="s">
        <v>1373</v>
      </c>
      <c r="BK188" s="54" t="s">
        <v>1373</v>
      </c>
      <c r="BL188" s="54" t="s">
        <v>3002</v>
      </c>
      <c r="BM188" s="54" t="s">
        <v>39</v>
      </c>
      <c r="BN188" s="54" t="s">
        <v>39</v>
      </c>
      <c r="BO188" s="54" t="s">
        <v>617</v>
      </c>
      <c r="BP188" s="54" t="s">
        <v>617</v>
      </c>
      <c r="BQ188" s="54" t="s">
        <v>2234</v>
      </c>
      <c r="BR188" s="54" t="s">
        <v>1643</v>
      </c>
      <c r="BS188" s="54" t="s">
        <v>1643</v>
      </c>
      <c r="BT188" s="54" t="s">
        <v>39</v>
      </c>
    </row>
    <row r="189" spans="1:72" s="2" customFormat="1" ht="9" customHeight="1">
      <c r="A189" s="95" t="s">
        <v>688</v>
      </c>
      <c r="B189" s="94" t="s">
        <v>5071</v>
      </c>
      <c r="C189" s="94" t="s">
        <v>5071</v>
      </c>
      <c r="D189" s="94" t="s">
        <v>39</v>
      </c>
      <c r="E189" s="94"/>
      <c r="F189" s="95" t="s">
        <v>688</v>
      </c>
      <c r="G189" s="94"/>
      <c r="H189" s="94" t="s">
        <v>3146</v>
      </c>
      <c r="I189" s="94" t="s">
        <v>39</v>
      </c>
      <c r="J189" s="94" t="s">
        <v>2017</v>
      </c>
      <c r="K189" s="94" t="s">
        <v>2017</v>
      </c>
      <c r="L189" s="94"/>
      <c r="M189" s="94" t="s">
        <v>2636</v>
      </c>
      <c r="N189" s="94" t="s">
        <v>2700</v>
      </c>
      <c r="O189" s="94" t="s">
        <v>39</v>
      </c>
      <c r="P189" s="94" t="s">
        <v>39</v>
      </c>
      <c r="Q189" s="94" t="s">
        <v>39</v>
      </c>
      <c r="R189" s="94" t="s">
        <v>39</v>
      </c>
      <c r="S189" s="94" t="s">
        <v>39</v>
      </c>
      <c r="T189" s="94" t="s">
        <v>39</v>
      </c>
      <c r="U189" s="94" t="s">
        <v>39</v>
      </c>
      <c r="V189" s="94" t="s">
        <v>39</v>
      </c>
      <c r="W189" s="94" t="s">
        <v>39</v>
      </c>
      <c r="X189" s="94" t="s">
        <v>39</v>
      </c>
      <c r="Y189" s="94" t="s">
        <v>39</v>
      </c>
      <c r="Z189" s="94" t="s">
        <v>4097</v>
      </c>
      <c r="AA189" s="94" t="s">
        <v>4097</v>
      </c>
      <c r="AB189" s="94" t="s">
        <v>4097</v>
      </c>
      <c r="AC189" s="94" t="s">
        <v>39</v>
      </c>
      <c r="AD189" s="94" t="s">
        <v>3978</v>
      </c>
      <c r="AE189" s="94" t="s">
        <v>3978</v>
      </c>
      <c r="AF189" s="94" t="s">
        <v>3978</v>
      </c>
      <c r="AG189" s="94" t="s">
        <v>4206</v>
      </c>
      <c r="AH189" s="94" t="s">
        <v>2779</v>
      </c>
      <c r="AI189" s="94" t="s">
        <v>39</v>
      </c>
      <c r="AJ189" s="94" t="s">
        <v>39</v>
      </c>
      <c r="AK189" s="94" t="s">
        <v>39</v>
      </c>
      <c r="AL189" s="94" t="s">
        <v>2261</v>
      </c>
      <c r="AM189" s="94" t="s">
        <v>39</v>
      </c>
      <c r="AN189" s="94"/>
      <c r="AO189" s="94" t="s">
        <v>2546</v>
      </c>
      <c r="AP189" s="94" t="s">
        <v>2468</v>
      </c>
      <c r="AQ189" s="94" t="s">
        <v>39</v>
      </c>
      <c r="AR189" s="94" t="s">
        <v>3346</v>
      </c>
      <c r="AS189" s="94" t="s">
        <v>3302</v>
      </c>
      <c r="AT189" s="94" t="s">
        <v>39</v>
      </c>
      <c r="AU189" s="94" t="s">
        <v>3600</v>
      </c>
      <c r="AV189" s="94" t="s">
        <v>3505</v>
      </c>
      <c r="AW189" s="94" t="s">
        <v>3544</v>
      </c>
      <c r="AX189" s="94"/>
      <c r="AY189" s="94"/>
      <c r="AZ189" s="94"/>
      <c r="BA189" s="94" t="s">
        <v>39</v>
      </c>
      <c r="BB189" s="94" t="s">
        <v>39</v>
      </c>
      <c r="BC189" s="94"/>
      <c r="BD189" s="94" t="s">
        <v>2906</v>
      </c>
      <c r="BE189" s="94" t="s">
        <v>39</v>
      </c>
      <c r="BF189" s="94" t="s">
        <v>39</v>
      </c>
      <c r="BG189" s="94" t="s">
        <v>39</v>
      </c>
      <c r="BH189" s="94" t="s">
        <v>898</v>
      </c>
      <c r="BI189" s="94" t="s">
        <v>898</v>
      </c>
      <c r="BJ189" s="94" t="s">
        <v>1374</v>
      </c>
      <c r="BK189" s="94" t="s">
        <v>1374</v>
      </c>
      <c r="BL189" s="94" t="s">
        <v>3001</v>
      </c>
      <c r="BM189" s="94" t="s">
        <v>39</v>
      </c>
      <c r="BN189" s="94" t="s">
        <v>39</v>
      </c>
      <c r="BO189" s="94" t="s">
        <v>2157</v>
      </c>
      <c r="BP189" s="94" t="s">
        <v>2157</v>
      </c>
      <c r="BQ189" s="94" t="s">
        <v>2233</v>
      </c>
      <c r="BR189" s="94" t="s">
        <v>1644</v>
      </c>
      <c r="BS189" s="94" t="s">
        <v>1644</v>
      </c>
      <c r="BT189" s="94"/>
    </row>
    <row r="190" spans="1:72" ht="9" customHeight="1">
      <c r="A190" s="154"/>
      <c r="B190" s="204"/>
      <c r="C190" s="204"/>
      <c r="D190" s="204"/>
      <c r="E190" s="246"/>
      <c r="F190" s="154"/>
    </row>
    <row r="191" spans="1:72">
      <c r="A191" s="176" t="s">
        <v>4830</v>
      </c>
      <c r="B191" s="209" t="str">
        <f>B1</f>
        <v xml:space="preserve">Interlloyd Premium Plus </v>
      </c>
      <c r="C191" s="209" t="str">
        <f>C1</f>
        <v xml:space="preserve">Interlloyd Premium Plus HB </v>
      </c>
      <c r="D191" s="209" t="str">
        <f>D1</f>
        <v>Interlloyd Protect</v>
      </c>
      <c r="E191" s="140"/>
      <c r="F191" s="50" t="s">
        <v>4830</v>
      </c>
      <c r="BO191" s="200"/>
      <c r="BP191" s="200"/>
    </row>
    <row r="192" spans="1:72" ht="18">
      <c r="A192" s="53" t="s">
        <v>5473</v>
      </c>
      <c r="B192" s="54" t="s">
        <v>5472</v>
      </c>
      <c r="C192" s="54" t="s">
        <v>5472</v>
      </c>
      <c r="D192" s="54" t="s">
        <v>5472</v>
      </c>
      <c r="E192" s="54"/>
      <c r="F192" s="53" t="s">
        <v>4831</v>
      </c>
      <c r="BO192" s="200"/>
      <c r="BP192" s="200"/>
    </row>
    <row r="193" spans="1:72" ht="9" customHeight="1">
      <c r="A193" s="95" t="s">
        <v>688</v>
      </c>
      <c r="B193" s="94" t="s">
        <v>4952</v>
      </c>
      <c r="C193" s="94" t="s">
        <v>4952</v>
      </c>
      <c r="D193" s="94" t="s">
        <v>4855</v>
      </c>
      <c r="E193" s="94"/>
      <c r="F193" s="95" t="s">
        <v>688</v>
      </c>
      <c r="BO193" s="200"/>
      <c r="BP193" s="200"/>
    </row>
    <row r="194" spans="1:72">
      <c r="A194" s="53" t="s">
        <v>4832</v>
      </c>
      <c r="B194" s="54" t="s">
        <v>39</v>
      </c>
      <c r="C194" s="54" t="s">
        <v>39</v>
      </c>
      <c r="D194" s="54" t="s">
        <v>39</v>
      </c>
      <c r="E194" s="54"/>
      <c r="F194" s="53" t="s">
        <v>4832</v>
      </c>
      <c r="BO194" s="200"/>
      <c r="BP194" s="200"/>
    </row>
    <row r="195" spans="1:72" ht="9" customHeight="1">
      <c r="A195" s="95" t="s">
        <v>688</v>
      </c>
      <c r="B195" s="94" t="s">
        <v>39</v>
      </c>
      <c r="C195" s="94" t="s">
        <v>39</v>
      </c>
      <c r="D195" s="94"/>
      <c r="E195" s="94"/>
      <c r="F195" s="95" t="s">
        <v>688</v>
      </c>
      <c r="BO195" s="200"/>
      <c r="BP195" s="200"/>
    </row>
    <row r="196" spans="1:72" ht="9" customHeight="1">
      <c r="A196" s="11"/>
      <c r="B196" s="204"/>
      <c r="C196" s="204"/>
      <c r="D196" s="204"/>
      <c r="E196" s="246"/>
    </row>
    <row r="197" spans="1:72">
      <c r="A197" s="176" t="s">
        <v>4821</v>
      </c>
      <c r="B197" s="209" t="str">
        <f>B1</f>
        <v xml:space="preserve">Interlloyd Premium Plus </v>
      </c>
      <c r="C197" s="209" t="str">
        <f>C1</f>
        <v xml:space="preserve">Interlloyd Premium Plus HB </v>
      </c>
      <c r="D197" s="209" t="str">
        <f>D1</f>
        <v>Interlloyd Protect</v>
      </c>
      <c r="E197" s="140"/>
      <c r="F197" s="50" t="s">
        <v>4821</v>
      </c>
      <c r="BO197" s="200"/>
      <c r="BP197" s="200"/>
    </row>
    <row r="198" spans="1:72" s="14" customFormat="1" ht="45">
      <c r="A198" s="53" t="s">
        <v>5013</v>
      </c>
      <c r="B198" s="54" t="s">
        <v>5161</v>
      </c>
      <c r="C198" s="54" t="s">
        <v>5161</v>
      </c>
      <c r="D198" s="54" t="s">
        <v>4854</v>
      </c>
      <c r="E198" s="54"/>
      <c r="F198" s="53" t="s">
        <v>4798</v>
      </c>
      <c r="G198" s="54" t="s">
        <v>274</v>
      </c>
      <c r="H198" s="116" t="s">
        <v>3171</v>
      </c>
      <c r="I198" s="116" t="s">
        <v>3172</v>
      </c>
      <c r="J198" s="54" t="s">
        <v>2000</v>
      </c>
      <c r="K198" s="54" t="s">
        <v>2000</v>
      </c>
      <c r="L198" s="54" t="s">
        <v>650</v>
      </c>
      <c r="M198" s="123" t="s">
        <v>2641</v>
      </c>
      <c r="N198" s="54" t="s">
        <v>2689</v>
      </c>
      <c r="O198" s="54" t="s">
        <v>2765</v>
      </c>
      <c r="P198" s="54" t="s">
        <v>2765</v>
      </c>
      <c r="Q198" s="54" t="s">
        <v>3064</v>
      </c>
      <c r="R198" s="54" t="s">
        <v>3064</v>
      </c>
      <c r="S198" s="54" t="s">
        <v>1901</v>
      </c>
      <c r="T198" s="54" t="s">
        <v>2801</v>
      </c>
      <c r="U198" s="54" t="s">
        <v>3828</v>
      </c>
      <c r="V198" s="54" t="s">
        <v>39</v>
      </c>
      <c r="W198" s="54" t="s">
        <v>1674</v>
      </c>
      <c r="X198" s="54" t="s">
        <v>39</v>
      </c>
      <c r="Y198" s="54" t="s">
        <v>3732</v>
      </c>
      <c r="Z198" s="123" t="s">
        <v>4112</v>
      </c>
      <c r="AA198" s="123" t="s">
        <v>4112</v>
      </c>
      <c r="AB198" s="123" t="s">
        <v>4112</v>
      </c>
      <c r="AC198" s="54" t="s">
        <v>827</v>
      </c>
      <c r="AD198" s="54" t="s">
        <v>3947</v>
      </c>
      <c r="AE198" s="54" t="s">
        <v>3947</v>
      </c>
      <c r="AF198" s="54" t="s">
        <v>3947</v>
      </c>
      <c r="AG198" s="54" t="s">
        <v>4221</v>
      </c>
      <c r="AH198" s="54" t="s">
        <v>3675</v>
      </c>
      <c r="AI198" s="54" t="s">
        <v>39</v>
      </c>
      <c r="AJ198" s="54" t="s">
        <v>2401</v>
      </c>
      <c r="AK198" s="54" t="s">
        <v>2402</v>
      </c>
      <c r="AL198" s="54" t="s">
        <v>2403</v>
      </c>
      <c r="AM198" s="54" t="s">
        <v>39</v>
      </c>
      <c r="AN198" s="54" t="s">
        <v>166</v>
      </c>
      <c r="AO198" s="54" t="s">
        <v>2549</v>
      </c>
      <c r="AP198" s="54" t="s">
        <v>2507</v>
      </c>
      <c r="AQ198" s="54" t="s">
        <v>2567</v>
      </c>
      <c r="AR198" s="54" t="s">
        <v>3360</v>
      </c>
      <c r="AS198" s="54" t="s">
        <v>3361</v>
      </c>
      <c r="AT198" s="54" t="s">
        <v>4132</v>
      </c>
      <c r="AU198" s="54" t="s">
        <v>3620</v>
      </c>
      <c r="AV198" s="54" t="s">
        <v>3619</v>
      </c>
      <c r="AW198" s="54" t="s">
        <v>3620</v>
      </c>
      <c r="AX198" s="54" t="s">
        <v>39</v>
      </c>
      <c r="AY198" s="54" t="s">
        <v>248</v>
      </c>
      <c r="AZ198" s="54" t="s">
        <v>39</v>
      </c>
      <c r="BA198" s="54" t="s">
        <v>1508</v>
      </c>
      <c r="BB198" s="54" t="s">
        <v>1507</v>
      </c>
      <c r="BC198" s="54" t="s">
        <v>374</v>
      </c>
      <c r="BD198" s="54" t="s">
        <v>2879</v>
      </c>
      <c r="BE198" s="54" t="s">
        <v>39</v>
      </c>
      <c r="BF198" s="54" t="s">
        <v>2623</v>
      </c>
      <c r="BG198" s="54" t="s">
        <v>2765</v>
      </c>
      <c r="BH198" s="54" t="s">
        <v>2932</v>
      </c>
      <c r="BI198" s="54" t="s">
        <v>2932</v>
      </c>
      <c r="BJ198" s="54" t="s">
        <v>825</v>
      </c>
      <c r="BK198" s="54" t="s">
        <v>1324</v>
      </c>
      <c r="BL198" s="54" t="s">
        <v>2979</v>
      </c>
      <c r="BM198" s="54" t="s">
        <v>3243</v>
      </c>
      <c r="BN198" s="54" t="s">
        <v>3243</v>
      </c>
      <c r="BO198" s="54" t="s">
        <v>3407</v>
      </c>
      <c r="BP198" s="54" t="s">
        <v>2119</v>
      </c>
      <c r="BQ198" s="54" t="s">
        <v>2205</v>
      </c>
      <c r="BR198" s="54" t="s">
        <v>1619</v>
      </c>
      <c r="BS198" s="54" t="s">
        <v>1619</v>
      </c>
      <c r="BT198" s="54" t="s">
        <v>432</v>
      </c>
    </row>
    <row r="199" spans="1:72" s="2" customFormat="1" ht="9" customHeight="1">
      <c r="A199" s="95" t="s">
        <v>688</v>
      </c>
      <c r="B199" s="94" t="s">
        <v>5100</v>
      </c>
      <c r="C199" s="94" t="s">
        <v>5100</v>
      </c>
      <c r="D199" s="94" t="s">
        <v>4855</v>
      </c>
      <c r="E199" s="94"/>
      <c r="F199" s="95" t="s">
        <v>688</v>
      </c>
      <c r="G199" s="94"/>
      <c r="H199" s="94" t="s">
        <v>3169</v>
      </c>
      <c r="I199" s="94" t="s">
        <v>3170</v>
      </c>
      <c r="J199" s="94" t="s">
        <v>1999</v>
      </c>
      <c r="K199" s="94" t="s">
        <v>1999</v>
      </c>
      <c r="L199" s="94"/>
      <c r="M199" s="94" t="s">
        <v>2028</v>
      </c>
      <c r="N199" s="94" t="s">
        <v>2729</v>
      </c>
      <c r="O199" s="94" t="s">
        <v>1233</v>
      </c>
      <c r="P199" s="94" t="s">
        <v>2764</v>
      </c>
      <c r="Q199" s="94" t="s">
        <v>3063</v>
      </c>
      <c r="R199" s="94" t="s">
        <v>3063</v>
      </c>
      <c r="S199" s="94" t="s">
        <v>1416</v>
      </c>
      <c r="T199" s="94" t="s">
        <v>2799</v>
      </c>
      <c r="U199" s="94" t="s">
        <v>2501</v>
      </c>
      <c r="V199" s="94" t="s">
        <v>39</v>
      </c>
      <c r="W199" s="94" t="s">
        <v>1673</v>
      </c>
      <c r="X199" s="94" t="s">
        <v>39</v>
      </c>
      <c r="Y199" s="94" t="s">
        <v>3730</v>
      </c>
      <c r="Z199" s="94" t="s">
        <v>4110</v>
      </c>
      <c r="AA199" s="94" t="s">
        <v>4110</v>
      </c>
      <c r="AB199" s="94" t="s">
        <v>4110</v>
      </c>
      <c r="AC199" s="94" t="s">
        <v>824</v>
      </c>
      <c r="AD199" s="94" t="s">
        <v>3948</v>
      </c>
      <c r="AE199" s="94" t="s">
        <v>3949</v>
      </c>
      <c r="AF199" s="94" t="s">
        <v>3950</v>
      </c>
      <c r="AG199" s="94" t="s">
        <v>4222</v>
      </c>
      <c r="AH199" s="94" t="s">
        <v>3674</v>
      </c>
      <c r="AI199" s="94" t="s">
        <v>39</v>
      </c>
      <c r="AJ199" s="94" t="s">
        <v>2400</v>
      </c>
      <c r="AK199" s="94" t="s">
        <v>2359</v>
      </c>
      <c r="AL199" s="94" t="s">
        <v>2291</v>
      </c>
      <c r="AM199" s="94" t="s">
        <v>39</v>
      </c>
      <c r="AN199" s="94"/>
      <c r="AO199" s="94" t="s">
        <v>2548</v>
      </c>
      <c r="AP199" s="94" t="s">
        <v>2500</v>
      </c>
      <c r="AQ199" s="94" t="s">
        <v>2566</v>
      </c>
      <c r="AR199" s="94" t="s">
        <v>3359</v>
      </c>
      <c r="AS199" s="94" t="s">
        <v>3308</v>
      </c>
      <c r="AT199" s="94" t="s">
        <v>3587</v>
      </c>
      <c r="AU199" s="94" t="s">
        <v>3618</v>
      </c>
      <c r="AV199" s="94" t="s">
        <v>3531</v>
      </c>
      <c r="AW199" s="94" t="s">
        <v>3554</v>
      </c>
      <c r="AX199" s="94"/>
      <c r="AY199" s="94"/>
      <c r="AZ199" s="94"/>
      <c r="BA199" s="94" t="s">
        <v>1510</v>
      </c>
      <c r="BB199" s="94" t="s">
        <v>1509</v>
      </c>
      <c r="BC199" s="94"/>
      <c r="BD199" s="94" t="s">
        <v>2876</v>
      </c>
      <c r="BE199" s="94" t="s">
        <v>39</v>
      </c>
      <c r="BF199" s="94" t="s">
        <v>2622</v>
      </c>
      <c r="BG199" s="94" t="s">
        <v>2868</v>
      </c>
      <c r="BH199" s="94" t="s">
        <v>2931</v>
      </c>
      <c r="BI199" s="94" t="s">
        <v>2931</v>
      </c>
      <c r="BJ199" s="94" t="s">
        <v>1322</v>
      </c>
      <c r="BK199" s="94" t="s">
        <v>1322</v>
      </c>
      <c r="BL199" s="94" t="s">
        <v>2978</v>
      </c>
      <c r="BM199" s="94" t="s">
        <v>3241</v>
      </c>
      <c r="BN199" s="94" t="s">
        <v>3242</v>
      </c>
      <c r="BO199" s="94" t="s">
        <v>3406</v>
      </c>
      <c r="BP199" s="94" t="s">
        <v>2118</v>
      </c>
      <c r="BQ199" s="94" t="s">
        <v>2204</v>
      </c>
      <c r="BR199" s="94" t="s">
        <v>1618</v>
      </c>
      <c r="BS199" s="94" t="s">
        <v>1618</v>
      </c>
      <c r="BT199" s="94"/>
    </row>
    <row r="200" spans="1:72" s="14" customFormat="1" ht="45">
      <c r="A200" s="53" t="s">
        <v>5097</v>
      </c>
      <c r="B200" s="54" t="s">
        <v>5099</v>
      </c>
      <c r="C200" s="54" t="s">
        <v>5099</v>
      </c>
      <c r="D200" s="54" t="s">
        <v>39</v>
      </c>
      <c r="E200" s="54"/>
      <c r="F200" s="53" t="s">
        <v>4836</v>
      </c>
      <c r="G200" s="54" t="s">
        <v>273</v>
      </c>
      <c r="H200" s="116" t="s">
        <v>3167</v>
      </c>
      <c r="I200" s="116" t="s">
        <v>3166</v>
      </c>
      <c r="J200" s="54" t="s">
        <v>2000</v>
      </c>
      <c r="K200" s="54" t="s">
        <v>2000</v>
      </c>
      <c r="L200" s="54" t="s">
        <v>39</v>
      </c>
      <c r="M200" s="123" t="s">
        <v>2644</v>
      </c>
      <c r="N200" s="54" t="s">
        <v>2688</v>
      </c>
      <c r="O200" s="54" t="s">
        <v>2766</v>
      </c>
      <c r="P200" s="54" t="s">
        <v>2766</v>
      </c>
      <c r="Q200" s="54" t="s">
        <v>39</v>
      </c>
      <c r="R200" s="54" t="s">
        <v>39</v>
      </c>
      <c r="S200" s="54" t="s">
        <v>39</v>
      </c>
      <c r="T200" s="54" t="s">
        <v>2800</v>
      </c>
      <c r="U200" s="54" t="s">
        <v>39</v>
      </c>
      <c r="V200" s="54" t="s">
        <v>39</v>
      </c>
      <c r="W200" s="54" t="s">
        <v>1674</v>
      </c>
      <c r="X200" s="54" t="s">
        <v>39</v>
      </c>
      <c r="Y200" s="54" t="s">
        <v>3731</v>
      </c>
      <c r="Z200" s="123" t="s">
        <v>4111</v>
      </c>
      <c r="AA200" s="123" t="s">
        <v>4111</v>
      </c>
      <c r="AB200" s="123" t="s">
        <v>4111</v>
      </c>
      <c r="AC200" s="54" t="s">
        <v>721</v>
      </c>
      <c r="AD200" s="54" t="s">
        <v>39</v>
      </c>
      <c r="AE200" s="54" t="s">
        <v>3915</v>
      </c>
      <c r="AF200" s="54" t="s">
        <v>3916</v>
      </c>
      <c r="AG200" s="54" t="s">
        <v>4204</v>
      </c>
      <c r="AH200" s="54" t="s">
        <v>3677</v>
      </c>
      <c r="AI200" s="54" t="s">
        <v>39</v>
      </c>
      <c r="AJ200" s="54" t="s">
        <v>2383</v>
      </c>
      <c r="AK200" s="54" t="s">
        <v>2335</v>
      </c>
      <c r="AL200" s="54" t="s">
        <v>2292</v>
      </c>
      <c r="AM200" s="54" t="s">
        <v>39</v>
      </c>
      <c r="AN200" s="54" t="s">
        <v>39</v>
      </c>
      <c r="AO200" s="54" t="s">
        <v>2550</v>
      </c>
      <c r="AP200" s="54" t="s">
        <v>2551</v>
      </c>
      <c r="AQ200" s="73" t="s">
        <v>39</v>
      </c>
      <c r="AR200" s="54" t="s">
        <v>39</v>
      </c>
      <c r="AS200" s="54" t="s">
        <v>3309</v>
      </c>
      <c r="AT200" s="54" t="s">
        <v>3586</v>
      </c>
      <c r="AU200" s="54" t="s">
        <v>3533</v>
      </c>
      <c r="AV200" s="54" t="s">
        <v>3533</v>
      </c>
      <c r="AW200" s="54" t="s">
        <v>3533</v>
      </c>
      <c r="AX200" s="54" t="s">
        <v>39</v>
      </c>
      <c r="AY200" s="54" t="s">
        <v>39</v>
      </c>
      <c r="AZ200" s="54" t="s">
        <v>39</v>
      </c>
      <c r="BA200" s="54" t="s">
        <v>39</v>
      </c>
      <c r="BB200" s="54" t="s">
        <v>39</v>
      </c>
      <c r="BC200" s="54" t="s">
        <v>375</v>
      </c>
      <c r="BD200" s="54" t="s">
        <v>2880</v>
      </c>
      <c r="BE200" s="54" t="s">
        <v>39</v>
      </c>
      <c r="BF200" s="54" t="s">
        <v>2624</v>
      </c>
      <c r="BG200" s="54" t="s">
        <v>2766</v>
      </c>
      <c r="BH200" s="54" t="s">
        <v>873</v>
      </c>
      <c r="BI200" s="54" t="s">
        <v>873</v>
      </c>
      <c r="BJ200" s="54" t="s">
        <v>39</v>
      </c>
      <c r="BK200" s="54" t="s">
        <v>218</v>
      </c>
      <c r="BL200" s="54" t="s">
        <v>2980</v>
      </c>
      <c r="BM200" s="54" t="s">
        <v>39</v>
      </c>
      <c r="BN200" s="54" t="s">
        <v>39</v>
      </c>
      <c r="BO200" s="54" t="s">
        <v>3410</v>
      </c>
      <c r="BP200" s="54" t="s">
        <v>3409</v>
      </c>
      <c r="BQ200" s="54" t="s">
        <v>2207</v>
      </c>
      <c r="BR200" s="54" t="s">
        <v>1620</v>
      </c>
      <c r="BS200" s="54" t="s">
        <v>1620</v>
      </c>
      <c r="BT200" s="54" t="s">
        <v>431</v>
      </c>
    </row>
    <row r="201" spans="1:72" s="2" customFormat="1" ht="9" customHeight="1">
      <c r="A201" s="95" t="s">
        <v>688</v>
      </c>
      <c r="B201" s="94" t="s">
        <v>5096</v>
      </c>
      <c r="C201" s="94" t="s">
        <v>5096</v>
      </c>
      <c r="D201" s="94" t="s">
        <v>39</v>
      </c>
      <c r="E201" s="94"/>
      <c r="F201" s="95" t="s">
        <v>688</v>
      </c>
      <c r="G201" s="94"/>
      <c r="H201" s="94" t="s">
        <v>3165</v>
      </c>
      <c r="I201" s="94" t="s">
        <v>3164</v>
      </c>
      <c r="J201" s="94" t="s">
        <v>1999</v>
      </c>
      <c r="K201" s="94" t="s">
        <v>1999</v>
      </c>
      <c r="L201" s="94"/>
      <c r="M201" s="94" t="s">
        <v>2643</v>
      </c>
      <c r="N201" s="94" t="s">
        <v>2729</v>
      </c>
      <c r="O201" s="94" t="s">
        <v>1232</v>
      </c>
      <c r="P201" s="94" t="s">
        <v>2763</v>
      </c>
      <c r="Q201" s="94" t="s">
        <v>39</v>
      </c>
      <c r="R201" s="94" t="s">
        <v>39</v>
      </c>
      <c r="S201" s="94" t="s">
        <v>39</v>
      </c>
      <c r="T201" s="94" t="s">
        <v>2799</v>
      </c>
      <c r="U201" s="94" t="s">
        <v>39</v>
      </c>
      <c r="V201" s="94" t="s">
        <v>39</v>
      </c>
      <c r="W201" s="94" t="s">
        <v>1673</v>
      </c>
      <c r="X201" s="94" t="s">
        <v>39</v>
      </c>
      <c r="Y201" s="94" t="s">
        <v>3730</v>
      </c>
      <c r="Z201" s="94" t="s">
        <v>4110</v>
      </c>
      <c r="AA201" s="94" t="s">
        <v>4110</v>
      </c>
      <c r="AB201" s="94" t="s">
        <v>4110</v>
      </c>
      <c r="AC201" s="94" t="s">
        <v>821</v>
      </c>
      <c r="AD201" s="94" t="s">
        <v>39</v>
      </c>
      <c r="AE201" s="94" t="s">
        <v>3917</v>
      </c>
      <c r="AF201" s="94" t="s">
        <v>3918</v>
      </c>
      <c r="AG201" s="94" t="s">
        <v>4205</v>
      </c>
      <c r="AH201" s="94" t="s">
        <v>3676</v>
      </c>
      <c r="AI201" s="94" t="s">
        <v>39</v>
      </c>
      <c r="AJ201" s="94" t="s">
        <v>2382</v>
      </c>
      <c r="AK201" s="94" t="s">
        <v>2334</v>
      </c>
      <c r="AL201" s="94" t="s">
        <v>2273</v>
      </c>
      <c r="AM201" s="94" t="s">
        <v>39</v>
      </c>
      <c r="AN201" s="94"/>
      <c r="AO201" s="94" t="s">
        <v>1285</v>
      </c>
      <c r="AP201" s="94" t="s">
        <v>2501</v>
      </c>
      <c r="AQ201" s="94" t="s">
        <v>39</v>
      </c>
      <c r="AR201" s="94" t="s">
        <v>39</v>
      </c>
      <c r="AS201" s="94" t="s">
        <v>3308</v>
      </c>
      <c r="AT201" s="94" t="s">
        <v>3585</v>
      </c>
      <c r="AU201" s="94" t="s">
        <v>3623</v>
      </c>
      <c r="AV201" s="94" t="s">
        <v>3532</v>
      </c>
      <c r="AW201" s="94" t="s">
        <v>3532</v>
      </c>
      <c r="AX201" s="94"/>
      <c r="AY201" s="94"/>
      <c r="AZ201" s="94"/>
      <c r="BA201" s="94" t="s">
        <v>39</v>
      </c>
      <c r="BB201" s="94" t="s">
        <v>39</v>
      </c>
      <c r="BC201" s="94"/>
      <c r="BD201" s="94" t="s">
        <v>2876</v>
      </c>
      <c r="BE201" s="94" t="s">
        <v>39</v>
      </c>
      <c r="BF201" s="94" t="s">
        <v>2622</v>
      </c>
      <c r="BG201" s="94" t="s">
        <v>2869</v>
      </c>
      <c r="BH201" s="94" t="s">
        <v>2927</v>
      </c>
      <c r="BI201" s="94" t="s">
        <v>2927</v>
      </c>
      <c r="BJ201" s="94" t="s">
        <v>39</v>
      </c>
      <c r="BK201" s="94" t="s">
        <v>1323</v>
      </c>
      <c r="BL201" s="94" t="s">
        <v>2978</v>
      </c>
      <c r="BM201" s="94" t="s">
        <v>39</v>
      </c>
      <c r="BN201" s="94" t="s">
        <v>39</v>
      </c>
      <c r="BO201" s="94" t="s">
        <v>3408</v>
      </c>
      <c r="BP201" s="94" t="s">
        <v>2120</v>
      </c>
      <c r="BQ201" s="94" t="s">
        <v>2206</v>
      </c>
      <c r="BR201" s="94" t="s">
        <v>1618</v>
      </c>
      <c r="BS201" s="94" t="s">
        <v>1618</v>
      </c>
      <c r="BT201" s="94"/>
    </row>
    <row r="202" spans="1:72" ht="9" customHeight="1">
      <c r="A202" s="11"/>
      <c r="B202" s="204"/>
      <c r="C202" s="204"/>
      <c r="D202" s="204"/>
      <c r="E202" s="246"/>
    </row>
    <row r="203" spans="1:72">
      <c r="A203" s="176" t="s">
        <v>4829</v>
      </c>
      <c r="B203" s="202" t="str">
        <f>B1</f>
        <v xml:space="preserve">Interlloyd Premium Plus </v>
      </c>
      <c r="C203" s="202" t="str">
        <f>C1</f>
        <v xml:space="preserve">Interlloyd Premium Plus HB </v>
      </c>
      <c r="D203" s="202" t="str">
        <f>D1</f>
        <v>Interlloyd Protect</v>
      </c>
      <c r="E203" s="140"/>
      <c r="F203" s="61" t="s">
        <v>4829</v>
      </c>
      <c r="BO203" s="200"/>
      <c r="BP203" s="200"/>
    </row>
    <row r="204" spans="1:72" s="14" customFormat="1" ht="27">
      <c r="A204" s="53" t="s">
        <v>180</v>
      </c>
      <c r="B204" s="114" t="s">
        <v>5011</v>
      </c>
      <c r="C204" s="114" t="s">
        <v>5011</v>
      </c>
      <c r="D204" s="114" t="s">
        <v>39</v>
      </c>
      <c r="E204" s="114"/>
      <c r="F204" s="53" t="s">
        <v>180</v>
      </c>
      <c r="G204" s="75">
        <v>5000</v>
      </c>
      <c r="H204" s="75" t="s">
        <v>39</v>
      </c>
      <c r="I204" s="75" t="s">
        <v>39</v>
      </c>
      <c r="J204" s="75" t="s">
        <v>39</v>
      </c>
      <c r="K204" s="75" t="s">
        <v>39</v>
      </c>
      <c r="L204" s="54" t="s">
        <v>39</v>
      </c>
      <c r="M204" s="123" t="s">
        <v>39</v>
      </c>
      <c r="N204" s="54" t="s">
        <v>39</v>
      </c>
      <c r="O204" s="75" t="s">
        <v>386</v>
      </c>
      <c r="P204" s="75" t="s">
        <v>386</v>
      </c>
      <c r="Q204" s="54" t="s">
        <v>39</v>
      </c>
      <c r="R204" s="54" t="s">
        <v>39</v>
      </c>
      <c r="S204" s="54" t="s">
        <v>1894</v>
      </c>
      <c r="T204" s="54" t="s">
        <v>39</v>
      </c>
      <c r="U204" s="54" t="s">
        <v>39</v>
      </c>
      <c r="V204" s="54" t="s">
        <v>39</v>
      </c>
      <c r="W204" s="54" t="s">
        <v>39</v>
      </c>
      <c r="X204" s="54" t="s">
        <v>39</v>
      </c>
      <c r="Y204" s="54" t="s">
        <v>39</v>
      </c>
      <c r="Z204" s="123" t="s">
        <v>39</v>
      </c>
      <c r="AA204" s="123" t="s">
        <v>4069</v>
      </c>
      <c r="AB204" s="123" t="s">
        <v>4069</v>
      </c>
      <c r="AC204" s="54" t="s">
        <v>39</v>
      </c>
      <c r="AD204" s="54" t="s">
        <v>39</v>
      </c>
      <c r="AE204" s="54" t="s">
        <v>39</v>
      </c>
      <c r="AF204" s="54" t="s">
        <v>39</v>
      </c>
      <c r="AG204" s="54" t="s">
        <v>4199</v>
      </c>
      <c r="AH204" s="54" t="s">
        <v>39</v>
      </c>
      <c r="AI204" s="54" t="s">
        <v>39</v>
      </c>
      <c r="AJ204" s="54" t="s">
        <v>39</v>
      </c>
      <c r="AK204" s="54" t="s">
        <v>39</v>
      </c>
      <c r="AL204" s="54" t="s">
        <v>39</v>
      </c>
      <c r="AM204" s="54" t="s">
        <v>39</v>
      </c>
      <c r="AN204" s="54" t="s">
        <v>39</v>
      </c>
      <c r="AO204" s="114" t="s">
        <v>328</v>
      </c>
      <c r="AP204" s="114" t="s">
        <v>328</v>
      </c>
      <c r="AQ204" s="73" t="s">
        <v>39</v>
      </c>
      <c r="AR204" s="54" t="s">
        <v>39</v>
      </c>
      <c r="AS204" s="54" t="s">
        <v>39</v>
      </c>
      <c r="AT204" s="54" t="s">
        <v>3432</v>
      </c>
      <c r="AU204" s="54" t="s">
        <v>3432</v>
      </c>
      <c r="AV204" s="54" t="s">
        <v>3432</v>
      </c>
      <c r="AW204" s="54" t="s">
        <v>3432</v>
      </c>
      <c r="AX204" s="54" t="s">
        <v>39</v>
      </c>
      <c r="AY204" s="54" t="s">
        <v>526</v>
      </c>
      <c r="AZ204" s="54" t="s">
        <v>39</v>
      </c>
      <c r="BA204" s="54" t="s">
        <v>39</v>
      </c>
      <c r="BB204" s="54" t="s">
        <v>39</v>
      </c>
      <c r="BC204" s="54" t="s">
        <v>39</v>
      </c>
      <c r="BD204" s="54" t="s">
        <v>39</v>
      </c>
      <c r="BE204" s="54" t="s">
        <v>39</v>
      </c>
      <c r="BF204" s="48" t="s">
        <v>39</v>
      </c>
      <c r="BG204" s="75" t="s">
        <v>386</v>
      </c>
      <c r="BH204" s="54" t="s">
        <v>39</v>
      </c>
      <c r="BI204" s="54" t="s">
        <v>39</v>
      </c>
      <c r="BJ204" s="54" t="s">
        <v>39</v>
      </c>
      <c r="BK204" s="54" t="s">
        <v>39</v>
      </c>
      <c r="BL204" s="54" t="s">
        <v>39</v>
      </c>
      <c r="BM204" s="54" t="s">
        <v>39</v>
      </c>
      <c r="BN204" s="54" t="s">
        <v>39</v>
      </c>
      <c r="BO204" s="54" t="s">
        <v>39</v>
      </c>
      <c r="BP204" s="54" t="s">
        <v>39</v>
      </c>
      <c r="BQ204" s="54" t="s">
        <v>39</v>
      </c>
      <c r="BR204" s="54" t="s">
        <v>39</v>
      </c>
      <c r="BS204" s="54" t="s">
        <v>39</v>
      </c>
      <c r="BT204" s="54" t="s">
        <v>39</v>
      </c>
    </row>
    <row r="205" spans="1:72" s="2" customFormat="1" ht="9" customHeight="1">
      <c r="A205" s="95" t="s">
        <v>688</v>
      </c>
      <c r="B205" s="94" t="s">
        <v>5088</v>
      </c>
      <c r="C205" s="94" t="s">
        <v>5088</v>
      </c>
      <c r="D205" s="94" t="s">
        <v>39</v>
      </c>
      <c r="E205" s="94"/>
      <c r="F205" s="95" t="s">
        <v>688</v>
      </c>
      <c r="G205" s="94"/>
      <c r="H205" s="94" t="s">
        <v>39</v>
      </c>
      <c r="I205" s="94" t="s">
        <v>39</v>
      </c>
      <c r="J205" s="94" t="s">
        <v>39</v>
      </c>
      <c r="K205" s="94" t="s">
        <v>39</v>
      </c>
      <c r="L205" s="94"/>
      <c r="M205" s="94" t="s">
        <v>39</v>
      </c>
      <c r="N205" s="94" t="s">
        <v>39</v>
      </c>
      <c r="O205" s="94" t="s">
        <v>2787</v>
      </c>
      <c r="P205" s="94" t="s">
        <v>2787</v>
      </c>
      <c r="Q205" s="94" t="s">
        <v>39</v>
      </c>
      <c r="R205" s="94" t="s">
        <v>39</v>
      </c>
      <c r="S205" s="94" t="s">
        <v>1893</v>
      </c>
      <c r="T205" s="94" t="s">
        <v>39</v>
      </c>
      <c r="U205" s="94" t="s">
        <v>39</v>
      </c>
      <c r="V205" s="94" t="s">
        <v>39</v>
      </c>
      <c r="W205" s="94" t="s">
        <v>39</v>
      </c>
      <c r="X205" s="94" t="s">
        <v>39</v>
      </c>
      <c r="Y205" s="94" t="s">
        <v>39</v>
      </c>
      <c r="Z205" s="94" t="s">
        <v>39</v>
      </c>
      <c r="AA205" s="94" t="s">
        <v>4039</v>
      </c>
      <c r="AB205" s="94" t="s">
        <v>4039</v>
      </c>
      <c r="AC205" s="94" t="s">
        <v>39</v>
      </c>
      <c r="AD205" s="94" t="s">
        <v>39</v>
      </c>
      <c r="AE205" s="94" t="s">
        <v>39</v>
      </c>
      <c r="AF205" s="94" t="s">
        <v>39</v>
      </c>
      <c r="AG205" s="94" t="s">
        <v>4200</v>
      </c>
      <c r="AH205" s="94" t="s">
        <v>39</v>
      </c>
      <c r="AI205" s="94" t="s">
        <v>39</v>
      </c>
      <c r="AJ205" s="94" t="s">
        <v>39</v>
      </c>
      <c r="AK205" s="94" t="s">
        <v>39</v>
      </c>
      <c r="AL205" s="94" t="s">
        <v>39</v>
      </c>
      <c r="AM205" s="94" t="s">
        <v>39</v>
      </c>
      <c r="AN205" s="94"/>
      <c r="AO205" s="94" t="s">
        <v>1283</v>
      </c>
      <c r="AP205" s="94" t="s">
        <v>1322</v>
      </c>
      <c r="AQ205" s="94" t="s">
        <v>39</v>
      </c>
      <c r="AR205" s="94" t="s">
        <v>39</v>
      </c>
      <c r="AS205" s="94" t="s">
        <v>39</v>
      </c>
      <c r="AT205" s="94" t="s">
        <v>3574</v>
      </c>
      <c r="AU205" s="94" t="s">
        <v>3574</v>
      </c>
      <c r="AV205" s="94" t="s">
        <v>3515</v>
      </c>
      <c r="AW205" s="94" t="s">
        <v>3515</v>
      </c>
      <c r="AX205" s="94"/>
      <c r="AY205" s="94"/>
      <c r="AZ205" s="94"/>
      <c r="BA205" s="94" t="s">
        <v>39</v>
      </c>
      <c r="BB205" s="94" t="s">
        <v>39</v>
      </c>
      <c r="BC205" s="94"/>
      <c r="BD205" s="94" t="s">
        <v>39</v>
      </c>
      <c r="BE205" s="94" t="s">
        <v>39</v>
      </c>
      <c r="BF205" s="94" t="s">
        <v>39</v>
      </c>
      <c r="BG205" s="94" t="s">
        <v>1705</v>
      </c>
      <c r="BH205" s="94" t="s">
        <v>39</v>
      </c>
      <c r="BI205" s="94" t="s">
        <v>39</v>
      </c>
      <c r="BJ205" s="94" t="s">
        <v>39</v>
      </c>
      <c r="BK205" s="94" t="s">
        <v>39</v>
      </c>
      <c r="BL205" s="94" t="s">
        <v>39</v>
      </c>
      <c r="BM205" s="94" t="s">
        <v>39</v>
      </c>
      <c r="BN205" s="94" t="s">
        <v>39</v>
      </c>
      <c r="BO205" s="94" t="s">
        <v>39</v>
      </c>
      <c r="BP205" s="94" t="s">
        <v>39</v>
      </c>
      <c r="BQ205" s="94" t="s">
        <v>39</v>
      </c>
      <c r="BR205" s="94" t="s">
        <v>39</v>
      </c>
      <c r="BS205" s="94" t="s">
        <v>39</v>
      </c>
      <c r="BT205" s="94"/>
    </row>
    <row r="206" spans="1:72" s="14" customFormat="1" ht="45">
      <c r="A206" s="53" t="s">
        <v>6063</v>
      </c>
      <c r="B206" s="54" t="s">
        <v>6066</v>
      </c>
      <c r="C206" s="54" t="s">
        <v>6066</v>
      </c>
      <c r="D206" s="54" t="s">
        <v>39</v>
      </c>
      <c r="E206" s="54"/>
      <c r="F206" s="53" t="s">
        <v>141</v>
      </c>
      <c r="G206" s="54" t="s">
        <v>277</v>
      </c>
      <c r="H206" s="54" t="s">
        <v>2760</v>
      </c>
      <c r="I206" s="54" t="s">
        <v>2760</v>
      </c>
      <c r="J206" s="54" t="s">
        <v>1967</v>
      </c>
      <c r="K206" s="54" t="s">
        <v>1967</v>
      </c>
      <c r="L206" s="54" t="s">
        <v>357</v>
      </c>
      <c r="M206" s="123" t="s">
        <v>2093</v>
      </c>
      <c r="N206" s="54" t="s">
        <v>2706</v>
      </c>
      <c r="O206" s="54" t="s">
        <v>2760</v>
      </c>
      <c r="P206" s="54" t="s">
        <v>2760</v>
      </c>
      <c r="Q206" s="54" t="s">
        <v>39</v>
      </c>
      <c r="R206" s="54" t="s">
        <v>39</v>
      </c>
      <c r="S206" s="54" t="s">
        <v>39</v>
      </c>
      <c r="T206" s="54" t="s">
        <v>672</v>
      </c>
      <c r="U206" s="54" t="s">
        <v>39</v>
      </c>
      <c r="V206" s="54" t="s">
        <v>39</v>
      </c>
      <c r="W206" s="54" t="s">
        <v>39</v>
      </c>
      <c r="X206" s="54" t="s">
        <v>39</v>
      </c>
      <c r="Y206" s="54" t="s">
        <v>39</v>
      </c>
      <c r="Z206" s="123" t="s">
        <v>39</v>
      </c>
      <c r="AA206" s="123" t="s">
        <v>4033</v>
      </c>
      <c r="AB206" s="123" t="s">
        <v>4033</v>
      </c>
      <c r="AC206" s="54" t="s">
        <v>2952</v>
      </c>
      <c r="AD206" s="54" t="s">
        <v>39</v>
      </c>
      <c r="AE206" s="54" t="s">
        <v>3936</v>
      </c>
      <c r="AF206" s="54" t="s">
        <v>3937</v>
      </c>
      <c r="AG206" s="54" t="s">
        <v>4211</v>
      </c>
      <c r="AH206" s="54" t="s">
        <v>3693</v>
      </c>
      <c r="AI206" s="54" t="s">
        <v>39</v>
      </c>
      <c r="AJ206" s="54" t="s">
        <v>731</v>
      </c>
      <c r="AK206" s="54" t="s">
        <v>731</v>
      </c>
      <c r="AL206" s="54" t="s">
        <v>731</v>
      </c>
      <c r="AM206" s="54" t="s">
        <v>39</v>
      </c>
      <c r="AN206" s="54" t="s">
        <v>39</v>
      </c>
      <c r="AO206" s="54" t="s">
        <v>2543</v>
      </c>
      <c r="AP206" s="54" t="s">
        <v>2494</v>
      </c>
      <c r="AQ206" s="73" t="s">
        <v>39</v>
      </c>
      <c r="AR206" s="54" t="s">
        <v>479</v>
      </c>
      <c r="AS206" s="54" t="s">
        <v>480</v>
      </c>
      <c r="AT206" s="54" t="s">
        <v>3578</v>
      </c>
      <c r="AU206" s="54" t="s">
        <v>3442</v>
      </c>
      <c r="AV206" s="54" t="s">
        <v>3430</v>
      </c>
      <c r="AW206" s="54" t="s">
        <v>3442</v>
      </c>
      <c r="AX206" s="54" t="s">
        <v>39</v>
      </c>
      <c r="AY206" s="54" t="s">
        <v>39</v>
      </c>
      <c r="AZ206" s="54" t="s">
        <v>39</v>
      </c>
      <c r="BA206" s="54" t="s">
        <v>39</v>
      </c>
      <c r="BB206" s="54" t="s">
        <v>1478</v>
      </c>
      <c r="BC206" s="54" t="s">
        <v>39</v>
      </c>
      <c r="BD206" s="54" t="s">
        <v>39</v>
      </c>
      <c r="BE206" s="54" t="s">
        <v>39</v>
      </c>
      <c r="BF206" s="54" t="s">
        <v>2595</v>
      </c>
      <c r="BG206" s="54" t="s">
        <v>2760</v>
      </c>
      <c r="BH206" s="54" t="s">
        <v>399</v>
      </c>
      <c r="BI206" s="54" t="s">
        <v>399</v>
      </c>
      <c r="BJ206" s="54" t="s">
        <v>1356</v>
      </c>
      <c r="BK206" s="54" t="s">
        <v>1279</v>
      </c>
      <c r="BL206" s="54" t="s">
        <v>2974</v>
      </c>
      <c r="BM206" s="54" t="s">
        <v>3246</v>
      </c>
      <c r="BN206" s="54" t="s">
        <v>3246</v>
      </c>
      <c r="BO206" s="54" t="s">
        <v>192</v>
      </c>
      <c r="BP206" s="54" t="s">
        <v>192</v>
      </c>
      <c r="BQ206" s="54" t="s">
        <v>2194</v>
      </c>
      <c r="BR206" s="54" t="s">
        <v>926</v>
      </c>
      <c r="BS206" s="54" t="s">
        <v>926</v>
      </c>
      <c r="BT206" s="54" t="s">
        <v>437</v>
      </c>
    </row>
    <row r="207" spans="1:72" s="2" customFormat="1" ht="9" customHeight="1">
      <c r="A207" s="95" t="s">
        <v>688</v>
      </c>
      <c r="B207" s="94" t="s">
        <v>5091</v>
      </c>
      <c r="C207" s="94" t="s">
        <v>5091</v>
      </c>
      <c r="D207" s="94" t="s">
        <v>39</v>
      </c>
      <c r="E207" s="94"/>
      <c r="F207" s="95" t="s">
        <v>688</v>
      </c>
      <c r="G207" s="94"/>
      <c r="H207" s="94" t="s">
        <v>3175</v>
      </c>
      <c r="I207" s="94" t="s">
        <v>3169</v>
      </c>
      <c r="J207" s="94" t="s">
        <v>1943</v>
      </c>
      <c r="K207" s="94" t="s">
        <v>1966</v>
      </c>
      <c r="L207" s="94"/>
      <c r="M207" s="94" t="s">
        <v>2671</v>
      </c>
      <c r="N207" s="94" t="s">
        <v>2705</v>
      </c>
      <c r="O207" s="94" t="s">
        <v>2752</v>
      </c>
      <c r="P207" s="94" t="s">
        <v>1242</v>
      </c>
      <c r="Q207" s="94" t="s">
        <v>39</v>
      </c>
      <c r="R207" s="94" t="s">
        <v>39</v>
      </c>
      <c r="S207" s="94" t="s">
        <v>39</v>
      </c>
      <c r="T207" s="94" t="s">
        <v>2804</v>
      </c>
      <c r="U207" s="94" t="s">
        <v>39</v>
      </c>
      <c r="V207" s="94" t="s">
        <v>39</v>
      </c>
      <c r="W207" s="94" t="s">
        <v>39</v>
      </c>
      <c r="X207" s="94" t="s">
        <v>39</v>
      </c>
      <c r="Y207" s="94" t="s">
        <v>39</v>
      </c>
      <c r="Z207" s="94" t="s">
        <v>39</v>
      </c>
      <c r="AA207" s="94" t="s">
        <v>4039</v>
      </c>
      <c r="AB207" s="94" t="s">
        <v>4039</v>
      </c>
      <c r="AC207" s="94" t="s">
        <v>828</v>
      </c>
      <c r="AD207" s="94" t="s">
        <v>39</v>
      </c>
      <c r="AE207" s="94" t="s">
        <v>3938</v>
      </c>
      <c r="AF207" s="94" t="s">
        <v>3939</v>
      </c>
      <c r="AG207" s="94" t="s">
        <v>4212</v>
      </c>
      <c r="AH207" s="94" t="s">
        <v>1238</v>
      </c>
      <c r="AI207" s="94" t="s">
        <v>39</v>
      </c>
      <c r="AJ207" s="94" t="s">
        <v>2404</v>
      </c>
      <c r="AK207" s="94" t="s">
        <v>2360</v>
      </c>
      <c r="AL207" s="94" t="s">
        <v>2296</v>
      </c>
      <c r="AM207" s="94" t="s">
        <v>39</v>
      </c>
      <c r="AN207" s="94"/>
      <c r="AO207" s="94" t="s">
        <v>2541</v>
      </c>
      <c r="AP207" s="94" t="s">
        <v>1326</v>
      </c>
      <c r="AQ207" s="94" t="s">
        <v>39</v>
      </c>
      <c r="AR207" s="94" t="s">
        <v>3341</v>
      </c>
      <c r="AS207" s="94" t="s">
        <v>3300</v>
      </c>
      <c r="AT207" s="94" t="s">
        <v>3577</v>
      </c>
      <c r="AU207" s="94" t="s">
        <v>3613</v>
      </c>
      <c r="AV207" s="94" t="s">
        <v>3519</v>
      </c>
      <c r="AW207" s="94" t="s">
        <v>3612</v>
      </c>
      <c r="AX207" s="94"/>
      <c r="AY207" s="94"/>
      <c r="AZ207" s="94"/>
      <c r="BA207" s="94" t="s">
        <v>39</v>
      </c>
      <c r="BB207" s="94" t="s">
        <v>1477</v>
      </c>
      <c r="BC207" s="94"/>
      <c r="BD207" s="94" t="s">
        <v>39</v>
      </c>
      <c r="BE207" s="94" t="s">
        <v>39</v>
      </c>
      <c r="BF207" s="94" t="s">
        <v>2614</v>
      </c>
      <c r="BG207" s="94" t="s">
        <v>2867</v>
      </c>
      <c r="BH207" s="94" t="s">
        <v>856</v>
      </c>
      <c r="BI207" s="94" t="s">
        <v>856</v>
      </c>
      <c r="BJ207" s="94" t="s">
        <v>1278</v>
      </c>
      <c r="BK207" s="94" t="s">
        <v>1278</v>
      </c>
      <c r="BL207" s="94" t="s">
        <v>2975</v>
      </c>
      <c r="BM207" s="94" t="s">
        <v>3244</v>
      </c>
      <c r="BN207" s="94" t="s">
        <v>3245</v>
      </c>
      <c r="BO207" s="94" t="s">
        <v>2134</v>
      </c>
      <c r="BP207" s="94" t="s">
        <v>2134</v>
      </c>
      <c r="BQ207" s="94" t="s">
        <v>2200</v>
      </c>
      <c r="BR207" s="94" t="s">
        <v>1630</v>
      </c>
      <c r="BS207" s="94" t="s">
        <v>1630</v>
      </c>
      <c r="BT207" s="94"/>
    </row>
    <row r="208" spans="1:72" s="117" customFormat="1" ht="18">
      <c r="A208" s="53" t="s">
        <v>142</v>
      </c>
      <c r="B208" s="54" t="s">
        <v>5003</v>
      </c>
      <c r="C208" s="54" t="s">
        <v>5003</v>
      </c>
      <c r="D208" s="54" t="s">
        <v>39</v>
      </c>
      <c r="E208" s="54"/>
      <c r="F208" s="53" t="s">
        <v>142</v>
      </c>
      <c r="G208" s="54" t="s">
        <v>39</v>
      </c>
      <c r="H208" s="48" t="s">
        <v>39</v>
      </c>
      <c r="I208" s="48" t="s">
        <v>39</v>
      </c>
      <c r="J208" s="54" t="s">
        <v>1941</v>
      </c>
      <c r="K208" s="54" t="s">
        <v>1941</v>
      </c>
      <c r="L208" s="54" t="s">
        <v>39</v>
      </c>
      <c r="M208" s="123" t="s">
        <v>2092</v>
      </c>
      <c r="N208" s="54" t="s">
        <v>2703</v>
      </c>
      <c r="O208" s="54" t="s">
        <v>39</v>
      </c>
      <c r="P208" s="54" t="s">
        <v>39</v>
      </c>
      <c r="Q208" s="54" t="s">
        <v>39</v>
      </c>
      <c r="R208" s="54" t="s">
        <v>39</v>
      </c>
      <c r="S208" s="54" t="s">
        <v>39</v>
      </c>
      <c r="T208" s="54" t="s">
        <v>672</v>
      </c>
      <c r="U208" s="54" t="s">
        <v>39</v>
      </c>
      <c r="V208" s="54" t="s">
        <v>39</v>
      </c>
      <c r="W208" s="54" t="s">
        <v>39</v>
      </c>
      <c r="X208" s="54" t="s">
        <v>39</v>
      </c>
      <c r="Y208" s="54" t="s">
        <v>39</v>
      </c>
      <c r="Z208" s="123" t="s">
        <v>39</v>
      </c>
      <c r="AA208" s="123" t="s">
        <v>39</v>
      </c>
      <c r="AB208" s="123" t="s">
        <v>39</v>
      </c>
      <c r="AC208" s="54" t="s">
        <v>39</v>
      </c>
      <c r="AD208" s="54" t="s">
        <v>39</v>
      </c>
      <c r="AE208" s="54" t="s">
        <v>39</v>
      </c>
      <c r="AF208" s="54" t="s">
        <v>39</v>
      </c>
      <c r="AG208" s="54" t="s">
        <v>4209</v>
      </c>
      <c r="AH208" s="54" t="s">
        <v>39</v>
      </c>
      <c r="AI208" s="54" t="s">
        <v>39</v>
      </c>
      <c r="AJ208" s="54" t="s">
        <v>39</v>
      </c>
      <c r="AK208" s="54" t="s">
        <v>39</v>
      </c>
      <c r="AL208" s="54" t="s">
        <v>39</v>
      </c>
      <c r="AM208" s="54" t="s">
        <v>39</v>
      </c>
      <c r="AN208" s="54" t="s">
        <v>39</v>
      </c>
      <c r="AO208" s="54" t="s">
        <v>2496</v>
      </c>
      <c r="AP208" s="54" t="s">
        <v>2496</v>
      </c>
      <c r="AQ208" s="73" t="s">
        <v>39</v>
      </c>
      <c r="AR208" s="54" t="s">
        <v>39</v>
      </c>
      <c r="AS208" s="54" t="s">
        <v>39</v>
      </c>
      <c r="AT208" s="54" t="s">
        <v>39</v>
      </c>
      <c r="AU208" s="54" t="s">
        <v>39</v>
      </c>
      <c r="AV208" s="54" t="s">
        <v>39</v>
      </c>
      <c r="AW208" s="54" t="s">
        <v>39</v>
      </c>
      <c r="AX208" s="54" t="s">
        <v>39</v>
      </c>
      <c r="AY208" s="54" t="s">
        <v>39</v>
      </c>
      <c r="AZ208" s="54" t="s">
        <v>39</v>
      </c>
      <c r="BA208" s="54" t="s">
        <v>39</v>
      </c>
      <c r="BB208" s="54" t="s">
        <v>39</v>
      </c>
      <c r="BC208" s="54" t="s">
        <v>39</v>
      </c>
      <c r="BD208" s="54" t="s">
        <v>2908</v>
      </c>
      <c r="BE208" s="54" t="s">
        <v>39</v>
      </c>
      <c r="BF208" s="48" t="s">
        <v>39</v>
      </c>
      <c r="BG208" s="54" t="s">
        <v>39</v>
      </c>
      <c r="BH208" s="54" t="s">
        <v>39</v>
      </c>
      <c r="BI208" s="54" t="s">
        <v>39</v>
      </c>
      <c r="BJ208" s="54" t="s">
        <v>39</v>
      </c>
      <c r="BK208" s="54" t="s">
        <v>39</v>
      </c>
      <c r="BL208" s="54" t="s">
        <v>39</v>
      </c>
      <c r="BM208" s="54" t="s">
        <v>39</v>
      </c>
      <c r="BN208" s="54" t="s">
        <v>39</v>
      </c>
      <c r="BO208" s="54" t="s">
        <v>39</v>
      </c>
      <c r="BP208" s="54" t="s">
        <v>39</v>
      </c>
      <c r="BQ208" s="54" t="s">
        <v>2232</v>
      </c>
      <c r="BR208" s="54" t="s">
        <v>1635</v>
      </c>
      <c r="BS208" s="54" t="s">
        <v>1635</v>
      </c>
      <c r="BT208" s="54" t="s">
        <v>39</v>
      </c>
    </row>
    <row r="209" spans="1:72" s="2" customFormat="1" ht="9" customHeight="1">
      <c r="A209" s="95" t="s">
        <v>688</v>
      </c>
      <c r="B209" s="94" t="s">
        <v>5092</v>
      </c>
      <c r="C209" s="94" t="s">
        <v>5092</v>
      </c>
      <c r="D209" s="94" t="s">
        <v>39</v>
      </c>
      <c r="E209" s="94"/>
      <c r="F209" s="95" t="s">
        <v>688</v>
      </c>
      <c r="G209" s="94"/>
      <c r="H209" s="94" t="s">
        <v>39</v>
      </c>
      <c r="I209" s="94" t="s">
        <v>39</v>
      </c>
      <c r="J209" s="94" t="s">
        <v>1942</v>
      </c>
      <c r="K209" s="94" t="s">
        <v>1965</v>
      </c>
      <c r="L209" s="94"/>
      <c r="M209" s="94" t="s">
        <v>2671</v>
      </c>
      <c r="N209" s="94" t="s">
        <v>2704</v>
      </c>
      <c r="O209" s="94" t="s">
        <v>39</v>
      </c>
      <c r="P209" s="94" t="s">
        <v>39</v>
      </c>
      <c r="Q209" s="94" t="s">
        <v>39</v>
      </c>
      <c r="R209" s="94" t="s">
        <v>39</v>
      </c>
      <c r="S209" s="94" t="s">
        <v>39</v>
      </c>
      <c r="T209" s="94" t="s">
        <v>2804</v>
      </c>
      <c r="U209" s="94" t="s">
        <v>39</v>
      </c>
      <c r="V209" s="94" t="s">
        <v>39</v>
      </c>
      <c r="W209" s="94" t="s">
        <v>39</v>
      </c>
      <c r="X209" s="94" t="s">
        <v>39</v>
      </c>
      <c r="Y209" s="94" t="s">
        <v>39</v>
      </c>
      <c r="Z209" s="94" t="s">
        <v>39</v>
      </c>
      <c r="AA209" s="94" t="s">
        <v>39</v>
      </c>
      <c r="AB209" s="94" t="s">
        <v>39</v>
      </c>
      <c r="AC209" s="94" t="s">
        <v>39</v>
      </c>
      <c r="AD209" s="94" t="s">
        <v>39</v>
      </c>
      <c r="AE209" s="94" t="s">
        <v>39</v>
      </c>
      <c r="AF209" s="94" t="s">
        <v>39</v>
      </c>
      <c r="AG209" s="94"/>
      <c r="AH209" s="94" t="s">
        <v>39</v>
      </c>
      <c r="AI209" s="94" t="s">
        <v>39</v>
      </c>
      <c r="AJ209" s="94" t="s">
        <v>39</v>
      </c>
      <c r="AK209" s="94" t="s">
        <v>39</v>
      </c>
      <c r="AL209" s="94" t="s">
        <v>39</v>
      </c>
      <c r="AM209" s="94" t="s">
        <v>39</v>
      </c>
      <c r="AN209" s="94"/>
      <c r="AO209" s="94" t="s">
        <v>2542</v>
      </c>
      <c r="AP209" s="94" t="s">
        <v>2495</v>
      </c>
      <c r="AQ209" s="94" t="s">
        <v>39</v>
      </c>
      <c r="AR209" s="94" t="s">
        <v>39</v>
      </c>
      <c r="AS209" s="94" t="s">
        <v>39</v>
      </c>
      <c r="AT209" s="94" t="s">
        <v>39</v>
      </c>
      <c r="AU209" s="94" t="s">
        <v>39</v>
      </c>
      <c r="AV209" s="94" t="s">
        <v>39</v>
      </c>
      <c r="AW209" s="94" t="s">
        <v>39</v>
      </c>
      <c r="AX209" s="94"/>
      <c r="AY209" s="94"/>
      <c r="AZ209" s="94"/>
      <c r="BA209" s="94" t="s">
        <v>39</v>
      </c>
      <c r="BB209" s="94" t="s">
        <v>39</v>
      </c>
      <c r="BC209" s="94"/>
      <c r="BD209" s="94" t="s">
        <v>2909</v>
      </c>
      <c r="BE209" s="94" t="s">
        <v>39</v>
      </c>
      <c r="BF209" s="94" t="s">
        <v>39</v>
      </c>
      <c r="BG209" s="94" t="s">
        <v>39</v>
      </c>
      <c r="BH209" s="94" t="s">
        <v>39</v>
      </c>
      <c r="BI209" s="94" t="s">
        <v>39</v>
      </c>
      <c r="BJ209" s="94" t="s">
        <v>39</v>
      </c>
      <c r="BK209" s="94" t="s">
        <v>39</v>
      </c>
      <c r="BL209" s="94" t="s">
        <v>39</v>
      </c>
      <c r="BM209" s="94" t="s">
        <v>39</v>
      </c>
      <c r="BN209" s="94" t="s">
        <v>39</v>
      </c>
      <c r="BO209" s="94" t="s">
        <v>39</v>
      </c>
      <c r="BP209" s="94" t="s">
        <v>39</v>
      </c>
      <c r="BQ209" s="94" t="s">
        <v>2231</v>
      </c>
      <c r="BR209" s="94" t="s">
        <v>1634</v>
      </c>
      <c r="BS209" s="94" t="s">
        <v>1634</v>
      </c>
      <c r="BT209" s="94"/>
    </row>
    <row r="210" spans="1:72" s="2" customFormat="1" ht="36">
      <c r="A210" s="187" t="s">
        <v>5504</v>
      </c>
      <c r="B210" s="54" t="s">
        <v>5503</v>
      </c>
      <c r="C210" s="54" t="s">
        <v>5503</v>
      </c>
      <c r="D210" s="54" t="s">
        <v>39</v>
      </c>
      <c r="E210" s="54"/>
      <c r="F210" s="187" t="s">
        <v>5501</v>
      </c>
      <c r="G210" s="189"/>
      <c r="H210" s="189"/>
      <c r="I210" s="189"/>
      <c r="J210" s="54" t="s">
        <v>1941</v>
      </c>
      <c r="K210" s="54" t="s">
        <v>1941</v>
      </c>
      <c r="L210" s="189"/>
      <c r="M210" s="123" t="s">
        <v>2092</v>
      </c>
      <c r="N210" s="189"/>
      <c r="O210" s="189"/>
      <c r="P210" s="189"/>
      <c r="Q210" s="189"/>
      <c r="R210" s="189"/>
      <c r="S210" s="189"/>
      <c r="T210" s="54" t="s">
        <v>672</v>
      </c>
      <c r="U210" s="189"/>
      <c r="V210" s="189"/>
      <c r="W210" s="189"/>
      <c r="X210" s="189"/>
      <c r="Y210" s="54" t="s">
        <v>3726</v>
      </c>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89"/>
      <c r="BO210" s="54"/>
      <c r="BP210" s="54"/>
      <c r="BQ210" s="189"/>
      <c r="BR210" s="189"/>
      <c r="BS210" s="189"/>
      <c r="BT210" s="189"/>
    </row>
    <row r="211" spans="1:72" s="2" customFormat="1" ht="9" customHeight="1">
      <c r="A211" s="95" t="s">
        <v>688</v>
      </c>
      <c r="B211" s="94" t="s">
        <v>5505</v>
      </c>
      <c r="C211" s="94" t="s">
        <v>5505</v>
      </c>
      <c r="D211" s="94" t="s">
        <v>39</v>
      </c>
      <c r="E211" s="94"/>
      <c r="F211" s="95" t="s">
        <v>688</v>
      </c>
      <c r="G211" s="94"/>
      <c r="H211" s="94"/>
      <c r="I211" s="94"/>
      <c r="J211" s="94" t="s">
        <v>1942</v>
      </c>
      <c r="K211" s="94" t="s">
        <v>1942</v>
      </c>
      <c r="L211" s="94"/>
      <c r="M211" s="94" t="s">
        <v>2671</v>
      </c>
      <c r="N211" s="94"/>
      <c r="O211" s="94"/>
      <c r="P211" s="94"/>
      <c r="Q211" s="94"/>
      <c r="R211" s="94"/>
      <c r="S211" s="94"/>
      <c r="T211" s="94" t="s">
        <v>2804</v>
      </c>
      <c r="U211" s="94"/>
      <c r="V211" s="94"/>
      <c r="W211" s="94"/>
      <c r="X211" s="94"/>
      <c r="Y211" s="94" t="s">
        <v>3723</v>
      </c>
      <c r="Z211" s="94"/>
      <c r="AA211" s="94"/>
      <c r="AB211" s="94"/>
      <c r="AC211" s="94"/>
      <c r="AD211" s="94"/>
      <c r="AE211" s="94"/>
      <c r="AF211" s="94"/>
      <c r="AG211" s="94"/>
      <c r="AH211" s="94"/>
      <c r="AI211" s="94"/>
      <c r="AJ211" s="94"/>
      <c r="AK211" s="94"/>
      <c r="AL211" s="94"/>
      <c r="AM211" s="94"/>
      <c r="AN211" s="94"/>
      <c r="AO211" s="94"/>
      <c r="AP211" s="94"/>
      <c r="AQ211" s="94"/>
      <c r="AR211" s="94"/>
      <c r="AS211" s="94"/>
      <c r="AT211" s="94"/>
      <c r="AU211" s="94"/>
      <c r="AV211" s="94"/>
      <c r="AW211" s="94"/>
      <c r="AX211" s="94"/>
      <c r="AY211" s="94"/>
      <c r="AZ211" s="94"/>
      <c r="BA211" s="94"/>
      <c r="BB211" s="94"/>
      <c r="BC211" s="94"/>
      <c r="BD211" s="94"/>
      <c r="BE211" s="94"/>
      <c r="BF211" s="94"/>
      <c r="BG211" s="94"/>
      <c r="BH211" s="94"/>
      <c r="BI211" s="94"/>
      <c r="BJ211" s="94"/>
      <c r="BK211" s="94"/>
      <c r="BL211" s="94"/>
      <c r="BM211" s="94"/>
      <c r="BN211" s="94"/>
      <c r="BO211" s="94"/>
      <c r="BP211" s="94"/>
      <c r="BQ211" s="94"/>
      <c r="BR211" s="94"/>
      <c r="BS211" s="94"/>
      <c r="BT211" s="94"/>
    </row>
    <row r="212" spans="1:72" s="14" customFormat="1" ht="27">
      <c r="A212" s="53" t="s">
        <v>4896</v>
      </c>
      <c r="B212" s="54" t="s">
        <v>5093</v>
      </c>
      <c r="C212" s="54" t="s">
        <v>5093</v>
      </c>
      <c r="D212" s="54" t="s">
        <v>24</v>
      </c>
      <c r="E212" s="54"/>
      <c r="F212" s="53" t="s">
        <v>154</v>
      </c>
      <c r="G212" s="54" t="s">
        <v>268</v>
      </c>
      <c r="H212" s="54" t="s">
        <v>3088</v>
      </c>
      <c r="I212" s="54" t="s">
        <v>3087</v>
      </c>
      <c r="J212" s="54" t="s">
        <v>1917</v>
      </c>
      <c r="K212" s="54" t="s">
        <v>1917</v>
      </c>
      <c r="L212" s="54" t="s">
        <v>39</v>
      </c>
      <c r="M212" s="123" t="s">
        <v>2089</v>
      </c>
      <c r="N212" s="54" t="s">
        <v>2707</v>
      </c>
      <c r="O212" s="54" t="s">
        <v>2758</v>
      </c>
      <c r="P212" s="54" t="s">
        <v>2758</v>
      </c>
      <c r="Q212" s="54" t="s">
        <v>3052</v>
      </c>
      <c r="R212" s="54" t="s">
        <v>3052</v>
      </c>
      <c r="S212" s="54" t="s">
        <v>1407</v>
      </c>
      <c r="T212" s="54" t="s">
        <v>671</v>
      </c>
      <c r="U212" s="54" t="s">
        <v>3821</v>
      </c>
      <c r="V212" s="54" t="s">
        <v>39</v>
      </c>
      <c r="W212" s="54" t="s">
        <v>1667</v>
      </c>
      <c r="X212" s="54" t="s">
        <v>39</v>
      </c>
      <c r="Y212" s="54" t="s">
        <v>3725</v>
      </c>
      <c r="Z212" s="123" t="s">
        <v>316</v>
      </c>
      <c r="AA212" s="123" t="s">
        <v>316</v>
      </c>
      <c r="AB212" s="123" t="s">
        <v>316</v>
      </c>
      <c r="AC212" s="54" t="s">
        <v>823</v>
      </c>
      <c r="AD212" s="54" t="s">
        <v>39</v>
      </c>
      <c r="AE212" s="54" t="s">
        <v>3943</v>
      </c>
      <c r="AF212" s="54" t="s">
        <v>3944</v>
      </c>
      <c r="AG212" s="54" t="s">
        <v>4214</v>
      </c>
      <c r="AH212" s="54" t="s">
        <v>3661</v>
      </c>
      <c r="AI212" s="54" t="s">
        <v>39</v>
      </c>
      <c r="AJ212" s="54" t="s">
        <v>2398</v>
      </c>
      <c r="AK212" s="54" t="s">
        <v>2355</v>
      </c>
      <c r="AL212" s="54" t="s">
        <v>734</v>
      </c>
      <c r="AM212" s="54" t="s">
        <v>39</v>
      </c>
      <c r="AN212" s="54" t="s">
        <v>165</v>
      </c>
      <c r="AO212" s="54" t="s">
        <v>186</v>
      </c>
      <c r="AP212" s="54" t="s">
        <v>2499</v>
      </c>
      <c r="AQ212" s="54" t="s">
        <v>24</v>
      </c>
      <c r="AR212" s="54" t="s">
        <v>473</v>
      </c>
      <c r="AS212" s="54" t="s">
        <v>305</v>
      </c>
      <c r="AT212" s="54" t="s">
        <v>3616</v>
      </c>
      <c r="AU212" s="54" t="s">
        <v>3615</v>
      </c>
      <c r="AV212" s="54" t="s">
        <v>3614</v>
      </c>
      <c r="AW212" s="54" t="s">
        <v>3614</v>
      </c>
      <c r="AX212" s="54" t="s">
        <v>39</v>
      </c>
      <c r="AY212" s="54" t="s">
        <v>245</v>
      </c>
      <c r="AZ212" s="54" t="s">
        <v>39</v>
      </c>
      <c r="BA212" s="54" t="s">
        <v>39</v>
      </c>
      <c r="BB212" s="54" t="s">
        <v>1480</v>
      </c>
      <c r="BC212" s="54" t="s">
        <v>369</v>
      </c>
      <c r="BD212" s="54" t="s">
        <v>2885</v>
      </c>
      <c r="BE212" s="54" t="s">
        <v>39</v>
      </c>
      <c r="BF212" s="54" t="s">
        <v>93</v>
      </c>
      <c r="BG212" s="54" t="s">
        <v>2758</v>
      </c>
      <c r="BH212" s="54" t="s">
        <v>2930</v>
      </c>
      <c r="BI212" s="54" t="s">
        <v>2930</v>
      </c>
      <c r="BJ212" s="54" t="s">
        <v>1355</v>
      </c>
      <c r="BK212" s="54" t="s">
        <v>1277</v>
      </c>
      <c r="BL212" s="54" t="s">
        <v>783</v>
      </c>
      <c r="BM212" s="54" t="s">
        <v>3189</v>
      </c>
      <c r="BN212" s="54" t="s">
        <v>3189</v>
      </c>
      <c r="BO212" s="54" t="s">
        <v>193</v>
      </c>
      <c r="BP212" s="54" t="s">
        <v>193</v>
      </c>
      <c r="BQ212" s="54" t="s">
        <v>2203</v>
      </c>
      <c r="BR212" s="54" t="s">
        <v>924</v>
      </c>
      <c r="BS212" s="54" t="s">
        <v>924</v>
      </c>
      <c r="BT212" s="54" t="s">
        <v>446</v>
      </c>
    </row>
    <row r="213" spans="1:72" s="2" customFormat="1" ht="9" customHeight="1">
      <c r="A213" s="95" t="s">
        <v>688</v>
      </c>
      <c r="B213" s="94" t="s">
        <v>5094</v>
      </c>
      <c r="C213" s="94" t="s">
        <v>5094</v>
      </c>
      <c r="D213" s="94" t="s">
        <v>4894</v>
      </c>
      <c r="E213" s="94"/>
      <c r="F213" s="95" t="s">
        <v>688</v>
      </c>
      <c r="G213" s="94"/>
      <c r="H213" s="94" t="s">
        <v>3174</v>
      </c>
      <c r="I213" s="94" t="s">
        <v>3173</v>
      </c>
      <c r="J213" s="94" t="s">
        <v>1944</v>
      </c>
      <c r="K213" s="94" t="s">
        <v>1968</v>
      </c>
      <c r="L213" s="94"/>
      <c r="M213" s="94" t="s">
        <v>2674</v>
      </c>
      <c r="N213" s="94" t="s">
        <v>2708</v>
      </c>
      <c r="O213" s="94" t="s">
        <v>2778</v>
      </c>
      <c r="P213" s="94" t="s">
        <v>1237</v>
      </c>
      <c r="Q213" s="94" t="s">
        <v>3051</v>
      </c>
      <c r="R213" s="94" t="s">
        <v>3051</v>
      </c>
      <c r="S213" s="94" t="s">
        <v>1384</v>
      </c>
      <c r="T213" s="94" t="s">
        <v>2826</v>
      </c>
      <c r="U213" s="94" t="s">
        <v>3820</v>
      </c>
      <c r="V213" s="94" t="s">
        <v>39</v>
      </c>
      <c r="W213" s="94" t="s">
        <v>1666</v>
      </c>
      <c r="X213" s="94" t="s">
        <v>39</v>
      </c>
      <c r="Y213" s="94" t="s">
        <v>3724</v>
      </c>
      <c r="Z213" s="94" t="s">
        <v>4113</v>
      </c>
      <c r="AA213" s="94" t="s">
        <v>4113</v>
      </c>
      <c r="AB213" s="94" t="s">
        <v>4113</v>
      </c>
      <c r="AC213" s="94" t="s">
        <v>830</v>
      </c>
      <c r="AD213" s="94" t="s">
        <v>39</v>
      </c>
      <c r="AE213" s="94" t="s">
        <v>3945</v>
      </c>
      <c r="AF213" s="94" t="s">
        <v>3946</v>
      </c>
      <c r="AG213" s="94" t="s">
        <v>4215</v>
      </c>
      <c r="AH213" s="94" t="s">
        <v>1233</v>
      </c>
      <c r="AI213" s="94" t="s">
        <v>39</v>
      </c>
      <c r="AJ213" s="94" t="s">
        <v>2397</v>
      </c>
      <c r="AK213" s="94" t="s">
        <v>2354</v>
      </c>
      <c r="AL213" s="94" t="s">
        <v>2287</v>
      </c>
      <c r="AM213" s="94" t="s">
        <v>39</v>
      </c>
      <c r="AN213" s="94"/>
      <c r="AO213" s="94" t="s">
        <v>2538</v>
      </c>
      <c r="AP213" s="94" t="s">
        <v>2497</v>
      </c>
      <c r="AQ213" s="94" t="s">
        <v>2582</v>
      </c>
      <c r="AR213" s="94" t="s">
        <v>3345</v>
      </c>
      <c r="AS213" s="94" t="s">
        <v>3303</v>
      </c>
      <c r="AT213" s="94" t="s">
        <v>3579</v>
      </c>
      <c r="AU213" s="94" t="s">
        <v>3617</v>
      </c>
      <c r="AV213" s="94" t="s">
        <v>3520</v>
      </c>
      <c r="AW213" s="94" t="s">
        <v>3520</v>
      </c>
      <c r="AX213" s="94"/>
      <c r="AY213" s="94"/>
      <c r="AZ213" s="94"/>
      <c r="BA213" s="94" t="s">
        <v>39</v>
      </c>
      <c r="BB213" s="94" t="s">
        <v>1479</v>
      </c>
      <c r="BC213" s="94"/>
      <c r="BD213" s="94" t="s">
        <v>2884</v>
      </c>
      <c r="BE213" s="94" t="s">
        <v>39</v>
      </c>
      <c r="BF213" s="94" t="s">
        <v>2575</v>
      </c>
      <c r="BG213" s="94" t="s">
        <v>2865</v>
      </c>
      <c r="BH213" s="94" t="s">
        <v>853</v>
      </c>
      <c r="BI213" s="94" t="s">
        <v>853</v>
      </c>
      <c r="BJ213" s="94" t="s">
        <v>1276</v>
      </c>
      <c r="BK213" s="94" t="s">
        <v>1276</v>
      </c>
      <c r="BL213" s="94" t="s">
        <v>3003</v>
      </c>
      <c r="BM213" s="94" t="s">
        <v>3242</v>
      </c>
      <c r="BN213" s="94" t="s">
        <v>3244</v>
      </c>
      <c r="BO213" s="94" t="s">
        <v>2133</v>
      </c>
      <c r="BP213" s="94" t="s">
        <v>2133</v>
      </c>
      <c r="BQ213" s="94" t="s">
        <v>2199</v>
      </c>
      <c r="BR213" s="94" t="s">
        <v>1636</v>
      </c>
      <c r="BS213" s="94" t="s">
        <v>1636</v>
      </c>
      <c r="BT213" s="94"/>
    </row>
    <row r="214" spans="1:72" s="192" customFormat="1" ht="27">
      <c r="A214" s="197" t="s">
        <v>5328</v>
      </c>
      <c r="B214" s="54" t="s">
        <v>5331</v>
      </c>
      <c r="C214" s="54" t="s">
        <v>5331</v>
      </c>
      <c r="D214" s="54" t="s">
        <v>5330</v>
      </c>
      <c r="E214" s="54"/>
      <c r="F214" s="187" t="s">
        <v>4824</v>
      </c>
      <c r="G214" s="188" t="s">
        <v>39</v>
      </c>
      <c r="H214" s="188" t="s">
        <v>619</v>
      </c>
      <c r="I214" s="188" t="s">
        <v>653</v>
      </c>
      <c r="J214" s="188" t="s">
        <v>1923</v>
      </c>
      <c r="K214" s="188" t="s">
        <v>1924</v>
      </c>
      <c r="L214" s="188" t="s">
        <v>653</v>
      </c>
      <c r="M214" s="188" t="s">
        <v>619</v>
      </c>
      <c r="N214" s="188" t="s">
        <v>639</v>
      </c>
      <c r="O214" s="188" t="s">
        <v>640</v>
      </c>
      <c r="P214" s="188" t="s">
        <v>640</v>
      </c>
      <c r="Q214" s="188" t="s">
        <v>619</v>
      </c>
      <c r="R214" s="188" t="s">
        <v>619</v>
      </c>
      <c r="S214" s="188" t="s">
        <v>39</v>
      </c>
      <c r="T214" s="188" t="s">
        <v>619</v>
      </c>
      <c r="U214" s="188" t="s">
        <v>619</v>
      </c>
      <c r="V214" s="188" t="s">
        <v>619</v>
      </c>
      <c r="W214" s="188" t="s">
        <v>619</v>
      </c>
      <c r="X214" s="188" t="s">
        <v>1397</v>
      </c>
      <c r="Y214" s="188" t="s">
        <v>619</v>
      </c>
      <c r="Z214" s="188" t="s">
        <v>619</v>
      </c>
      <c r="AA214" s="188" t="s">
        <v>619</v>
      </c>
      <c r="AB214" s="188" t="s">
        <v>619</v>
      </c>
      <c r="AC214" s="188" t="s">
        <v>619</v>
      </c>
      <c r="AD214" s="188" t="s">
        <v>619</v>
      </c>
      <c r="AE214" s="188" t="s">
        <v>619</v>
      </c>
      <c r="AF214" s="188" t="s">
        <v>640</v>
      </c>
      <c r="AG214" s="188" t="s">
        <v>619</v>
      </c>
      <c r="AH214" s="188" t="s">
        <v>619</v>
      </c>
      <c r="AI214" s="188" t="s">
        <v>619</v>
      </c>
      <c r="AJ214" s="188" t="s">
        <v>619</v>
      </c>
      <c r="AK214" s="188" t="s">
        <v>619</v>
      </c>
      <c r="AL214" s="188" t="s">
        <v>642</v>
      </c>
      <c r="AM214" s="188" t="s">
        <v>1137</v>
      </c>
      <c r="AN214" s="188" t="s">
        <v>619</v>
      </c>
      <c r="AO214" s="188" t="s">
        <v>639</v>
      </c>
      <c r="AP214" s="188" t="s">
        <v>639</v>
      </c>
      <c r="AQ214" s="188" t="s">
        <v>639</v>
      </c>
      <c r="AR214" s="188" t="s">
        <v>619</v>
      </c>
      <c r="AS214" s="188" t="s">
        <v>619</v>
      </c>
      <c r="AT214" s="188" t="s">
        <v>640</v>
      </c>
      <c r="AU214" s="188" t="s">
        <v>640</v>
      </c>
      <c r="AV214" s="188" t="s">
        <v>640</v>
      </c>
      <c r="AW214" s="188" t="s">
        <v>640</v>
      </c>
      <c r="AX214" s="188" t="s">
        <v>39</v>
      </c>
      <c r="AY214" s="188" t="s">
        <v>640</v>
      </c>
      <c r="AZ214" s="188" t="s">
        <v>39</v>
      </c>
      <c r="BA214" s="188" t="s">
        <v>640</v>
      </c>
      <c r="BB214" s="188" t="s">
        <v>640</v>
      </c>
      <c r="BC214" s="188" t="s">
        <v>619</v>
      </c>
      <c r="BD214" s="188" t="s">
        <v>619</v>
      </c>
      <c r="BE214" s="188" t="s">
        <v>619</v>
      </c>
      <c r="BF214" s="188" t="s">
        <v>641</v>
      </c>
      <c r="BG214" s="188" t="s">
        <v>640</v>
      </c>
      <c r="BH214" s="188" t="s">
        <v>619</v>
      </c>
      <c r="BI214" s="188" t="s">
        <v>619</v>
      </c>
      <c r="BJ214" s="188" t="s">
        <v>640</v>
      </c>
      <c r="BK214" s="188" t="s">
        <v>640</v>
      </c>
      <c r="BL214" s="188" t="s">
        <v>619</v>
      </c>
      <c r="BM214" s="188" t="s">
        <v>619</v>
      </c>
      <c r="BN214" s="188" t="s">
        <v>619</v>
      </c>
      <c r="BO214" s="188" t="s">
        <v>640</v>
      </c>
      <c r="BP214" s="188" t="s">
        <v>640</v>
      </c>
      <c r="BQ214" s="188" t="s">
        <v>619</v>
      </c>
      <c r="BR214" s="188" t="s">
        <v>619</v>
      </c>
      <c r="BS214" s="188" t="s">
        <v>619</v>
      </c>
      <c r="BT214" s="188" t="s">
        <v>642</v>
      </c>
    </row>
    <row r="215" spans="1:72" s="2" customFormat="1" ht="9" customHeight="1">
      <c r="A215" s="95" t="s">
        <v>688</v>
      </c>
      <c r="B215" s="94" t="s">
        <v>4959</v>
      </c>
      <c r="C215" s="94" t="s">
        <v>4959</v>
      </c>
      <c r="D215" s="94" t="s">
        <v>4881</v>
      </c>
      <c r="E215" s="94"/>
      <c r="F215" s="95" t="s">
        <v>688</v>
      </c>
      <c r="G215" s="94"/>
      <c r="H215" s="94" t="s">
        <v>3183</v>
      </c>
      <c r="I215" s="94" t="s">
        <v>3175</v>
      </c>
      <c r="J215" s="94" t="s">
        <v>1954</v>
      </c>
      <c r="K215" s="94" t="s">
        <v>1985</v>
      </c>
      <c r="L215" s="94"/>
      <c r="M215" s="94" t="s">
        <v>2658</v>
      </c>
      <c r="N215" s="94" t="s">
        <v>3032</v>
      </c>
      <c r="O215" s="94" t="s">
        <v>1874</v>
      </c>
      <c r="P215" s="94" t="s">
        <v>1874</v>
      </c>
      <c r="Q215" s="94" t="s">
        <v>3065</v>
      </c>
      <c r="R215" s="94" t="s">
        <v>3065</v>
      </c>
      <c r="S215" s="94" t="s">
        <v>39</v>
      </c>
      <c r="T215" s="94" t="s">
        <v>2825</v>
      </c>
      <c r="U215" s="94" t="s">
        <v>3848</v>
      </c>
      <c r="V215" s="94" t="s">
        <v>1222</v>
      </c>
      <c r="W215" s="94" t="s">
        <v>1691</v>
      </c>
      <c r="X215" s="94" t="s">
        <v>1396</v>
      </c>
      <c r="Y215" s="94" t="s">
        <v>3065</v>
      </c>
      <c r="Z215" s="94" t="s">
        <v>4114</v>
      </c>
      <c r="AA215" s="94" t="s">
        <v>4114</v>
      </c>
      <c r="AB215" s="94" t="s">
        <v>4114</v>
      </c>
      <c r="AC215" s="94" t="s">
        <v>2956</v>
      </c>
      <c r="AD215" s="94" t="s">
        <v>3964</v>
      </c>
      <c r="AE215" s="94" t="s">
        <v>3965</v>
      </c>
      <c r="AF215" s="94" t="s">
        <v>3966</v>
      </c>
      <c r="AG215" s="94" t="s">
        <v>4213</v>
      </c>
      <c r="AH215" s="94" t="s">
        <v>1396</v>
      </c>
      <c r="AI215" s="94" t="s">
        <v>2440</v>
      </c>
      <c r="AJ215" s="94" t="s">
        <v>2440</v>
      </c>
      <c r="AK215" s="94" t="s">
        <v>2440</v>
      </c>
      <c r="AL215" s="94" t="s">
        <v>2293</v>
      </c>
      <c r="AM215" s="94" t="s">
        <v>1136</v>
      </c>
      <c r="AN215" s="94"/>
      <c r="AO215" s="94" t="s">
        <v>2518</v>
      </c>
      <c r="AP215" s="94" t="s">
        <v>2522</v>
      </c>
      <c r="AQ215" s="94" t="s">
        <v>1874</v>
      </c>
      <c r="AR215" s="94" t="s">
        <v>3365</v>
      </c>
      <c r="AS215" s="94" t="s">
        <v>3311</v>
      </c>
      <c r="AT215" s="94" t="s">
        <v>3588</v>
      </c>
      <c r="AU215" s="94" t="s">
        <v>3588</v>
      </c>
      <c r="AV215" s="94" t="s">
        <v>3534</v>
      </c>
      <c r="AW215" s="94" t="s">
        <v>3534</v>
      </c>
      <c r="AX215" s="94"/>
      <c r="AY215" s="94"/>
      <c r="AZ215" s="94"/>
      <c r="BA215" s="94" t="s">
        <v>1481</v>
      </c>
      <c r="BB215" s="94" t="s">
        <v>1481</v>
      </c>
      <c r="BC215" s="94"/>
      <c r="BD215" s="94" t="s">
        <v>2621</v>
      </c>
      <c r="BE215" s="94" t="s">
        <v>1874</v>
      </c>
      <c r="BF215" s="94" t="s">
        <v>2621</v>
      </c>
      <c r="BG215" s="94" t="s">
        <v>1741</v>
      </c>
      <c r="BH215" s="94" t="s">
        <v>887</v>
      </c>
      <c r="BI215" s="94" t="s">
        <v>887</v>
      </c>
      <c r="BJ215" s="94" t="s">
        <v>1323</v>
      </c>
      <c r="BK215" s="94" t="s">
        <v>1325</v>
      </c>
      <c r="BL215" s="94" t="s">
        <v>2983</v>
      </c>
      <c r="BM215" s="94" t="s">
        <v>3239</v>
      </c>
      <c r="BN215" s="94" t="s">
        <v>3241</v>
      </c>
      <c r="BO215" s="94" t="s">
        <v>1874</v>
      </c>
      <c r="BP215" s="94" t="s">
        <v>1874</v>
      </c>
      <c r="BQ215" s="94" t="s">
        <v>2219</v>
      </c>
      <c r="BR215" s="94" t="s">
        <v>1621</v>
      </c>
      <c r="BS215" s="94" t="s">
        <v>1621</v>
      </c>
      <c r="BT215" s="94"/>
    </row>
    <row r="216" spans="1:72" s="192" customFormat="1" ht="18">
      <c r="A216" s="197" t="s">
        <v>5333</v>
      </c>
      <c r="B216" s="54" t="s">
        <v>39</v>
      </c>
      <c r="C216" s="54" t="s">
        <v>39</v>
      </c>
      <c r="D216" s="54" t="s">
        <v>39</v>
      </c>
      <c r="E216" s="54"/>
      <c r="F216" s="197" t="s">
        <v>4822</v>
      </c>
      <c r="G216" s="188" t="s">
        <v>269</v>
      </c>
      <c r="H216" s="188" t="s">
        <v>3108</v>
      </c>
      <c r="I216" s="188" t="s">
        <v>3108</v>
      </c>
      <c r="J216" s="188" t="s">
        <v>2007</v>
      </c>
      <c r="K216" s="188" t="s">
        <v>2007</v>
      </c>
      <c r="L216" s="188" t="s">
        <v>39</v>
      </c>
      <c r="M216" s="188" t="s">
        <v>322</v>
      </c>
      <c r="N216" s="188" t="s">
        <v>41</v>
      </c>
      <c r="O216" s="188" t="s">
        <v>39</v>
      </c>
      <c r="P216" s="188" t="s">
        <v>39</v>
      </c>
      <c r="Q216" s="188" t="s">
        <v>39</v>
      </c>
      <c r="R216" s="188" t="s">
        <v>39</v>
      </c>
      <c r="S216" s="188" t="s">
        <v>39</v>
      </c>
      <c r="T216" s="188" t="s">
        <v>668</v>
      </c>
      <c r="U216" s="188" t="s">
        <v>3428</v>
      </c>
      <c r="V216" s="188" t="s">
        <v>39</v>
      </c>
      <c r="W216" s="188" t="s">
        <v>39</v>
      </c>
      <c r="X216" s="188" t="s">
        <v>39</v>
      </c>
      <c r="Y216" s="188" t="s">
        <v>3721</v>
      </c>
      <c r="Z216" s="188" t="s">
        <v>4116</v>
      </c>
      <c r="AA216" s="188" t="s">
        <v>4116</v>
      </c>
      <c r="AB216" s="188" t="s">
        <v>4116</v>
      </c>
      <c r="AC216" s="188" t="s">
        <v>2951</v>
      </c>
      <c r="AD216" s="188" t="s">
        <v>39</v>
      </c>
      <c r="AE216" s="188" t="s">
        <v>39</v>
      </c>
      <c r="AF216" s="188" t="s">
        <v>39</v>
      </c>
      <c r="AG216" s="188" t="s">
        <v>4227</v>
      </c>
      <c r="AH216" s="188" t="s">
        <v>3658</v>
      </c>
      <c r="AI216" s="188" t="s">
        <v>39</v>
      </c>
      <c r="AJ216" s="188" t="s">
        <v>39</v>
      </c>
      <c r="AK216" s="188" t="s">
        <v>742</v>
      </c>
      <c r="AL216" s="188" t="s">
        <v>742</v>
      </c>
      <c r="AM216" s="188" t="s">
        <v>1137</v>
      </c>
      <c r="AN216" s="188" t="s">
        <v>168</v>
      </c>
      <c r="AO216" s="188" t="s">
        <v>321</v>
      </c>
      <c r="AP216" s="188" t="s">
        <v>742</v>
      </c>
      <c r="AQ216" s="188" t="s">
        <v>321</v>
      </c>
      <c r="AR216" s="188" t="s">
        <v>3363</v>
      </c>
      <c r="AS216" s="188" t="s">
        <v>3364</v>
      </c>
      <c r="AT216" s="188" t="s">
        <v>3564</v>
      </c>
      <c r="AU216" s="188" t="s">
        <v>3609</v>
      </c>
      <c r="AV216" s="188" t="s">
        <v>3433</v>
      </c>
      <c r="AW216" s="188" t="s">
        <v>3441</v>
      </c>
      <c r="AX216" s="188" t="s">
        <v>39</v>
      </c>
      <c r="AY216" s="188" t="s">
        <v>39</v>
      </c>
      <c r="AZ216" s="188" t="s">
        <v>39</v>
      </c>
      <c r="BA216" s="188" t="s">
        <v>39</v>
      </c>
      <c r="BB216" s="188" t="s">
        <v>1454</v>
      </c>
      <c r="BC216" s="188" t="s">
        <v>39</v>
      </c>
      <c r="BD216" s="188" t="s">
        <v>195</v>
      </c>
      <c r="BE216" s="188" t="s">
        <v>39</v>
      </c>
      <c r="BF216" s="188" t="s">
        <v>548</v>
      </c>
      <c r="BG216" s="188" t="s">
        <v>39</v>
      </c>
      <c r="BH216" s="188" t="s">
        <v>453</v>
      </c>
      <c r="BI216" s="188" t="s">
        <v>453</v>
      </c>
      <c r="BJ216" s="188" t="s">
        <v>1371</v>
      </c>
      <c r="BK216" s="188" t="s">
        <v>1372</v>
      </c>
      <c r="BL216" s="188" t="s">
        <v>788</v>
      </c>
      <c r="BM216" s="188" t="s">
        <v>39</v>
      </c>
      <c r="BN216" s="188" t="s">
        <v>39</v>
      </c>
      <c r="BO216" s="188" t="s">
        <v>195</v>
      </c>
      <c r="BP216" s="188" t="s">
        <v>195</v>
      </c>
      <c r="BQ216" s="188" t="s">
        <v>39</v>
      </c>
      <c r="BR216" s="188" t="s">
        <v>39</v>
      </c>
      <c r="BS216" s="188" t="s">
        <v>39</v>
      </c>
      <c r="BT216" s="188" t="s">
        <v>439</v>
      </c>
    </row>
    <row r="217" spans="1:72" s="2" customFormat="1" ht="9" customHeight="1">
      <c r="A217" s="95" t="s">
        <v>688</v>
      </c>
      <c r="B217" s="94" t="s">
        <v>39</v>
      </c>
      <c r="C217" s="94" t="s">
        <v>39</v>
      </c>
      <c r="D217" s="94" t="s">
        <v>39</v>
      </c>
      <c r="E217" s="94"/>
      <c r="F217" s="95" t="s">
        <v>688</v>
      </c>
      <c r="G217" s="94"/>
      <c r="H217" s="94" t="s">
        <v>3110</v>
      </c>
      <c r="I217" s="94" t="s">
        <v>3109</v>
      </c>
      <c r="J217" s="94" t="s">
        <v>2006</v>
      </c>
      <c r="K217" s="94" t="s">
        <v>2006</v>
      </c>
      <c r="L217" s="94"/>
      <c r="M217" s="94" t="s">
        <v>2036</v>
      </c>
      <c r="N217" s="94" t="s">
        <v>2693</v>
      </c>
      <c r="O217" s="94" t="s">
        <v>39</v>
      </c>
      <c r="P217" s="94" t="s">
        <v>39</v>
      </c>
      <c r="Q217" s="94" t="s">
        <v>39</v>
      </c>
      <c r="R217" s="94" t="s">
        <v>39</v>
      </c>
      <c r="S217" s="94" t="s">
        <v>39</v>
      </c>
      <c r="T217" s="94" t="s">
        <v>2839</v>
      </c>
      <c r="U217" s="94" t="s">
        <v>3812</v>
      </c>
      <c r="V217" s="94" t="s">
        <v>39</v>
      </c>
      <c r="W217" s="94" t="s">
        <v>39</v>
      </c>
      <c r="X217" s="94" t="s">
        <v>39</v>
      </c>
      <c r="Y217" s="94" t="s">
        <v>3704</v>
      </c>
      <c r="Z217" s="94" t="s">
        <v>4115</v>
      </c>
      <c r="AA217" s="94" t="s">
        <v>4115</v>
      </c>
      <c r="AB217" s="94" t="s">
        <v>4115</v>
      </c>
      <c r="AC217" s="94" t="s">
        <v>829</v>
      </c>
      <c r="AD217" s="94" t="s">
        <v>39</v>
      </c>
      <c r="AE217" s="94" t="s">
        <v>39</v>
      </c>
      <c r="AF217" s="94" t="s">
        <v>39</v>
      </c>
      <c r="AG217" s="94" t="s">
        <v>4228</v>
      </c>
      <c r="AH217" s="94" t="s">
        <v>2778</v>
      </c>
      <c r="AI217" s="94" t="s">
        <v>39</v>
      </c>
      <c r="AJ217" s="94" t="s">
        <v>39</v>
      </c>
      <c r="AK217" s="94" t="s">
        <v>2327</v>
      </c>
      <c r="AL217" s="94" t="s">
        <v>2263</v>
      </c>
      <c r="AM217" s="94" t="s">
        <v>1136</v>
      </c>
      <c r="AN217" s="94"/>
      <c r="AO217" s="94" t="s">
        <v>2472</v>
      </c>
      <c r="AP217" s="94" t="s">
        <v>2472</v>
      </c>
      <c r="AQ217" s="94" t="s">
        <v>2575</v>
      </c>
      <c r="AR217" s="94" t="s">
        <v>3362</v>
      </c>
      <c r="AS217" s="94" t="s">
        <v>3307</v>
      </c>
      <c r="AT217" s="94" t="s">
        <v>3563</v>
      </c>
      <c r="AU217" s="94" t="s">
        <v>3610</v>
      </c>
      <c r="AV217" s="94" t="s">
        <v>3514</v>
      </c>
      <c r="AW217" s="94" t="s">
        <v>3555</v>
      </c>
      <c r="AX217" s="94"/>
      <c r="AY217" s="94"/>
      <c r="AZ217" s="94"/>
      <c r="BA217" s="94" t="s">
        <v>39</v>
      </c>
      <c r="BB217" s="94" t="s">
        <v>1455</v>
      </c>
      <c r="BC217" s="94"/>
      <c r="BD217" s="94" t="s">
        <v>2889</v>
      </c>
      <c r="BE217" s="94" t="s">
        <v>39</v>
      </c>
      <c r="BF217" s="94" t="s">
        <v>2605</v>
      </c>
      <c r="BG217" s="94" t="s">
        <v>39</v>
      </c>
      <c r="BH217" s="94" t="s">
        <v>2933</v>
      </c>
      <c r="BI217" s="94" t="s">
        <v>2933</v>
      </c>
      <c r="BJ217" s="94" t="s">
        <v>1370</v>
      </c>
      <c r="BK217" s="94" t="s">
        <v>1337</v>
      </c>
      <c r="BL217" s="94" t="s">
        <v>2984</v>
      </c>
      <c r="BM217" s="94" t="s">
        <v>39</v>
      </c>
      <c r="BN217" s="94" t="s">
        <v>39</v>
      </c>
      <c r="BO217" s="94" t="s">
        <v>2135</v>
      </c>
      <c r="BP217" s="94" t="s">
        <v>2135</v>
      </c>
      <c r="BQ217" s="94" t="s">
        <v>39</v>
      </c>
      <c r="BR217" s="94" t="s">
        <v>39</v>
      </c>
      <c r="BS217" s="94" t="s">
        <v>39</v>
      </c>
      <c r="BT217" s="94"/>
    </row>
    <row r="218" spans="1:72" ht="9" customHeight="1">
      <c r="A218" s="248"/>
      <c r="B218" s="248"/>
      <c r="C218" s="248"/>
      <c r="D218" s="248"/>
      <c r="E218" s="248"/>
    </row>
    <row r="219" spans="1:72">
      <c r="A219" s="208" t="s">
        <v>4784</v>
      </c>
      <c r="B219" s="209" t="str">
        <f>B1</f>
        <v xml:space="preserve">Interlloyd Premium Plus </v>
      </c>
      <c r="C219" s="209" t="str">
        <f>C1</f>
        <v xml:space="preserve">Interlloyd Premium Plus HB </v>
      </c>
      <c r="D219" s="209" t="str">
        <f>D1</f>
        <v>Interlloyd Protect</v>
      </c>
      <c r="E219" s="140"/>
      <c r="F219" s="50" t="s">
        <v>4784</v>
      </c>
      <c r="BO219" s="200"/>
      <c r="BP219" s="200"/>
    </row>
    <row r="220" spans="1:72" s="14" customFormat="1" ht="27">
      <c r="A220" s="53" t="s">
        <v>5237</v>
      </c>
      <c r="B220" s="54" t="s">
        <v>5236</v>
      </c>
      <c r="C220" s="54" t="s">
        <v>5236</v>
      </c>
      <c r="D220" s="54" t="s">
        <v>5236</v>
      </c>
      <c r="E220" s="54"/>
      <c r="F220" s="53" t="s">
        <v>656</v>
      </c>
      <c r="G220" s="73" t="s">
        <v>39</v>
      </c>
      <c r="H220" s="73" t="s">
        <v>41</v>
      </c>
      <c r="I220" s="73" t="s">
        <v>41</v>
      </c>
      <c r="J220" s="73" t="s">
        <v>41</v>
      </c>
      <c r="K220" s="73" t="s">
        <v>41</v>
      </c>
      <c r="L220" s="54" t="s">
        <v>3647</v>
      </c>
      <c r="M220" s="131" t="s">
        <v>2078</v>
      </c>
      <c r="N220" s="48" t="s">
        <v>39</v>
      </c>
      <c r="O220" s="73" t="s">
        <v>41</v>
      </c>
      <c r="P220" s="73" t="s">
        <v>41</v>
      </c>
      <c r="Q220" s="73" t="s">
        <v>39</v>
      </c>
      <c r="R220" s="73" t="s">
        <v>39</v>
      </c>
      <c r="S220" s="54" t="s">
        <v>39</v>
      </c>
      <c r="T220" s="54" t="s">
        <v>39</v>
      </c>
      <c r="U220" s="54" t="s">
        <v>41</v>
      </c>
      <c r="V220" s="54" t="s">
        <v>41</v>
      </c>
      <c r="W220" s="73" t="s">
        <v>39</v>
      </c>
      <c r="X220" s="54" t="s">
        <v>39</v>
      </c>
      <c r="Y220" s="73" t="s">
        <v>39</v>
      </c>
      <c r="Z220" s="81" t="s">
        <v>41</v>
      </c>
      <c r="AA220" s="81" t="s">
        <v>41</v>
      </c>
      <c r="AB220" s="81" t="s">
        <v>41</v>
      </c>
      <c r="AC220" s="73" t="s">
        <v>39</v>
      </c>
      <c r="AD220" s="54" t="s">
        <v>39</v>
      </c>
      <c r="AE220" s="54" t="s">
        <v>39</v>
      </c>
      <c r="AF220" s="54" t="s">
        <v>3980</v>
      </c>
      <c r="AG220" s="54" t="s">
        <v>4241</v>
      </c>
      <c r="AH220" s="73" t="s">
        <v>41</v>
      </c>
      <c r="AI220" s="54" t="s">
        <v>39</v>
      </c>
      <c r="AJ220" s="54" t="s">
        <v>41</v>
      </c>
      <c r="AK220" s="54" t="s">
        <v>41</v>
      </c>
      <c r="AL220" s="54" t="s">
        <v>41</v>
      </c>
      <c r="AM220" s="54" t="s">
        <v>41</v>
      </c>
      <c r="AN220" s="73" t="s">
        <v>39</v>
      </c>
      <c r="AO220" s="73" t="s">
        <v>41</v>
      </c>
      <c r="AP220" s="73" t="s">
        <v>41</v>
      </c>
      <c r="AQ220" s="73" t="s">
        <v>41</v>
      </c>
      <c r="AR220" s="54" t="s">
        <v>3338</v>
      </c>
      <c r="AS220" s="54" t="s">
        <v>3337</v>
      </c>
      <c r="AT220" s="73" t="s">
        <v>3631</v>
      </c>
      <c r="AU220" s="73" t="s">
        <v>3631</v>
      </c>
      <c r="AV220" s="73" t="s">
        <v>3537</v>
      </c>
      <c r="AW220" s="73" t="s">
        <v>3537</v>
      </c>
      <c r="AX220" s="73" t="s">
        <v>39</v>
      </c>
      <c r="AY220" s="73" t="s">
        <v>41</v>
      </c>
      <c r="AZ220" s="73" t="s">
        <v>41</v>
      </c>
      <c r="BA220" s="73" t="s">
        <v>39</v>
      </c>
      <c r="BB220" s="73" t="s">
        <v>41</v>
      </c>
      <c r="BC220" s="54" t="s">
        <v>39</v>
      </c>
      <c r="BD220" s="54" t="s">
        <v>39</v>
      </c>
      <c r="BE220" s="73" t="s">
        <v>39</v>
      </c>
      <c r="BF220" s="73" t="s">
        <v>39</v>
      </c>
      <c r="BG220" s="54" t="s">
        <v>41</v>
      </c>
      <c r="BH220" s="54" t="s">
        <v>39</v>
      </c>
      <c r="BI220" s="54" t="s">
        <v>39</v>
      </c>
      <c r="BJ220" s="54" t="s">
        <v>1329</v>
      </c>
      <c r="BK220" s="54" t="s">
        <v>1329</v>
      </c>
      <c r="BL220" s="76" t="s">
        <v>39</v>
      </c>
      <c r="BM220" s="54" t="s">
        <v>39</v>
      </c>
      <c r="BN220" s="54" t="s">
        <v>39</v>
      </c>
      <c r="BO220" s="54" t="s">
        <v>3401</v>
      </c>
      <c r="BP220" s="54" t="s">
        <v>3401</v>
      </c>
      <c r="BQ220" s="54" t="s">
        <v>39</v>
      </c>
      <c r="BR220" s="54" t="s">
        <v>39</v>
      </c>
      <c r="BS220" s="54" t="s">
        <v>39</v>
      </c>
      <c r="BT220" s="54" t="s">
        <v>658</v>
      </c>
    </row>
    <row r="221" spans="1:72" s="2" customFormat="1" ht="9" customHeight="1">
      <c r="A221" s="95" t="s">
        <v>688</v>
      </c>
      <c r="B221" s="94" t="s">
        <v>5104</v>
      </c>
      <c r="C221" s="94" t="s">
        <v>5104</v>
      </c>
      <c r="D221" s="94" t="s">
        <v>4914</v>
      </c>
      <c r="E221" s="94"/>
      <c r="F221" s="95" t="s">
        <v>688</v>
      </c>
      <c r="G221" s="94"/>
      <c r="H221" s="94" t="s">
        <v>1394</v>
      </c>
      <c r="I221" s="94" t="s">
        <v>1394</v>
      </c>
      <c r="J221" s="94" t="s">
        <v>1951</v>
      </c>
      <c r="K221" s="94" t="s">
        <v>1980</v>
      </c>
      <c r="L221" s="94" t="s">
        <v>3646</v>
      </c>
      <c r="M221" s="94" t="s">
        <v>2654</v>
      </c>
      <c r="N221" s="94" t="s">
        <v>3033</v>
      </c>
      <c r="O221" s="94" t="s">
        <v>2786</v>
      </c>
      <c r="P221" s="94" t="s">
        <v>2786</v>
      </c>
      <c r="Q221" s="94" t="s">
        <v>1394</v>
      </c>
      <c r="R221" s="94" t="s">
        <v>1394</v>
      </c>
      <c r="S221" s="94" t="s">
        <v>1394</v>
      </c>
      <c r="T221" s="94" t="s">
        <v>2830</v>
      </c>
      <c r="U221" s="94" t="s">
        <v>3829</v>
      </c>
      <c r="V221" s="94" t="s">
        <v>1323</v>
      </c>
      <c r="W221" s="94" t="s">
        <v>1692</v>
      </c>
      <c r="X221" s="94" t="s">
        <v>1394</v>
      </c>
      <c r="Y221" s="94" t="s">
        <v>2786</v>
      </c>
      <c r="Z221" s="94" t="s">
        <v>4123</v>
      </c>
      <c r="AA221" s="94" t="s">
        <v>4123</v>
      </c>
      <c r="AB221" s="94" t="s">
        <v>4123</v>
      </c>
      <c r="AC221" s="94" t="s">
        <v>837</v>
      </c>
      <c r="AD221" s="94" t="s">
        <v>3981</v>
      </c>
      <c r="AE221" s="94" t="s">
        <v>3981</v>
      </c>
      <c r="AF221" s="94" t="s">
        <v>3982</v>
      </c>
      <c r="AG221" s="94" t="s">
        <v>4242</v>
      </c>
      <c r="AH221" s="94" t="s">
        <v>2213</v>
      </c>
      <c r="AI221" s="94" t="s">
        <v>2439</v>
      </c>
      <c r="AJ221" s="94" t="s">
        <v>2384</v>
      </c>
      <c r="AK221" s="94" t="s">
        <v>2336</v>
      </c>
      <c r="AL221" s="94" t="s">
        <v>2274</v>
      </c>
      <c r="AM221" s="91" t="s">
        <v>1166</v>
      </c>
      <c r="AN221" s="94"/>
      <c r="AO221" s="94" t="s">
        <v>2500</v>
      </c>
      <c r="AP221" s="94" t="s">
        <v>2518</v>
      </c>
      <c r="AQ221" s="94" t="s">
        <v>1394</v>
      </c>
      <c r="AR221" s="94" t="s">
        <v>3339</v>
      </c>
      <c r="AS221" s="94" t="s">
        <v>3313</v>
      </c>
      <c r="AT221" s="94" t="s">
        <v>3630</v>
      </c>
      <c r="AU221" s="94" t="s">
        <v>3630</v>
      </c>
      <c r="AV221" s="94" t="s">
        <v>1181</v>
      </c>
      <c r="AW221" s="94" t="s">
        <v>1181</v>
      </c>
      <c r="AX221" s="94"/>
      <c r="AY221" s="94"/>
      <c r="AZ221" s="94"/>
      <c r="BA221" s="94" t="s">
        <v>1505</v>
      </c>
      <c r="BB221" s="94" t="s">
        <v>1482</v>
      </c>
      <c r="BC221" s="94"/>
      <c r="BD221" s="94" t="s">
        <v>1394</v>
      </c>
      <c r="BE221" s="94" t="s">
        <v>1394</v>
      </c>
      <c r="BF221" s="94" t="s">
        <v>1394</v>
      </c>
      <c r="BG221" s="94" t="s">
        <v>1747</v>
      </c>
      <c r="BH221" s="94" t="s">
        <v>888</v>
      </c>
      <c r="BI221" s="94" t="s">
        <v>888</v>
      </c>
      <c r="BJ221" s="94" t="s">
        <v>1328</v>
      </c>
      <c r="BK221" s="94" t="s">
        <v>1328</v>
      </c>
      <c r="BL221" s="94" t="s">
        <v>791</v>
      </c>
      <c r="BM221" s="94" t="s">
        <v>3220</v>
      </c>
      <c r="BN221" s="94" t="s">
        <v>3220</v>
      </c>
      <c r="BO221" s="94" t="s">
        <v>2153</v>
      </c>
      <c r="BP221" s="94" t="s">
        <v>2153</v>
      </c>
      <c r="BQ221" s="94" t="s">
        <v>2214</v>
      </c>
      <c r="BR221" s="94" t="s">
        <v>951</v>
      </c>
      <c r="BS221" s="94" t="s">
        <v>951</v>
      </c>
      <c r="BT221" s="94"/>
    </row>
    <row r="222" spans="1:72" s="14" customFormat="1" ht="18">
      <c r="A222" s="187" t="s">
        <v>4791</v>
      </c>
      <c r="B222" s="54" t="s">
        <v>41</v>
      </c>
      <c r="C222" s="54" t="s">
        <v>41</v>
      </c>
      <c r="D222" s="54" t="s">
        <v>41</v>
      </c>
      <c r="E222" s="54"/>
      <c r="F222" s="187" t="s">
        <v>4791</v>
      </c>
      <c r="G222" s="54" t="s">
        <v>41</v>
      </c>
      <c r="H222" s="54" t="s">
        <v>41</v>
      </c>
      <c r="I222" s="54" t="s">
        <v>41</v>
      </c>
      <c r="J222" s="54" t="s">
        <v>41</v>
      </c>
      <c r="K222" s="54" t="s">
        <v>41</v>
      </c>
      <c r="L222" s="54" t="s">
        <v>39</v>
      </c>
      <c r="M222" s="123" t="s">
        <v>41</v>
      </c>
      <c r="N222" s="54" t="s">
        <v>41</v>
      </c>
      <c r="O222" s="54" t="s">
        <v>41</v>
      </c>
      <c r="P222" s="54" t="s">
        <v>41</v>
      </c>
      <c r="Q222" s="54" t="s">
        <v>39</v>
      </c>
      <c r="R222" s="54" t="s">
        <v>39</v>
      </c>
      <c r="S222" s="54" t="s">
        <v>41</v>
      </c>
      <c r="T222" s="54" t="s">
        <v>39</v>
      </c>
      <c r="U222" s="54" t="s">
        <v>41</v>
      </c>
      <c r="V222" s="54" t="s">
        <v>41</v>
      </c>
      <c r="W222" s="54" t="s">
        <v>39</v>
      </c>
      <c r="X222" s="54" t="s">
        <v>39</v>
      </c>
      <c r="Y222" s="54" t="s">
        <v>41</v>
      </c>
      <c r="Z222" s="123" t="s">
        <v>41</v>
      </c>
      <c r="AA222" s="123" t="s">
        <v>41</v>
      </c>
      <c r="AB222" s="123" t="s">
        <v>41</v>
      </c>
      <c r="AC222" s="54" t="s">
        <v>41</v>
      </c>
      <c r="AD222" s="54" t="s">
        <v>41</v>
      </c>
      <c r="AE222" s="54" t="s">
        <v>41</v>
      </c>
      <c r="AF222" s="54" t="s">
        <v>41</v>
      </c>
      <c r="AG222" s="54" t="s">
        <v>4209</v>
      </c>
      <c r="AH222" s="54" t="s">
        <v>3673</v>
      </c>
      <c r="AI222" s="54" t="s">
        <v>41</v>
      </c>
      <c r="AJ222" s="54" t="s">
        <v>41</v>
      </c>
      <c r="AK222" s="54" t="s">
        <v>41</v>
      </c>
      <c r="AL222" s="54" t="s">
        <v>41</v>
      </c>
      <c r="AM222" s="54" t="s">
        <v>39</v>
      </c>
      <c r="AN222" s="54" t="s">
        <v>41</v>
      </c>
      <c r="AO222" s="54" t="s">
        <v>41</v>
      </c>
      <c r="AP222" s="54" t="s">
        <v>41</v>
      </c>
      <c r="AQ222" s="54" t="s">
        <v>41</v>
      </c>
      <c r="AR222" s="54" t="s">
        <v>3367</v>
      </c>
      <c r="AS222" s="54" t="s">
        <v>3367</v>
      </c>
      <c r="AT222" s="54" t="s">
        <v>41</v>
      </c>
      <c r="AU222" s="54" t="s">
        <v>41</v>
      </c>
      <c r="AV222" s="54" t="s">
        <v>41</v>
      </c>
      <c r="AW222" s="54" t="s">
        <v>41</v>
      </c>
      <c r="AX222" s="54" t="s">
        <v>39</v>
      </c>
      <c r="AY222" s="54" t="s">
        <v>41</v>
      </c>
      <c r="AZ222" s="54" t="s">
        <v>41</v>
      </c>
      <c r="BA222" s="54" t="s">
        <v>41</v>
      </c>
      <c r="BB222" s="54" t="s">
        <v>41</v>
      </c>
      <c r="BC222" s="54" t="s">
        <v>41</v>
      </c>
      <c r="BD222" s="54" t="s">
        <v>39</v>
      </c>
      <c r="BE222" s="54" t="s">
        <v>41</v>
      </c>
      <c r="BF222" s="48" t="s">
        <v>39</v>
      </c>
      <c r="BG222" s="54" t="s">
        <v>41</v>
      </c>
      <c r="BH222" s="54" t="s">
        <v>39</v>
      </c>
      <c r="BI222" s="54" t="s">
        <v>39</v>
      </c>
      <c r="BJ222" s="54" t="s">
        <v>41</v>
      </c>
      <c r="BK222" s="54" t="s">
        <v>41</v>
      </c>
      <c r="BL222" s="54" t="s">
        <v>41</v>
      </c>
      <c r="BM222" s="54" t="s">
        <v>41</v>
      </c>
      <c r="BN222" s="54" t="s">
        <v>41</v>
      </c>
      <c r="BO222" s="54" t="s">
        <v>41</v>
      </c>
      <c r="BP222" s="54" t="s">
        <v>41</v>
      </c>
      <c r="BQ222" s="54" t="s">
        <v>41</v>
      </c>
      <c r="BR222" s="54" t="s">
        <v>41</v>
      </c>
      <c r="BS222" s="54" t="s">
        <v>41</v>
      </c>
      <c r="BT222" s="54" t="s">
        <v>41</v>
      </c>
    </row>
    <row r="223" spans="1:72" s="2" customFormat="1" ht="9" customHeight="1">
      <c r="A223" s="95" t="s">
        <v>688</v>
      </c>
      <c r="B223" s="94" t="s">
        <v>5105</v>
      </c>
      <c r="C223" s="94" t="s">
        <v>5105</v>
      </c>
      <c r="D223" s="94" t="s">
        <v>4915</v>
      </c>
      <c r="E223" s="94"/>
      <c r="F223" s="95" t="s">
        <v>688</v>
      </c>
      <c r="G223" s="94"/>
      <c r="H223" s="94" t="s">
        <v>3124</v>
      </c>
      <c r="I223" s="94" t="s">
        <v>3123</v>
      </c>
      <c r="J223" s="94" t="s">
        <v>2009</v>
      </c>
      <c r="K223" s="94" t="s">
        <v>2009</v>
      </c>
      <c r="L223" s="94"/>
      <c r="M223" s="94" t="s">
        <v>2080</v>
      </c>
      <c r="N223" s="94" t="s">
        <v>2214</v>
      </c>
      <c r="O223" s="94" t="s">
        <v>1235</v>
      </c>
      <c r="P223" s="94" t="s">
        <v>1246</v>
      </c>
      <c r="Q223" s="94" t="s">
        <v>39</v>
      </c>
      <c r="R223" s="94" t="s">
        <v>39</v>
      </c>
      <c r="S223" s="94" t="s">
        <v>1419</v>
      </c>
      <c r="T223" s="94" t="s">
        <v>39</v>
      </c>
      <c r="U223" s="94" t="s">
        <v>3832</v>
      </c>
      <c r="V223" s="94" t="s">
        <v>2495</v>
      </c>
      <c r="W223" s="94" t="s">
        <v>39</v>
      </c>
      <c r="X223" s="94" t="s">
        <v>39</v>
      </c>
      <c r="Y223" s="94" t="s">
        <v>1411</v>
      </c>
      <c r="Z223" s="94" t="s">
        <v>4124</v>
      </c>
      <c r="AA223" s="94" t="s">
        <v>4124</v>
      </c>
      <c r="AB223" s="94" t="s">
        <v>4124</v>
      </c>
      <c r="AC223" s="94" t="s">
        <v>816</v>
      </c>
      <c r="AD223" s="94" t="s">
        <v>3955</v>
      </c>
      <c r="AE223" s="94" t="s">
        <v>3956</v>
      </c>
      <c r="AF223" s="94" t="s">
        <v>3957</v>
      </c>
      <c r="AG223" s="94"/>
      <c r="AH223" s="94" t="s">
        <v>3672</v>
      </c>
      <c r="AI223" s="94" t="s">
        <v>2424</v>
      </c>
      <c r="AJ223" s="94" t="s">
        <v>2392</v>
      </c>
      <c r="AK223" s="94" t="s">
        <v>2349</v>
      </c>
      <c r="AL223" s="94" t="s">
        <v>2297</v>
      </c>
      <c r="AM223" s="94" t="s">
        <v>1163</v>
      </c>
      <c r="AN223" s="94"/>
      <c r="AO223" s="94" t="s">
        <v>2502</v>
      </c>
      <c r="AP223" s="94" t="s">
        <v>2519</v>
      </c>
      <c r="AQ223" s="94" t="s">
        <v>1419</v>
      </c>
      <c r="AR223" s="94" t="s">
        <v>3368</v>
      </c>
      <c r="AS223" s="94" t="s">
        <v>3369</v>
      </c>
      <c r="AT223" s="94" t="s">
        <v>3629</v>
      </c>
      <c r="AU223" s="94" t="s">
        <v>3629</v>
      </c>
      <c r="AV223" s="94" t="s">
        <v>3540</v>
      </c>
      <c r="AW223" s="94" t="s">
        <v>3540</v>
      </c>
      <c r="AX223" s="94"/>
      <c r="AY223" s="94"/>
      <c r="AZ223" s="94"/>
      <c r="BA223" s="94" t="s">
        <v>1441</v>
      </c>
      <c r="BB223" s="94" t="s">
        <v>1441</v>
      </c>
      <c r="BC223" s="94"/>
      <c r="BD223" s="94" t="s">
        <v>39</v>
      </c>
      <c r="BE223" s="94" t="s">
        <v>1226</v>
      </c>
      <c r="BF223" s="94" t="s">
        <v>39</v>
      </c>
      <c r="BG223" s="94" t="s">
        <v>2870</v>
      </c>
      <c r="BH223" s="94" t="s">
        <v>39</v>
      </c>
      <c r="BI223" s="94" t="s">
        <v>39</v>
      </c>
      <c r="BJ223" s="94" t="s">
        <v>1331</v>
      </c>
      <c r="BK223" s="94" t="s">
        <v>1331</v>
      </c>
      <c r="BL223" s="94" t="s">
        <v>786</v>
      </c>
      <c r="BM223" s="94" t="s">
        <v>3248</v>
      </c>
      <c r="BN223" s="94" t="s">
        <v>3248</v>
      </c>
      <c r="BO223" s="94" t="s">
        <v>2156</v>
      </c>
      <c r="BP223" s="94" t="s">
        <v>2156</v>
      </c>
      <c r="BQ223" s="94" t="s">
        <v>2215</v>
      </c>
      <c r="BR223" s="94" t="s">
        <v>1612</v>
      </c>
      <c r="BS223" s="94" t="s">
        <v>1612</v>
      </c>
      <c r="BT223" s="94"/>
    </row>
    <row r="224" spans="1:72" ht="18">
      <c r="A224" s="53" t="s">
        <v>4690</v>
      </c>
      <c r="B224" s="54" t="s">
        <v>48</v>
      </c>
      <c r="C224" s="54" t="s">
        <v>48</v>
      </c>
      <c r="D224" s="54" t="s">
        <v>47</v>
      </c>
      <c r="E224" s="54"/>
      <c r="F224" s="53" t="s">
        <v>4690</v>
      </c>
      <c r="BO224" s="200"/>
      <c r="BP224" s="200"/>
    </row>
    <row r="225" spans="1:72" ht="9" customHeight="1">
      <c r="A225" s="95" t="s">
        <v>688</v>
      </c>
      <c r="B225" s="94" t="s">
        <v>4944</v>
      </c>
      <c r="C225" s="94" t="s">
        <v>4944</v>
      </c>
      <c r="D225" s="94" t="s">
        <v>4856</v>
      </c>
      <c r="E225" s="94"/>
      <c r="F225" s="95" t="s">
        <v>688</v>
      </c>
      <c r="BO225" s="200"/>
      <c r="BP225" s="200"/>
    </row>
    <row r="226" spans="1:72" s="192" customFormat="1" ht="36">
      <c r="A226" s="187" t="s">
        <v>4858</v>
      </c>
      <c r="B226" s="141" t="s">
        <v>4857</v>
      </c>
      <c r="C226" s="141" t="s">
        <v>4857</v>
      </c>
      <c r="D226" s="141" t="s">
        <v>4857</v>
      </c>
      <c r="E226" s="141"/>
      <c r="F226" s="187" t="s">
        <v>4691</v>
      </c>
      <c r="G226" s="188" t="s">
        <v>47</v>
      </c>
      <c r="H226" s="188" t="s">
        <v>2163</v>
      </c>
      <c r="I226" s="188" t="s">
        <v>607</v>
      </c>
      <c r="J226" s="188" t="s">
        <v>2163</v>
      </c>
      <c r="K226" s="188" t="s">
        <v>587</v>
      </c>
      <c r="L226" s="188" t="s">
        <v>2843</v>
      </c>
      <c r="M226" s="188" t="s">
        <v>4157</v>
      </c>
      <c r="N226" s="188" t="s">
        <v>2843</v>
      </c>
      <c r="O226" s="188" t="s">
        <v>607</v>
      </c>
      <c r="P226" s="188" t="s">
        <v>2163</v>
      </c>
      <c r="Q226" s="188" t="s">
        <v>3046</v>
      </c>
      <c r="R226" s="188" t="s">
        <v>3046</v>
      </c>
      <c r="S226" s="188" t="s">
        <v>2843</v>
      </c>
      <c r="T226" s="188" t="s">
        <v>892</v>
      </c>
      <c r="U226" s="188" t="s">
        <v>3831</v>
      </c>
      <c r="V226" s="188" t="s">
        <v>3845</v>
      </c>
      <c r="W226" s="188" t="s">
        <v>2844</v>
      </c>
      <c r="X226" s="188" t="s">
        <v>892</v>
      </c>
      <c r="Y226" s="188" t="s">
        <v>2163</v>
      </c>
      <c r="Z226" s="188" t="s">
        <v>1760</v>
      </c>
      <c r="AA226" s="188" t="s">
        <v>2163</v>
      </c>
      <c r="AB226" s="188" t="s">
        <v>4029</v>
      </c>
      <c r="AC226" s="188" t="s">
        <v>2853</v>
      </c>
      <c r="AD226" s="188" t="s">
        <v>2601</v>
      </c>
      <c r="AE226" s="188" t="s">
        <v>3046</v>
      </c>
      <c r="AF226" s="188" t="s">
        <v>587</v>
      </c>
      <c r="AG226" s="188" t="s">
        <v>4225</v>
      </c>
      <c r="AH226" s="188" t="s">
        <v>3691</v>
      </c>
      <c r="AI226" s="188" t="s">
        <v>2845</v>
      </c>
      <c r="AJ226" s="188" t="s">
        <v>2845</v>
      </c>
      <c r="AK226" s="188" t="s">
        <v>2846</v>
      </c>
      <c r="AL226" s="188" t="s">
        <v>587</v>
      </c>
      <c r="AM226" s="188" t="s">
        <v>2842</v>
      </c>
      <c r="AN226" s="188" t="s">
        <v>47</v>
      </c>
      <c r="AO226" s="188" t="s">
        <v>2847</v>
      </c>
      <c r="AP226" s="188" t="s">
        <v>2847</v>
      </c>
      <c r="AQ226" s="188" t="s">
        <v>2848</v>
      </c>
      <c r="AR226" s="188" t="s">
        <v>2849</v>
      </c>
      <c r="AS226" s="188" t="s">
        <v>2850</v>
      </c>
      <c r="AT226" s="188" t="s">
        <v>1251</v>
      </c>
      <c r="AU226" s="188" t="s">
        <v>1251</v>
      </c>
      <c r="AV226" s="188" t="s">
        <v>587</v>
      </c>
      <c r="AW226" s="188" t="s">
        <v>587</v>
      </c>
      <c r="AX226" s="188" t="s">
        <v>39</v>
      </c>
      <c r="AY226" s="188" t="s">
        <v>48</v>
      </c>
      <c r="AZ226" s="188" t="s">
        <v>48</v>
      </c>
      <c r="BA226" s="188" t="s">
        <v>892</v>
      </c>
      <c r="BB226" s="188" t="s">
        <v>1447</v>
      </c>
      <c r="BC226" s="188" t="s">
        <v>371</v>
      </c>
      <c r="BD226" s="188" t="s">
        <v>2842</v>
      </c>
      <c r="BE226" s="188" t="s">
        <v>1251</v>
      </c>
      <c r="BF226" s="188" t="s">
        <v>2601</v>
      </c>
      <c r="BG226" s="188" t="s">
        <v>382</v>
      </c>
      <c r="BH226" s="188" t="s">
        <v>892</v>
      </c>
      <c r="BI226" s="188" t="s">
        <v>892</v>
      </c>
      <c r="BJ226" s="188" t="s">
        <v>2851</v>
      </c>
      <c r="BK226" s="188" t="s">
        <v>587</v>
      </c>
      <c r="BL226" s="188" t="s">
        <v>587</v>
      </c>
      <c r="BM226" s="188" t="s">
        <v>3254</v>
      </c>
      <c r="BN226" s="188" t="s">
        <v>3254</v>
      </c>
      <c r="BO226" s="188" t="s">
        <v>2163</v>
      </c>
      <c r="BP226" s="188" t="s">
        <v>587</v>
      </c>
      <c r="BQ226" s="188" t="s">
        <v>2163</v>
      </c>
      <c r="BR226" s="188" t="s">
        <v>2843</v>
      </c>
      <c r="BS226" s="188" t="s">
        <v>2852</v>
      </c>
      <c r="BT226" s="188" t="s">
        <v>47</v>
      </c>
    </row>
    <row r="227" spans="1:72" s="2" customFormat="1" ht="9" customHeight="1">
      <c r="A227" s="95" t="s">
        <v>688</v>
      </c>
      <c r="B227" s="94" t="s">
        <v>4944</v>
      </c>
      <c r="C227" s="94" t="s">
        <v>4944</v>
      </c>
      <c r="D227" s="94" t="s">
        <v>4856</v>
      </c>
      <c r="E227" s="94"/>
      <c r="F227" s="95" t="s">
        <v>688</v>
      </c>
      <c r="G227" s="94"/>
      <c r="H227" s="94" t="s">
        <v>3120</v>
      </c>
      <c r="I227" s="94" t="s">
        <v>3121</v>
      </c>
      <c r="J227" s="94" t="s">
        <v>1948</v>
      </c>
      <c r="K227" s="94" t="s">
        <v>1976</v>
      </c>
      <c r="L227" s="94" t="s">
        <v>3635</v>
      </c>
      <c r="M227" s="94" t="s">
        <v>2082</v>
      </c>
      <c r="N227" s="94" t="s">
        <v>2692</v>
      </c>
      <c r="O227" s="94" t="s">
        <v>2740</v>
      </c>
      <c r="P227" s="94" t="s">
        <v>2744</v>
      </c>
      <c r="Q227" s="94" t="s">
        <v>2738</v>
      </c>
      <c r="R227" s="94" t="s">
        <v>2738</v>
      </c>
      <c r="S227" s="94" t="s">
        <v>1250</v>
      </c>
      <c r="T227" s="94" t="s">
        <v>2841</v>
      </c>
      <c r="U227" s="94" t="s">
        <v>3830</v>
      </c>
      <c r="V227" s="94" t="s">
        <v>1326</v>
      </c>
      <c r="W227" s="94" t="s">
        <v>1657</v>
      </c>
      <c r="X227" s="94" t="s">
        <v>1250</v>
      </c>
      <c r="Y227" s="94" t="s">
        <v>3701</v>
      </c>
      <c r="Z227" s="94" t="s">
        <v>4045</v>
      </c>
      <c r="AA227" s="94" t="s">
        <v>4044</v>
      </c>
      <c r="AB227" s="94" t="s">
        <v>4084</v>
      </c>
      <c r="AC227" s="94" t="s">
        <v>807</v>
      </c>
      <c r="AD227" s="94" t="s">
        <v>3952</v>
      </c>
      <c r="AE227" s="94" t="s">
        <v>3953</v>
      </c>
      <c r="AF227" s="94" t="s">
        <v>3954</v>
      </c>
      <c r="AG227" s="94" t="s">
        <v>4226</v>
      </c>
      <c r="AH227" s="94" t="s">
        <v>3690</v>
      </c>
      <c r="AI227" s="94" t="s">
        <v>2431</v>
      </c>
      <c r="AJ227" s="94" t="s">
        <v>2432</v>
      </c>
      <c r="AK227" s="94" t="s">
        <v>2433</v>
      </c>
      <c r="AL227" s="94" t="s">
        <v>2309</v>
      </c>
      <c r="AM227" s="94" t="s">
        <v>1130</v>
      </c>
      <c r="AN227" s="94"/>
      <c r="AO227" s="94" t="s">
        <v>2463</v>
      </c>
      <c r="AP227" s="94" t="s">
        <v>2463</v>
      </c>
      <c r="AQ227" s="94" t="s">
        <v>1250</v>
      </c>
      <c r="AR227" s="94" t="s">
        <v>3321</v>
      </c>
      <c r="AS227" s="94" t="s">
        <v>3321</v>
      </c>
      <c r="AT227" s="94" t="s">
        <v>3496</v>
      </c>
      <c r="AU227" s="94" t="s">
        <v>3496</v>
      </c>
      <c r="AV227" s="94" t="s">
        <v>3496</v>
      </c>
      <c r="AW227" s="94" t="s">
        <v>3495</v>
      </c>
      <c r="AX227" s="94"/>
      <c r="AY227" s="94"/>
      <c r="AZ227" s="94"/>
      <c r="BA227" s="94" t="s">
        <v>1446</v>
      </c>
      <c r="BB227" s="94" t="s">
        <v>1446</v>
      </c>
      <c r="BC227" s="94"/>
      <c r="BD227" s="94" t="s">
        <v>1250</v>
      </c>
      <c r="BE227" s="94" t="s">
        <v>1250</v>
      </c>
      <c r="BF227" s="94" t="s">
        <v>1250</v>
      </c>
      <c r="BG227" s="94" t="s">
        <v>1720</v>
      </c>
      <c r="BH227" s="94" t="s">
        <v>893</v>
      </c>
      <c r="BI227" s="94" t="s">
        <v>893</v>
      </c>
      <c r="BJ227" s="94" t="s">
        <v>1336</v>
      </c>
      <c r="BK227" s="94" t="s">
        <v>1336</v>
      </c>
      <c r="BL227" s="94" t="s">
        <v>785</v>
      </c>
      <c r="BM227" s="94" t="s">
        <v>3221</v>
      </c>
      <c r="BN227" s="94" t="s">
        <v>3221</v>
      </c>
      <c r="BO227" s="94" t="s">
        <v>3405</v>
      </c>
      <c r="BP227" s="94" t="s">
        <v>2117</v>
      </c>
      <c r="BQ227" s="94" t="s">
        <v>2182</v>
      </c>
      <c r="BR227" s="94" t="s">
        <v>1585</v>
      </c>
      <c r="BS227" s="94" t="s">
        <v>1609</v>
      </c>
      <c r="BT227" s="94"/>
    </row>
    <row r="228" spans="1:72" s="2" customFormat="1" ht="39.950000000000003" customHeight="1">
      <c r="A228" s="187" t="s">
        <v>5727</v>
      </c>
      <c r="B228" s="54"/>
      <c r="C228" s="54"/>
      <c r="D228" s="54"/>
      <c r="E228" s="54"/>
      <c r="F228" s="187" t="s">
        <v>5727</v>
      </c>
      <c r="G228" s="212"/>
      <c r="H228" s="54"/>
      <c r="I228" s="54"/>
      <c r="J228" s="54"/>
      <c r="K228" s="54" t="s">
        <v>5729</v>
      </c>
      <c r="L228" s="54"/>
      <c r="M228" s="54"/>
      <c r="N228" s="54"/>
      <c r="O228" s="54"/>
      <c r="P228" s="54"/>
      <c r="Q228" s="54"/>
      <c r="R228" s="54"/>
      <c r="S228" s="54"/>
      <c r="T228" s="54"/>
      <c r="U228" s="54"/>
      <c r="V228" s="54"/>
      <c r="W228" s="54"/>
      <c r="X228" s="54"/>
      <c r="Y228" s="54"/>
      <c r="Z228" s="54"/>
      <c r="AA228" s="54"/>
      <c r="AB228" s="54"/>
      <c r="AE228" s="19"/>
      <c r="AF228" s="20"/>
      <c r="AG228" s="11"/>
      <c r="AH228" s="19"/>
      <c r="AI228" s="19"/>
      <c r="AJ228" s="19"/>
    </row>
    <row r="229" spans="1:72" s="14" customFormat="1" ht="9" customHeight="1">
      <c r="A229" s="95" t="s">
        <v>688</v>
      </c>
      <c r="B229" s="94"/>
      <c r="C229" s="94"/>
      <c r="D229" s="94"/>
      <c r="E229" s="94"/>
      <c r="F229" s="95" t="s">
        <v>688</v>
      </c>
      <c r="G229" s="238"/>
      <c r="H229" s="94"/>
      <c r="I229" s="94"/>
      <c r="J229" s="94"/>
      <c r="K229" s="94" t="s">
        <v>5728</v>
      </c>
      <c r="L229" s="94"/>
      <c r="M229" s="94"/>
      <c r="N229" s="94"/>
      <c r="O229" s="94"/>
      <c r="P229" s="94"/>
      <c r="Q229" s="94"/>
      <c r="R229" s="94"/>
      <c r="S229" s="94"/>
      <c r="T229" s="94"/>
      <c r="U229" s="94"/>
      <c r="V229" s="94"/>
      <c r="W229" s="94"/>
      <c r="X229" s="94"/>
      <c r="Y229" s="94"/>
      <c r="Z229" s="94"/>
      <c r="AA229" s="94"/>
      <c r="AB229" s="94"/>
    </row>
    <row r="230" spans="1:72" s="14" customFormat="1" ht="18">
      <c r="A230" s="53" t="s">
        <v>5239</v>
      </c>
      <c r="B230" s="54" t="s">
        <v>5106</v>
      </c>
      <c r="C230" s="54" t="s">
        <v>5106</v>
      </c>
      <c r="D230" s="54" t="s">
        <v>652</v>
      </c>
      <c r="E230" s="54"/>
      <c r="F230" s="53" t="s">
        <v>76</v>
      </c>
      <c r="G230" s="54" t="s">
        <v>264</v>
      </c>
      <c r="H230" s="54" t="s">
        <v>2164</v>
      </c>
      <c r="I230" s="54" t="s">
        <v>2164</v>
      </c>
      <c r="J230" s="54" t="s">
        <v>2005</v>
      </c>
      <c r="K230" s="54" t="s">
        <v>2005</v>
      </c>
      <c r="L230" s="54" t="s">
        <v>652</v>
      </c>
      <c r="M230" s="123" t="s">
        <v>2640</v>
      </c>
      <c r="N230" s="54" t="s">
        <v>3031</v>
      </c>
      <c r="O230" s="54" t="s">
        <v>242</v>
      </c>
      <c r="P230" s="54" t="s">
        <v>242</v>
      </c>
      <c r="Q230" s="54" t="s">
        <v>242</v>
      </c>
      <c r="R230" s="54" t="s">
        <v>242</v>
      </c>
      <c r="S230" s="54" t="s">
        <v>242</v>
      </c>
      <c r="T230" s="54" t="s">
        <v>242</v>
      </c>
      <c r="U230" s="54" t="s">
        <v>3834</v>
      </c>
      <c r="V230" s="54" t="s">
        <v>242</v>
      </c>
      <c r="W230" s="54" t="s">
        <v>242</v>
      </c>
      <c r="X230" s="54" t="s">
        <v>242</v>
      </c>
      <c r="Y230" s="54" t="s">
        <v>1334</v>
      </c>
      <c r="Z230" s="123" t="s">
        <v>4108</v>
      </c>
      <c r="AA230" s="123" t="s">
        <v>4108</v>
      </c>
      <c r="AB230" s="123" t="s">
        <v>4108</v>
      </c>
      <c r="AC230" s="54" t="s">
        <v>817</v>
      </c>
      <c r="AD230" s="54" t="s">
        <v>242</v>
      </c>
      <c r="AE230" s="54" t="s">
        <v>3958</v>
      </c>
      <c r="AF230" s="54" t="s">
        <v>3958</v>
      </c>
      <c r="AG230" s="54" t="s">
        <v>4229</v>
      </c>
      <c r="AH230" s="54" t="s">
        <v>3689</v>
      </c>
      <c r="AI230" s="54" t="s">
        <v>2376</v>
      </c>
      <c r="AJ230" s="54" t="s">
        <v>2376</v>
      </c>
      <c r="AK230" s="54" t="s">
        <v>2240</v>
      </c>
      <c r="AL230" s="54" t="s">
        <v>2240</v>
      </c>
      <c r="AM230" s="54" t="s">
        <v>1123</v>
      </c>
      <c r="AN230" s="54" t="s">
        <v>41</v>
      </c>
      <c r="AO230" s="54" t="s">
        <v>2531</v>
      </c>
      <c r="AP230" s="54" t="s">
        <v>2240</v>
      </c>
      <c r="AQ230" s="54" t="s">
        <v>2588</v>
      </c>
      <c r="AR230" s="54" t="s">
        <v>2376</v>
      </c>
      <c r="AS230" s="54" t="s">
        <v>2240</v>
      </c>
      <c r="AT230" s="54" t="s">
        <v>3559</v>
      </c>
      <c r="AU230" s="54" t="s">
        <v>3559</v>
      </c>
      <c r="AV230" s="54" t="s">
        <v>3559</v>
      </c>
      <c r="AW230" s="54" t="s">
        <v>3559</v>
      </c>
      <c r="AX230" s="54" t="s">
        <v>39</v>
      </c>
      <c r="AY230" s="54" t="s">
        <v>243</v>
      </c>
      <c r="AZ230" s="54" t="s">
        <v>243</v>
      </c>
      <c r="BA230" s="54" t="s">
        <v>242</v>
      </c>
      <c r="BB230" s="54" t="s">
        <v>1452</v>
      </c>
      <c r="BC230" s="54" t="s">
        <v>378</v>
      </c>
      <c r="BD230" s="54" t="s">
        <v>2902</v>
      </c>
      <c r="BE230" s="54" t="s">
        <v>3389</v>
      </c>
      <c r="BF230" s="54" t="s">
        <v>242</v>
      </c>
      <c r="BG230" s="54" t="s">
        <v>242</v>
      </c>
      <c r="BH230" s="54" t="s">
        <v>242</v>
      </c>
      <c r="BI230" s="54" t="s">
        <v>242</v>
      </c>
      <c r="BJ230" s="54" t="s">
        <v>1333</v>
      </c>
      <c r="BK230" s="54" t="s">
        <v>1333</v>
      </c>
      <c r="BL230" s="54" t="s">
        <v>1334</v>
      </c>
      <c r="BM230" s="54" t="s">
        <v>2588</v>
      </c>
      <c r="BN230" s="54" t="s">
        <v>2588</v>
      </c>
      <c r="BO230" s="54" t="s">
        <v>1333</v>
      </c>
      <c r="BP230" s="54" t="s">
        <v>1333</v>
      </c>
      <c r="BQ230" s="54" t="s">
        <v>2164</v>
      </c>
      <c r="BR230" s="54" t="s">
        <v>41</v>
      </c>
      <c r="BS230" s="54" t="s">
        <v>41</v>
      </c>
      <c r="BT230" s="54" t="s">
        <v>2165</v>
      </c>
    </row>
    <row r="231" spans="1:72" s="2" customFormat="1" ht="9" customHeight="1">
      <c r="A231" s="95" t="s">
        <v>688</v>
      </c>
      <c r="B231" s="94" t="s">
        <v>5107</v>
      </c>
      <c r="C231" s="94" t="s">
        <v>5107</v>
      </c>
      <c r="D231" s="94" t="s">
        <v>4879</v>
      </c>
      <c r="E231" s="94"/>
      <c r="F231" s="95" t="s">
        <v>688</v>
      </c>
      <c r="G231" s="94"/>
      <c r="H231" s="94" t="s">
        <v>3112</v>
      </c>
      <c r="I231" s="94" t="s">
        <v>3111</v>
      </c>
      <c r="J231" s="94" t="s">
        <v>2004</v>
      </c>
      <c r="K231" s="94" t="s">
        <v>2004</v>
      </c>
      <c r="L231" s="94"/>
      <c r="M231" s="94" t="s">
        <v>2639</v>
      </c>
      <c r="N231" s="94" t="s">
        <v>3030</v>
      </c>
      <c r="O231" s="94" t="s">
        <v>1395</v>
      </c>
      <c r="P231" s="94" t="s">
        <v>1395</v>
      </c>
      <c r="Q231" s="94" t="s">
        <v>3066</v>
      </c>
      <c r="R231" s="94" t="s">
        <v>3066</v>
      </c>
      <c r="S231" s="94" t="s">
        <v>1395</v>
      </c>
      <c r="T231" s="94" t="s">
        <v>2840</v>
      </c>
      <c r="U231" s="94" t="s">
        <v>3833</v>
      </c>
      <c r="V231" s="94" t="s">
        <v>1395</v>
      </c>
      <c r="W231" s="94" t="s">
        <v>1690</v>
      </c>
      <c r="X231" s="94" t="s">
        <v>1395</v>
      </c>
      <c r="Y231" s="94" t="s">
        <v>3066</v>
      </c>
      <c r="Z231" s="94" t="s">
        <v>4107</v>
      </c>
      <c r="AA231" s="94" t="s">
        <v>4107</v>
      </c>
      <c r="AB231" s="94" t="s">
        <v>4107</v>
      </c>
      <c r="AC231" s="94" t="s">
        <v>818</v>
      </c>
      <c r="AD231" s="94" t="s">
        <v>3959</v>
      </c>
      <c r="AE231" s="94" t="s">
        <v>3960</v>
      </c>
      <c r="AF231" s="94" t="s">
        <v>3961</v>
      </c>
      <c r="AG231" s="94" t="s">
        <v>4230</v>
      </c>
      <c r="AH231" s="94" t="s">
        <v>3688</v>
      </c>
      <c r="AI231" s="94" t="s">
        <v>2414</v>
      </c>
      <c r="AJ231" s="94" t="s">
        <v>2375</v>
      </c>
      <c r="AK231" s="94" t="s">
        <v>2326</v>
      </c>
      <c r="AL231" s="94" t="s">
        <v>2262</v>
      </c>
      <c r="AM231" s="94" t="s">
        <v>1162</v>
      </c>
      <c r="AN231" s="94"/>
      <c r="AO231" s="94" t="s">
        <v>2530</v>
      </c>
      <c r="AP231" s="94" t="s">
        <v>2471</v>
      </c>
      <c r="AQ231" s="94" t="s">
        <v>1395</v>
      </c>
      <c r="AR231" s="94" t="s">
        <v>3322</v>
      </c>
      <c r="AS231" s="94" t="s">
        <v>3322</v>
      </c>
      <c r="AT231" s="94" t="s">
        <v>3504</v>
      </c>
      <c r="AU231" s="94" t="s">
        <v>3504</v>
      </c>
      <c r="AV231" s="94" t="s">
        <v>3504</v>
      </c>
      <c r="AW231" s="94" t="s">
        <v>3504</v>
      </c>
      <c r="AX231" s="94"/>
      <c r="AY231" s="94"/>
      <c r="AZ231" s="94"/>
      <c r="BA231" s="94" t="s">
        <v>1506</v>
      </c>
      <c r="BB231" s="94" t="s">
        <v>1453</v>
      </c>
      <c r="BC231" s="94"/>
      <c r="BD231" s="94" t="s">
        <v>1395</v>
      </c>
      <c r="BE231" s="94" t="s">
        <v>1259</v>
      </c>
      <c r="BF231" s="94" t="s">
        <v>1395</v>
      </c>
      <c r="BG231" s="94" t="s">
        <v>1732</v>
      </c>
      <c r="BH231" s="94" t="s">
        <v>894</v>
      </c>
      <c r="BI231" s="94" t="s">
        <v>894</v>
      </c>
      <c r="BJ231" s="94" t="s">
        <v>1335</v>
      </c>
      <c r="BK231" s="94" t="s">
        <v>1335</v>
      </c>
      <c r="BL231" s="94" t="s">
        <v>787</v>
      </c>
      <c r="BM231" s="94" t="s">
        <v>3249</v>
      </c>
      <c r="BN231" s="94" t="s">
        <v>3249</v>
      </c>
      <c r="BO231" s="94" t="s">
        <v>2150</v>
      </c>
      <c r="BP231" s="94" t="s">
        <v>2150</v>
      </c>
      <c r="BQ231" s="94" t="s">
        <v>2188</v>
      </c>
      <c r="BR231" s="94" t="s">
        <v>1641</v>
      </c>
      <c r="BS231" s="94" t="s">
        <v>1641</v>
      </c>
      <c r="BT231" s="94"/>
    </row>
    <row r="232" spans="1:72" ht="9" customHeight="1">
      <c r="A232" s="200"/>
      <c r="B232" s="203"/>
      <c r="C232" s="203"/>
      <c r="D232" s="203"/>
      <c r="E232" s="246"/>
    </row>
    <row r="233" spans="1:72">
      <c r="A233" s="176" t="s">
        <v>4814</v>
      </c>
      <c r="B233" s="202" t="str">
        <f>B1</f>
        <v xml:space="preserve">Interlloyd Premium Plus </v>
      </c>
      <c r="C233" s="202" t="str">
        <f>C1</f>
        <v xml:space="preserve">Interlloyd Premium Plus HB </v>
      </c>
      <c r="D233" s="202" t="str">
        <f>D1</f>
        <v>Interlloyd Protect</v>
      </c>
      <c r="E233" s="140"/>
      <c r="F233" s="50" t="s">
        <v>4814</v>
      </c>
      <c r="BO233" s="200"/>
      <c r="BP233" s="200"/>
    </row>
    <row r="234" spans="1:72" s="14" customFormat="1" ht="13.5" customHeight="1">
      <c r="A234" s="53" t="s">
        <v>105</v>
      </c>
      <c r="B234" s="48">
        <v>0.8</v>
      </c>
      <c r="C234" s="48">
        <v>1</v>
      </c>
      <c r="D234" s="48">
        <v>0.75</v>
      </c>
      <c r="E234" s="48"/>
      <c r="F234" s="53" t="s">
        <v>105</v>
      </c>
      <c r="G234" s="48">
        <v>0.75</v>
      </c>
      <c r="H234" s="48" t="s">
        <v>3127</v>
      </c>
      <c r="I234" s="48" t="s">
        <v>3127</v>
      </c>
      <c r="J234" s="48">
        <v>0.8</v>
      </c>
      <c r="K234" s="48">
        <v>0.85</v>
      </c>
      <c r="L234" s="48">
        <v>0.8</v>
      </c>
      <c r="M234" s="131">
        <v>0.75</v>
      </c>
      <c r="N234" s="48">
        <v>0.8</v>
      </c>
      <c r="O234" s="48">
        <v>0.7</v>
      </c>
      <c r="P234" s="48">
        <v>0.8</v>
      </c>
      <c r="Q234" s="48">
        <v>0.75</v>
      </c>
      <c r="R234" s="48">
        <v>0.75</v>
      </c>
      <c r="S234" s="48">
        <v>0.7</v>
      </c>
      <c r="T234" s="48">
        <v>1</v>
      </c>
      <c r="U234" s="48">
        <v>0.7</v>
      </c>
      <c r="V234" s="48">
        <v>0.7</v>
      </c>
      <c r="W234" s="48">
        <v>0.7</v>
      </c>
      <c r="X234" s="48">
        <v>0.7</v>
      </c>
      <c r="Y234" s="48">
        <v>0.8</v>
      </c>
      <c r="Z234" s="131">
        <v>0.7</v>
      </c>
      <c r="AA234" s="131">
        <v>0.75</v>
      </c>
      <c r="AB234" s="131">
        <v>0.8</v>
      </c>
      <c r="AC234" s="48">
        <v>0.8</v>
      </c>
      <c r="AD234" s="48" t="s">
        <v>3987</v>
      </c>
      <c r="AE234" s="48" t="s">
        <v>3987</v>
      </c>
      <c r="AF234" s="48" t="s">
        <v>3987</v>
      </c>
      <c r="AG234" s="48" t="s">
        <v>4247</v>
      </c>
      <c r="AH234" s="48">
        <v>0.8</v>
      </c>
      <c r="AI234" s="48">
        <v>0.7</v>
      </c>
      <c r="AJ234" s="48">
        <v>0.7</v>
      </c>
      <c r="AK234" s="48">
        <v>0.8</v>
      </c>
      <c r="AL234" s="48">
        <v>0.8</v>
      </c>
      <c r="AM234" s="48">
        <v>0.8</v>
      </c>
      <c r="AN234" s="48">
        <v>0.75</v>
      </c>
      <c r="AO234" s="48">
        <v>0.8</v>
      </c>
      <c r="AP234" s="48">
        <v>0.8</v>
      </c>
      <c r="AQ234" s="48">
        <v>0.75</v>
      </c>
      <c r="AR234" s="48" t="s">
        <v>974</v>
      </c>
      <c r="AS234" s="48" t="s">
        <v>989</v>
      </c>
      <c r="AT234" s="48" t="s">
        <v>3465</v>
      </c>
      <c r="AU234" s="48" t="s">
        <v>3465</v>
      </c>
      <c r="AV234" s="48" t="s">
        <v>3448</v>
      </c>
      <c r="AW234" s="48" t="s">
        <v>3448</v>
      </c>
      <c r="AX234" s="48" t="s">
        <v>39</v>
      </c>
      <c r="AY234" s="48">
        <v>1</v>
      </c>
      <c r="AZ234" s="48">
        <v>1</v>
      </c>
      <c r="BA234" s="48">
        <v>0.7</v>
      </c>
      <c r="BB234" s="48">
        <v>0.85</v>
      </c>
      <c r="BC234" s="48">
        <v>0.7</v>
      </c>
      <c r="BD234" s="48">
        <v>0.9</v>
      </c>
      <c r="BE234" s="48">
        <v>0.7</v>
      </c>
      <c r="BF234" s="48">
        <v>0.7</v>
      </c>
      <c r="BG234" s="48">
        <v>0.7</v>
      </c>
      <c r="BH234" s="48">
        <v>0.7</v>
      </c>
      <c r="BI234" s="48">
        <v>0.7</v>
      </c>
      <c r="BJ234" s="48">
        <v>0.75</v>
      </c>
      <c r="BK234" s="48">
        <v>0.8</v>
      </c>
      <c r="BL234" s="48" t="s">
        <v>2991</v>
      </c>
      <c r="BM234" s="48">
        <v>0.7</v>
      </c>
      <c r="BN234" s="48">
        <v>0.8</v>
      </c>
      <c r="BO234" s="48">
        <v>0.8</v>
      </c>
      <c r="BP234" s="48">
        <v>0.8</v>
      </c>
      <c r="BQ234" s="48">
        <v>0.8</v>
      </c>
      <c r="BR234" s="48">
        <v>0.8</v>
      </c>
      <c r="BS234" s="48">
        <v>0.8</v>
      </c>
      <c r="BT234" s="48">
        <v>0.75</v>
      </c>
    </row>
    <row r="235" spans="1:72" s="2" customFormat="1" ht="9" customHeight="1">
      <c r="A235" s="95" t="s">
        <v>688</v>
      </c>
      <c r="B235" s="94" t="s">
        <v>4950</v>
      </c>
      <c r="C235" s="94" t="s">
        <v>5162</v>
      </c>
      <c r="D235" s="94" t="s">
        <v>4859</v>
      </c>
      <c r="E235" s="94"/>
      <c r="F235" s="95" t="s">
        <v>688</v>
      </c>
      <c r="G235" s="94"/>
      <c r="H235" s="94" t="s">
        <v>3125</v>
      </c>
      <c r="I235" s="94" t="s">
        <v>3126</v>
      </c>
      <c r="J235" s="94" t="s">
        <v>1925</v>
      </c>
      <c r="K235" s="94" t="s">
        <v>1926</v>
      </c>
      <c r="L235" s="94" t="s">
        <v>3636</v>
      </c>
      <c r="M235" s="94" t="s">
        <v>2633</v>
      </c>
      <c r="N235" s="94" t="s">
        <v>2709</v>
      </c>
      <c r="O235" s="94" t="s">
        <v>2780</v>
      </c>
      <c r="P235" s="94" t="s">
        <v>2745</v>
      </c>
      <c r="Q235" s="94" t="s">
        <v>2737</v>
      </c>
      <c r="R235" s="94" t="s">
        <v>2737</v>
      </c>
      <c r="S235" s="94" t="s">
        <v>1381</v>
      </c>
      <c r="T235" s="94" t="s">
        <v>2794</v>
      </c>
      <c r="U235" s="94" t="s">
        <v>1290</v>
      </c>
      <c r="V235" s="94" t="s">
        <v>1381</v>
      </c>
      <c r="W235" s="94" t="s">
        <v>1656</v>
      </c>
      <c r="X235" s="94" t="s">
        <v>1381</v>
      </c>
      <c r="Y235" s="94" t="s">
        <v>3716</v>
      </c>
      <c r="Z235" s="94" t="s">
        <v>4048</v>
      </c>
      <c r="AA235" s="94" t="s">
        <v>4051</v>
      </c>
      <c r="AB235" s="94" t="s">
        <v>4085</v>
      </c>
      <c r="AC235" s="94" t="s">
        <v>808</v>
      </c>
      <c r="AD235" s="94" t="s">
        <v>1381</v>
      </c>
      <c r="AE235" s="94" t="s">
        <v>1381</v>
      </c>
      <c r="AF235" s="94" t="s">
        <v>1381</v>
      </c>
      <c r="AG235" s="94" t="s">
        <v>4246</v>
      </c>
      <c r="AH235" s="94" t="s">
        <v>2740</v>
      </c>
      <c r="AI235" s="94" t="s">
        <v>1381</v>
      </c>
      <c r="AJ235" s="94" t="s">
        <v>2369</v>
      </c>
      <c r="AK235" s="94" t="s">
        <v>2310</v>
      </c>
      <c r="AL235" s="94" t="s">
        <v>2248</v>
      </c>
      <c r="AM235" s="94" t="s">
        <v>1131</v>
      </c>
      <c r="AN235" s="94"/>
      <c r="AO235" s="94" t="s">
        <v>2454</v>
      </c>
      <c r="AP235" s="94" t="s">
        <v>2454</v>
      </c>
      <c r="AQ235" s="94" t="s">
        <v>1381</v>
      </c>
      <c r="AR235" s="94" t="s">
        <v>3315</v>
      </c>
      <c r="AS235" s="94" t="s">
        <v>3314</v>
      </c>
      <c r="AT235" s="94" t="s">
        <v>3498</v>
      </c>
      <c r="AU235" s="94" t="s">
        <v>3498</v>
      </c>
      <c r="AV235" s="94" t="s">
        <v>3498</v>
      </c>
      <c r="AW235" s="94" t="s">
        <v>3498</v>
      </c>
      <c r="AX235" s="94"/>
      <c r="AY235" s="94"/>
      <c r="AZ235" s="94"/>
      <c r="BA235" s="94" t="s">
        <v>1430</v>
      </c>
      <c r="BB235" s="94" t="s">
        <v>1430</v>
      </c>
      <c r="BC235" s="94"/>
      <c r="BD235" s="94" t="s">
        <v>2887</v>
      </c>
      <c r="BE235" s="94" t="s">
        <v>1381</v>
      </c>
      <c r="BF235" s="94" t="s">
        <v>1381</v>
      </c>
      <c r="BG235" s="94" t="s">
        <v>1704</v>
      </c>
      <c r="BH235" s="94" t="s">
        <v>869</v>
      </c>
      <c r="BI235" s="94" t="s">
        <v>869</v>
      </c>
      <c r="BJ235" s="94" t="s">
        <v>1283</v>
      </c>
      <c r="BK235" s="94" t="s">
        <v>1283</v>
      </c>
      <c r="BL235" s="94" t="s">
        <v>2959</v>
      </c>
      <c r="BM235" s="94" t="s">
        <v>3222</v>
      </c>
      <c r="BN235" s="94" t="s">
        <v>3222</v>
      </c>
      <c r="BO235" s="94" t="s">
        <v>3400</v>
      </c>
      <c r="BP235" s="94" t="s">
        <v>2108</v>
      </c>
      <c r="BQ235" s="94" t="s">
        <v>2168</v>
      </c>
      <c r="BR235" s="94" t="s">
        <v>1578</v>
      </c>
      <c r="BS235" s="94" t="s">
        <v>1578</v>
      </c>
      <c r="BT235" s="94"/>
    </row>
    <row r="236" spans="1:72" s="14" customFormat="1" ht="13.5" customHeight="1">
      <c r="A236" s="53" t="s">
        <v>4801</v>
      </c>
      <c r="B236" s="48">
        <v>0.8</v>
      </c>
      <c r="C236" s="48">
        <v>1</v>
      </c>
      <c r="D236" s="48">
        <v>0.7</v>
      </c>
      <c r="E236" s="48"/>
      <c r="F236" s="53" t="s">
        <v>4801</v>
      </c>
      <c r="G236" s="48" t="s">
        <v>39</v>
      </c>
      <c r="H236" s="48">
        <v>0.8</v>
      </c>
      <c r="I236" s="48">
        <v>0.8</v>
      </c>
      <c r="J236" s="48">
        <v>0.75</v>
      </c>
      <c r="K236" s="48">
        <v>0.8</v>
      </c>
      <c r="L236" s="48">
        <v>0.75</v>
      </c>
      <c r="M236" s="131">
        <v>0.75</v>
      </c>
      <c r="N236" s="48" t="s">
        <v>2711</v>
      </c>
      <c r="O236" s="48">
        <v>0.65</v>
      </c>
      <c r="P236" s="48">
        <v>0.7</v>
      </c>
      <c r="Q236" s="48">
        <v>0.7</v>
      </c>
      <c r="R236" s="48">
        <v>0.7</v>
      </c>
      <c r="S236" s="48">
        <v>0.65</v>
      </c>
      <c r="T236" s="48">
        <v>0.65</v>
      </c>
      <c r="U236" s="48">
        <v>0.7</v>
      </c>
      <c r="V236" s="48">
        <v>0.65</v>
      </c>
      <c r="W236" s="48">
        <v>0.65</v>
      </c>
      <c r="X236" s="48">
        <v>0.65</v>
      </c>
      <c r="Y236" s="48">
        <v>0.75</v>
      </c>
      <c r="Z236" s="131">
        <v>0.7</v>
      </c>
      <c r="AA236" s="131">
        <v>0.7</v>
      </c>
      <c r="AB236" s="131">
        <v>0.75</v>
      </c>
      <c r="AC236" s="48">
        <v>0.75</v>
      </c>
      <c r="AD236" s="48" t="s">
        <v>3988</v>
      </c>
      <c r="AE236" s="48" t="s">
        <v>3988</v>
      </c>
      <c r="AF236" s="48" t="s">
        <v>3988</v>
      </c>
      <c r="AG236" s="48" t="s">
        <v>4248</v>
      </c>
      <c r="AH236" s="48">
        <v>0.75</v>
      </c>
      <c r="AI236" s="48">
        <v>0.65</v>
      </c>
      <c r="AJ236" s="48">
        <v>0.7</v>
      </c>
      <c r="AK236" s="48">
        <v>0.8</v>
      </c>
      <c r="AL236" s="48">
        <v>0.8</v>
      </c>
      <c r="AM236" s="48">
        <v>0.75</v>
      </c>
      <c r="AN236" s="48">
        <v>0.7</v>
      </c>
      <c r="AO236" s="48">
        <v>0.8</v>
      </c>
      <c r="AP236" s="48">
        <v>0.8</v>
      </c>
      <c r="AQ236" s="48">
        <v>0.7</v>
      </c>
      <c r="AR236" s="48" t="s">
        <v>974</v>
      </c>
      <c r="AS236" s="48" t="s">
        <v>989</v>
      </c>
      <c r="AT236" s="48" t="s">
        <v>3465</v>
      </c>
      <c r="AU236" s="48" t="s">
        <v>3465</v>
      </c>
      <c r="AV236" s="48" t="s">
        <v>3448</v>
      </c>
      <c r="AW236" s="48" t="s">
        <v>3448</v>
      </c>
      <c r="AX236" s="48" t="s">
        <v>39</v>
      </c>
      <c r="AY236" s="48" t="s">
        <v>234</v>
      </c>
      <c r="AZ236" s="48" t="s">
        <v>234</v>
      </c>
      <c r="BA236" s="48">
        <v>0.65</v>
      </c>
      <c r="BB236" s="48" t="s">
        <v>39</v>
      </c>
      <c r="BC236" s="48">
        <v>0.65</v>
      </c>
      <c r="BD236" s="48">
        <v>0.8</v>
      </c>
      <c r="BE236" s="48">
        <v>0.65</v>
      </c>
      <c r="BF236" s="48">
        <v>0.65</v>
      </c>
      <c r="BG236" s="48">
        <v>0.65</v>
      </c>
      <c r="BH236" s="48">
        <v>0.65</v>
      </c>
      <c r="BI236" s="48">
        <v>0.65</v>
      </c>
      <c r="BJ236" s="48">
        <v>0.7</v>
      </c>
      <c r="BK236" s="48">
        <v>0.75</v>
      </c>
      <c r="BL236" s="48" t="s">
        <v>2992</v>
      </c>
      <c r="BM236" s="48">
        <v>0.65</v>
      </c>
      <c r="BN236" s="48">
        <v>0.8</v>
      </c>
      <c r="BO236" s="48">
        <v>0.75</v>
      </c>
      <c r="BP236" s="48">
        <v>0.8</v>
      </c>
      <c r="BQ236" s="48">
        <v>0.8</v>
      </c>
      <c r="BR236" s="48">
        <v>0.75</v>
      </c>
      <c r="BS236" s="48">
        <v>0.75</v>
      </c>
      <c r="BT236" s="48">
        <v>0.75</v>
      </c>
    </row>
    <row r="237" spans="1:72" s="2" customFormat="1" ht="9" customHeight="1">
      <c r="A237" s="95" t="s">
        <v>688</v>
      </c>
      <c r="B237" s="94" t="s">
        <v>4950</v>
      </c>
      <c r="C237" s="94" t="s">
        <v>5162</v>
      </c>
      <c r="D237" s="94" t="s">
        <v>4859</v>
      </c>
      <c r="E237" s="94"/>
      <c r="F237" s="95" t="s">
        <v>688</v>
      </c>
      <c r="G237" s="94"/>
      <c r="H237" s="94" t="s">
        <v>3125</v>
      </c>
      <c r="I237" s="94" t="s">
        <v>3126</v>
      </c>
      <c r="J237" s="94" t="s">
        <v>1925</v>
      </c>
      <c r="K237" s="94" t="s">
        <v>1926</v>
      </c>
      <c r="L237" s="94" t="s">
        <v>3636</v>
      </c>
      <c r="M237" s="94" t="s">
        <v>2633</v>
      </c>
      <c r="N237" s="94" t="s">
        <v>2710</v>
      </c>
      <c r="O237" s="94" t="s">
        <v>2780</v>
      </c>
      <c r="P237" s="94" t="s">
        <v>2745</v>
      </c>
      <c r="Q237" s="94" t="s">
        <v>2737</v>
      </c>
      <c r="R237" s="94" t="s">
        <v>2737</v>
      </c>
      <c r="S237" s="94" t="s">
        <v>1381</v>
      </c>
      <c r="T237" s="94" t="s">
        <v>2792</v>
      </c>
      <c r="U237" s="94" t="s">
        <v>1290</v>
      </c>
      <c r="V237" s="94" t="s">
        <v>1381</v>
      </c>
      <c r="W237" s="94" t="s">
        <v>1656</v>
      </c>
      <c r="X237" s="94" t="s">
        <v>1381</v>
      </c>
      <c r="Y237" s="94" t="s">
        <v>3716</v>
      </c>
      <c r="Z237" s="94" t="s">
        <v>4048</v>
      </c>
      <c r="AA237" s="94" t="s">
        <v>4051</v>
      </c>
      <c r="AB237" s="94" t="s">
        <v>4085</v>
      </c>
      <c r="AC237" s="94" t="s">
        <v>808</v>
      </c>
      <c r="AD237" s="94" t="s">
        <v>1381</v>
      </c>
      <c r="AE237" s="94" t="s">
        <v>1381</v>
      </c>
      <c r="AF237" s="94" t="s">
        <v>1381</v>
      </c>
      <c r="AG237" s="94" t="s">
        <v>4246</v>
      </c>
      <c r="AH237" s="94" t="s">
        <v>2740</v>
      </c>
      <c r="AI237" s="94" t="s">
        <v>1381</v>
      </c>
      <c r="AJ237" s="94" t="s">
        <v>2369</v>
      </c>
      <c r="AK237" s="94" t="s">
        <v>2310</v>
      </c>
      <c r="AL237" s="94" t="s">
        <v>2248</v>
      </c>
      <c r="AM237" s="94" t="s">
        <v>1131</v>
      </c>
      <c r="AN237" s="94"/>
      <c r="AO237" s="94" t="s">
        <v>2454</v>
      </c>
      <c r="AP237" s="94" t="s">
        <v>2454</v>
      </c>
      <c r="AQ237" s="94" t="s">
        <v>1381</v>
      </c>
      <c r="AR237" s="94" t="s">
        <v>3315</v>
      </c>
      <c r="AS237" s="94" t="s">
        <v>3314</v>
      </c>
      <c r="AT237" s="94" t="s">
        <v>3498</v>
      </c>
      <c r="AU237" s="94" t="s">
        <v>3498</v>
      </c>
      <c r="AV237" s="94" t="s">
        <v>3498</v>
      </c>
      <c r="AW237" s="94" t="s">
        <v>3498</v>
      </c>
      <c r="AX237" s="94"/>
      <c r="AY237" s="94"/>
      <c r="AZ237" s="94"/>
      <c r="BA237" s="94" t="s">
        <v>1430</v>
      </c>
      <c r="BB237" s="94" t="s">
        <v>1513</v>
      </c>
      <c r="BC237" s="94"/>
      <c r="BD237" s="94" t="s">
        <v>2887</v>
      </c>
      <c r="BE237" s="94" t="s">
        <v>1381</v>
      </c>
      <c r="BF237" s="94" t="s">
        <v>1381</v>
      </c>
      <c r="BG237" s="94" t="s">
        <v>1704</v>
      </c>
      <c r="BH237" s="94" t="s">
        <v>869</v>
      </c>
      <c r="BI237" s="94" t="s">
        <v>869</v>
      </c>
      <c r="BJ237" s="94" t="s">
        <v>1283</v>
      </c>
      <c r="BK237" s="94" t="s">
        <v>1283</v>
      </c>
      <c r="BL237" s="94" t="s">
        <v>2959</v>
      </c>
      <c r="BM237" s="94" t="s">
        <v>3222</v>
      </c>
      <c r="BN237" s="94" t="s">
        <v>3222</v>
      </c>
      <c r="BO237" s="94" t="s">
        <v>3400</v>
      </c>
      <c r="BP237" s="94" t="s">
        <v>2108</v>
      </c>
      <c r="BQ237" s="94" t="s">
        <v>2168</v>
      </c>
      <c r="BR237" s="94" t="s">
        <v>1578</v>
      </c>
      <c r="BS237" s="94" t="s">
        <v>1578</v>
      </c>
      <c r="BT237" s="94"/>
    </row>
    <row r="238" spans="1:72" s="14" customFormat="1" ht="13.5" customHeight="1">
      <c r="A238" s="53" t="s">
        <v>4802</v>
      </c>
      <c r="B238" s="48">
        <v>0.75</v>
      </c>
      <c r="C238" s="48">
        <v>1</v>
      </c>
      <c r="D238" s="48">
        <v>0.65</v>
      </c>
      <c r="E238" s="48"/>
      <c r="F238" s="53" t="s">
        <v>4802</v>
      </c>
      <c r="G238" s="48" t="s">
        <v>39</v>
      </c>
      <c r="H238" s="48">
        <v>0.75</v>
      </c>
      <c r="I238" s="48">
        <v>0.75</v>
      </c>
      <c r="J238" s="48">
        <v>0.7</v>
      </c>
      <c r="K238" s="48">
        <v>0.75</v>
      </c>
      <c r="L238" s="48">
        <v>0.7</v>
      </c>
      <c r="M238" s="131">
        <v>0.75</v>
      </c>
      <c r="N238" s="48" t="s">
        <v>2712</v>
      </c>
      <c r="O238" s="48">
        <v>0.6</v>
      </c>
      <c r="P238" s="48">
        <v>0.7</v>
      </c>
      <c r="Q238" s="48">
        <v>0.65</v>
      </c>
      <c r="R238" s="48">
        <v>0.65</v>
      </c>
      <c r="S238" s="48">
        <v>0.6</v>
      </c>
      <c r="T238" s="48">
        <v>0.6</v>
      </c>
      <c r="U238" s="48">
        <v>0.7</v>
      </c>
      <c r="V238" s="48">
        <v>0.6</v>
      </c>
      <c r="W238" s="48">
        <v>0.6</v>
      </c>
      <c r="X238" s="48">
        <v>0.6</v>
      </c>
      <c r="Y238" s="48">
        <v>0.7</v>
      </c>
      <c r="Z238" s="131">
        <v>0.7</v>
      </c>
      <c r="AA238" s="131">
        <v>0.7</v>
      </c>
      <c r="AB238" s="131">
        <v>0.7</v>
      </c>
      <c r="AC238" s="48">
        <v>0.7</v>
      </c>
      <c r="AD238" s="48" t="s">
        <v>3989</v>
      </c>
      <c r="AE238" s="48" t="s">
        <v>3989</v>
      </c>
      <c r="AF238" s="48" t="s">
        <v>3989</v>
      </c>
      <c r="AG238" s="48" t="s">
        <v>4249</v>
      </c>
      <c r="AH238" s="48">
        <v>0.75</v>
      </c>
      <c r="AI238" s="48">
        <v>0.6</v>
      </c>
      <c r="AJ238" s="48">
        <v>0.7</v>
      </c>
      <c r="AK238" s="48">
        <v>0.75</v>
      </c>
      <c r="AL238" s="48">
        <v>0.75</v>
      </c>
      <c r="AM238" s="48">
        <v>0.7</v>
      </c>
      <c r="AN238" s="48">
        <v>0.65</v>
      </c>
      <c r="AO238" s="48">
        <v>0.75</v>
      </c>
      <c r="AP238" s="48">
        <v>0.75</v>
      </c>
      <c r="AQ238" s="48">
        <v>0.65</v>
      </c>
      <c r="AR238" s="48" t="s">
        <v>974</v>
      </c>
      <c r="AS238" s="48" t="s">
        <v>989</v>
      </c>
      <c r="AT238" s="48" t="s">
        <v>3466</v>
      </c>
      <c r="AU238" s="48" t="s">
        <v>3466</v>
      </c>
      <c r="AV238" s="48" t="s">
        <v>3448</v>
      </c>
      <c r="AW238" s="48" t="s">
        <v>3448</v>
      </c>
      <c r="AX238" s="48" t="s">
        <v>39</v>
      </c>
      <c r="AY238" s="48" t="s">
        <v>234</v>
      </c>
      <c r="AZ238" s="48" t="s">
        <v>234</v>
      </c>
      <c r="BA238" s="48">
        <v>0.6</v>
      </c>
      <c r="BB238" s="48" t="s">
        <v>39</v>
      </c>
      <c r="BC238" s="48">
        <v>0.6</v>
      </c>
      <c r="BD238" s="48">
        <v>0.75</v>
      </c>
      <c r="BE238" s="48">
        <v>0.6</v>
      </c>
      <c r="BF238" s="48">
        <v>0.6</v>
      </c>
      <c r="BG238" s="48">
        <v>0.6</v>
      </c>
      <c r="BH238" s="48">
        <v>0.6</v>
      </c>
      <c r="BI238" s="48">
        <v>0.6</v>
      </c>
      <c r="BJ238" s="48">
        <v>0.65</v>
      </c>
      <c r="BK238" s="48">
        <v>0.7</v>
      </c>
      <c r="BL238" s="48" t="s">
        <v>2993</v>
      </c>
      <c r="BM238" s="48">
        <v>0.6</v>
      </c>
      <c r="BN238" s="48">
        <v>0.8</v>
      </c>
      <c r="BO238" s="48">
        <v>0.7</v>
      </c>
      <c r="BP238" s="48">
        <v>0.75</v>
      </c>
      <c r="BQ238" s="48">
        <v>0.8</v>
      </c>
      <c r="BR238" s="48">
        <v>0.7</v>
      </c>
      <c r="BS238" s="48">
        <v>0.7</v>
      </c>
      <c r="BT238" s="48">
        <v>0.75</v>
      </c>
    </row>
    <row r="239" spans="1:72" s="2" customFormat="1" ht="9" customHeight="1">
      <c r="A239" s="95" t="s">
        <v>688</v>
      </c>
      <c r="B239" s="94" t="s">
        <v>4950</v>
      </c>
      <c r="C239" s="94" t="s">
        <v>5162</v>
      </c>
      <c r="D239" s="94" t="s">
        <v>4859</v>
      </c>
      <c r="E239" s="94"/>
      <c r="F239" s="95" t="s">
        <v>688</v>
      </c>
      <c r="G239" s="94"/>
      <c r="H239" s="94" t="s">
        <v>3125</v>
      </c>
      <c r="I239" s="94" t="s">
        <v>3126</v>
      </c>
      <c r="J239" s="94" t="s">
        <v>1925</v>
      </c>
      <c r="K239" s="94" t="s">
        <v>1926</v>
      </c>
      <c r="L239" s="94" t="s">
        <v>3636</v>
      </c>
      <c r="M239" s="94" t="s">
        <v>2633</v>
      </c>
      <c r="N239" s="94" t="s">
        <v>2709</v>
      </c>
      <c r="O239" s="94" t="s">
        <v>2780</v>
      </c>
      <c r="P239" s="94" t="s">
        <v>2745</v>
      </c>
      <c r="Q239" s="94" t="s">
        <v>2737</v>
      </c>
      <c r="R239" s="94" t="s">
        <v>2737</v>
      </c>
      <c r="S239" s="94" t="s">
        <v>1381</v>
      </c>
      <c r="T239" s="94" t="s">
        <v>2792</v>
      </c>
      <c r="U239" s="94" t="s">
        <v>1290</v>
      </c>
      <c r="V239" s="94" t="s">
        <v>1381</v>
      </c>
      <c r="W239" s="94" t="s">
        <v>1656</v>
      </c>
      <c r="X239" s="94" t="s">
        <v>1381</v>
      </c>
      <c r="Y239" s="94" t="s">
        <v>3716</v>
      </c>
      <c r="Z239" s="94" t="s">
        <v>4048</v>
      </c>
      <c r="AA239" s="94" t="s">
        <v>4051</v>
      </c>
      <c r="AB239" s="94" t="s">
        <v>4085</v>
      </c>
      <c r="AC239" s="94" t="s">
        <v>808</v>
      </c>
      <c r="AD239" s="94" t="s">
        <v>1381</v>
      </c>
      <c r="AE239" s="94" t="s">
        <v>1381</v>
      </c>
      <c r="AF239" s="94" t="s">
        <v>1381</v>
      </c>
      <c r="AG239" s="94" t="s">
        <v>4246</v>
      </c>
      <c r="AH239" s="94" t="s">
        <v>2740</v>
      </c>
      <c r="AI239" s="94" t="s">
        <v>1381</v>
      </c>
      <c r="AJ239" s="94" t="s">
        <v>2369</v>
      </c>
      <c r="AK239" s="94" t="s">
        <v>2310</v>
      </c>
      <c r="AL239" s="94" t="s">
        <v>2248</v>
      </c>
      <c r="AM239" s="94" t="s">
        <v>1131</v>
      </c>
      <c r="AN239" s="94"/>
      <c r="AO239" s="94" t="s">
        <v>2454</v>
      </c>
      <c r="AP239" s="94" t="s">
        <v>2454</v>
      </c>
      <c r="AQ239" s="94" t="s">
        <v>1381</v>
      </c>
      <c r="AR239" s="94" t="s">
        <v>3315</v>
      </c>
      <c r="AS239" s="94" t="s">
        <v>3314</v>
      </c>
      <c r="AT239" s="94" t="s">
        <v>3498</v>
      </c>
      <c r="AU239" s="94" t="s">
        <v>3498</v>
      </c>
      <c r="AV239" s="94" t="s">
        <v>3498</v>
      </c>
      <c r="AW239" s="94" t="s">
        <v>3498</v>
      </c>
      <c r="AX239" s="94"/>
      <c r="AY239" s="94"/>
      <c r="AZ239" s="94"/>
      <c r="BA239" s="94" t="s">
        <v>1430</v>
      </c>
      <c r="BB239" s="94" t="s">
        <v>1513</v>
      </c>
      <c r="BC239" s="94"/>
      <c r="BD239" s="94" t="s">
        <v>2887</v>
      </c>
      <c r="BE239" s="94" t="s">
        <v>1381</v>
      </c>
      <c r="BF239" s="94" t="s">
        <v>1381</v>
      </c>
      <c r="BG239" s="94" t="s">
        <v>1704</v>
      </c>
      <c r="BH239" s="94" t="s">
        <v>869</v>
      </c>
      <c r="BI239" s="94" t="s">
        <v>869</v>
      </c>
      <c r="BJ239" s="94" t="s">
        <v>1283</v>
      </c>
      <c r="BK239" s="94" t="s">
        <v>1283</v>
      </c>
      <c r="BL239" s="94" t="s">
        <v>2959</v>
      </c>
      <c r="BM239" s="94" t="s">
        <v>3222</v>
      </c>
      <c r="BN239" s="94" t="s">
        <v>3222</v>
      </c>
      <c r="BO239" s="94" t="s">
        <v>3400</v>
      </c>
      <c r="BP239" s="94" t="s">
        <v>2108</v>
      </c>
      <c r="BQ239" s="94" t="s">
        <v>2168</v>
      </c>
      <c r="BR239" s="94" t="s">
        <v>1578</v>
      </c>
      <c r="BS239" s="94" t="s">
        <v>1578</v>
      </c>
      <c r="BT239" s="94"/>
    </row>
    <row r="240" spans="1:72" s="14" customFormat="1" ht="13.5" customHeight="1">
      <c r="A240" s="53" t="s">
        <v>8</v>
      </c>
      <c r="B240" s="48">
        <v>0.75</v>
      </c>
      <c r="C240" s="48">
        <v>1</v>
      </c>
      <c r="D240" s="48">
        <v>0.6</v>
      </c>
      <c r="E240" s="48"/>
      <c r="F240" s="53" t="s">
        <v>8</v>
      </c>
      <c r="G240" s="48">
        <v>0.6</v>
      </c>
      <c r="H240" s="48">
        <v>0.7</v>
      </c>
      <c r="I240" s="48">
        <v>0.7</v>
      </c>
      <c r="J240" s="48">
        <v>0.65</v>
      </c>
      <c r="K240" s="48">
        <v>0.7</v>
      </c>
      <c r="L240" s="48">
        <v>0.7</v>
      </c>
      <c r="M240" s="131">
        <v>0.7</v>
      </c>
      <c r="N240" s="48" t="s">
        <v>2713</v>
      </c>
      <c r="O240" s="48">
        <v>0.55000000000000004</v>
      </c>
      <c r="P240" s="48">
        <v>0.7</v>
      </c>
      <c r="Q240" s="48">
        <v>0.6</v>
      </c>
      <c r="R240" s="48">
        <v>0.6</v>
      </c>
      <c r="S240" s="48">
        <v>0.55000000000000004</v>
      </c>
      <c r="T240" s="48">
        <v>1</v>
      </c>
      <c r="U240" s="48">
        <v>0.7</v>
      </c>
      <c r="V240" s="48">
        <v>0.55000000000000004</v>
      </c>
      <c r="W240" s="48">
        <v>0.55000000000000004</v>
      </c>
      <c r="X240" s="48">
        <v>0.55000000000000004</v>
      </c>
      <c r="Y240" s="48">
        <v>0.7</v>
      </c>
      <c r="Z240" s="131">
        <v>0.7</v>
      </c>
      <c r="AA240" s="131">
        <v>0.7</v>
      </c>
      <c r="AB240" s="131">
        <v>0.7</v>
      </c>
      <c r="AC240" s="48">
        <v>0.7</v>
      </c>
      <c r="AD240" s="48" t="s">
        <v>3990</v>
      </c>
      <c r="AE240" s="48" t="s">
        <v>3990</v>
      </c>
      <c r="AF240" s="48" t="s">
        <v>3990</v>
      </c>
      <c r="AG240" s="48" t="s">
        <v>4250</v>
      </c>
      <c r="AH240" s="48">
        <v>0.7</v>
      </c>
      <c r="AI240" s="48">
        <v>0.55000000000000004</v>
      </c>
      <c r="AJ240" s="48">
        <v>0.7</v>
      </c>
      <c r="AK240" s="48">
        <v>0.7</v>
      </c>
      <c r="AL240" s="48">
        <v>0.75</v>
      </c>
      <c r="AM240" s="48">
        <v>0.65</v>
      </c>
      <c r="AN240" s="48">
        <v>0.6</v>
      </c>
      <c r="AO240" s="48">
        <v>0.75</v>
      </c>
      <c r="AP240" s="48">
        <v>0.75</v>
      </c>
      <c r="AQ240" s="48">
        <v>0.6</v>
      </c>
      <c r="AR240" s="48" t="s">
        <v>975</v>
      </c>
      <c r="AS240" s="48" t="s">
        <v>990</v>
      </c>
      <c r="AT240" s="48" t="s">
        <v>3467</v>
      </c>
      <c r="AU240" s="48" t="s">
        <v>3467</v>
      </c>
      <c r="AV240" s="48" t="s">
        <v>3448</v>
      </c>
      <c r="AW240" s="48" t="s">
        <v>3448</v>
      </c>
      <c r="AX240" s="48" t="s">
        <v>39</v>
      </c>
      <c r="AY240" s="48">
        <v>1</v>
      </c>
      <c r="AZ240" s="48">
        <v>1</v>
      </c>
      <c r="BA240" s="48">
        <v>0.55000000000000004</v>
      </c>
      <c r="BB240" s="48">
        <v>0.7</v>
      </c>
      <c r="BC240" s="48">
        <v>0.55000000000000004</v>
      </c>
      <c r="BD240" s="48">
        <v>0.7</v>
      </c>
      <c r="BE240" s="48">
        <v>0.55000000000000004</v>
      </c>
      <c r="BF240" s="48">
        <v>0.55000000000000004</v>
      </c>
      <c r="BG240" s="48">
        <v>0.55000000000000004</v>
      </c>
      <c r="BH240" s="48">
        <v>0.55000000000000004</v>
      </c>
      <c r="BI240" s="48">
        <v>0.55000000000000004</v>
      </c>
      <c r="BJ240" s="48">
        <v>0.6</v>
      </c>
      <c r="BK240" s="48">
        <v>0.7</v>
      </c>
      <c r="BL240" s="48" t="s">
        <v>2994</v>
      </c>
      <c r="BM240" s="48">
        <v>0.55000000000000004</v>
      </c>
      <c r="BN240" s="48">
        <v>0.75</v>
      </c>
      <c r="BO240" s="48">
        <v>0.7</v>
      </c>
      <c r="BP240" s="48">
        <v>0.75</v>
      </c>
      <c r="BQ240" s="48">
        <v>0.6</v>
      </c>
      <c r="BR240" s="48">
        <v>0.7</v>
      </c>
      <c r="BS240" s="48">
        <v>0.7</v>
      </c>
      <c r="BT240" s="48">
        <v>0.75</v>
      </c>
    </row>
    <row r="241" spans="1:72" s="2" customFormat="1" ht="9" customHeight="1">
      <c r="A241" s="95" t="s">
        <v>688</v>
      </c>
      <c r="B241" s="94" t="s">
        <v>4950</v>
      </c>
      <c r="C241" s="94" t="s">
        <v>5162</v>
      </c>
      <c r="D241" s="94" t="s">
        <v>4859</v>
      </c>
      <c r="E241" s="94"/>
      <c r="F241" s="95" t="s">
        <v>688</v>
      </c>
      <c r="G241" s="94"/>
      <c r="H241" s="94" t="s">
        <v>3125</v>
      </c>
      <c r="I241" s="94" t="s">
        <v>3126</v>
      </c>
      <c r="J241" s="94" t="s">
        <v>1925</v>
      </c>
      <c r="K241" s="94" t="s">
        <v>1926</v>
      </c>
      <c r="L241" s="94" t="s">
        <v>3636</v>
      </c>
      <c r="M241" s="94" t="s">
        <v>2633</v>
      </c>
      <c r="N241" s="94" t="s">
        <v>2709</v>
      </c>
      <c r="O241" s="94" t="s">
        <v>2780</v>
      </c>
      <c r="P241" s="94" t="s">
        <v>2745</v>
      </c>
      <c r="Q241" s="94" t="s">
        <v>2737</v>
      </c>
      <c r="R241" s="94" t="s">
        <v>2737</v>
      </c>
      <c r="S241" s="94" t="s">
        <v>1381</v>
      </c>
      <c r="T241" s="94" t="s">
        <v>2794</v>
      </c>
      <c r="U241" s="94" t="s">
        <v>1290</v>
      </c>
      <c r="V241" s="94" t="s">
        <v>1381</v>
      </c>
      <c r="W241" s="94" t="s">
        <v>1656</v>
      </c>
      <c r="X241" s="94" t="s">
        <v>1381</v>
      </c>
      <c r="Y241" s="94" t="s">
        <v>3716</v>
      </c>
      <c r="Z241" s="94" t="s">
        <v>4048</v>
      </c>
      <c r="AA241" s="94" t="s">
        <v>4051</v>
      </c>
      <c r="AB241" s="94" t="s">
        <v>4085</v>
      </c>
      <c r="AC241" s="94" t="s">
        <v>808</v>
      </c>
      <c r="AD241" s="94" t="s">
        <v>1381</v>
      </c>
      <c r="AE241" s="94" t="s">
        <v>1381</v>
      </c>
      <c r="AF241" s="94" t="s">
        <v>1381</v>
      </c>
      <c r="AG241" s="94" t="s">
        <v>4246</v>
      </c>
      <c r="AH241" s="94" t="s">
        <v>2740</v>
      </c>
      <c r="AI241" s="94" t="s">
        <v>1381</v>
      </c>
      <c r="AJ241" s="94" t="s">
        <v>2369</v>
      </c>
      <c r="AK241" s="94" t="s">
        <v>2310</v>
      </c>
      <c r="AL241" s="94" t="s">
        <v>2248</v>
      </c>
      <c r="AM241" s="94" t="s">
        <v>1131</v>
      </c>
      <c r="AN241" s="94"/>
      <c r="AO241" s="94" t="s">
        <v>2454</v>
      </c>
      <c r="AP241" s="94" t="s">
        <v>2454</v>
      </c>
      <c r="AQ241" s="94" t="s">
        <v>1381</v>
      </c>
      <c r="AR241" s="94" t="s">
        <v>3315</v>
      </c>
      <c r="AS241" s="94" t="s">
        <v>3314</v>
      </c>
      <c r="AT241" s="94" t="s">
        <v>3498</v>
      </c>
      <c r="AU241" s="94" t="s">
        <v>3498</v>
      </c>
      <c r="AV241" s="94" t="s">
        <v>3498</v>
      </c>
      <c r="AW241" s="94" t="s">
        <v>3498</v>
      </c>
      <c r="AX241" s="94"/>
      <c r="AY241" s="94"/>
      <c r="AZ241" s="94"/>
      <c r="BA241" s="94" t="s">
        <v>1430</v>
      </c>
      <c r="BB241" s="94" t="s">
        <v>1430</v>
      </c>
      <c r="BC241" s="94"/>
      <c r="BD241" s="94" t="s">
        <v>2887</v>
      </c>
      <c r="BE241" s="94" t="s">
        <v>1381</v>
      </c>
      <c r="BF241" s="94" t="s">
        <v>1381</v>
      </c>
      <c r="BG241" s="94" t="s">
        <v>1704</v>
      </c>
      <c r="BH241" s="94" t="s">
        <v>869</v>
      </c>
      <c r="BI241" s="94" t="s">
        <v>869</v>
      </c>
      <c r="BJ241" s="94" t="s">
        <v>1283</v>
      </c>
      <c r="BK241" s="94" t="s">
        <v>1283</v>
      </c>
      <c r="BL241" s="94" t="s">
        <v>2959</v>
      </c>
      <c r="BM241" s="94" t="s">
        <v>3222</v>
      </c>
      <c r="BN241" s="94" t="s">
        <v>3222</v>
      </c>
      <c r="BO241" s="94" t="s">
        <v>3400</v>
      </c>
      <c r="BP241" s="94" t="s">
        <v>2108</v>
      </c>
      <c r="BQ241" s="94" t="s">
        <v>2168</v>
      </c>
      <c r="BR241" s="94" t="s">
        <v>1578</v>
      </c>
      <c r="BS241" s="94" t="s">
        <v>1578</v>
      </c>
      <c r="BT241" s="94"/>
    </row>
    <row r="242" spans="1:72" s="14" customFormat="1" ht="13.5" customHeight="1">
      <c r="A242" s="53" t="s">
        <v>9</v>
      </c>
      <c r="B242" s="48">
        <v>0.3</v>
      </c>
      <c r="C242" s="48">
        <v>0.6</v>
      </c>
      <c r="D242" s="48">
        <v>0.25</v>
      </c>
      <c r="E242" s="48"/>
      <c r="F242" s="53" t="s">
        <v>9</v>
      </c>
      <c r="G242" s="48">
        <v>0.25</v>
      </c>
      <c r="H242" s="48">
        <v>0.3</v>
      </c>
      <c r="I242" s="48">
        <v>0.3</v>
      </c>
      <c r="J242" s="48">
        <v>0.3</v>
      </c>
      <c r="K242" s="48">
        <v>0.35</v>
      </c>
      <c r="L242" s="48">
        <v>0.28000000000000003</v>
      </c>
      <c r="M242" s="131">
        <v>0.3</v>
      </c>
      <c r="N242" s="48">
        <v>0.3</v>
      </c>
      <c r="O242" s="48">
        <v>0.2</v>
      </c>
      <c r="P242" s="48">
        <v>0.25</v>
      </c>
      <c r="Q242" s="48">
        <v>0.22</v>
      </c>
      <c r="R242" s="48">
        <v>0.22</v>
      </c>
      <c r="S242" s="48">
        <v>0.2</v>
      </c>
      <c r="T242" s="48">
        <v>0.6</v>
      </c>
      <c r="U242" s="48">
        <v>0.25</v>
      </c>
      <c r="V242" s="48">
        <v>0.2</v>
      </c>
      <c r="W242" s="48">
        <v>0.2</v>
      </c>
      <c r="X242" s="48">
        <v>0.2</v>
      </c>
      <c r="Y242" s="48">
        <v>0.28000000000000003</v>
      </c>
      <c r="Z242" s="131">
        <v>0.25</v>
      </c>
      <c r="AA242" s="131">
        <v>0.25</v>
      </c>
      <c r="AB242" s="131">
        <v>0.3</v>
      </c>
      <c r="AC242" s="48">
        <v>0.3</v>
      </c>
      <c r="AD242" s="48" t="s">
        <v>3991</v>
      </c>
      <c r="AE242" s="48" t="s">
        <v>3991</v>
      </c>
      <c r="AF242" s="48" t="s">
        <v>3991</v>
      </c>
      <c r="AG242" s="48" t="s">
        <v>4251</v>
      </c>
      <c r="AH242" s="48">
        <v>0.3</v>
      </c>
      <c r="AI242" s="48">
        <v>0.2</v>
      </c>
      <c r="AJ242" s="48">
        <v>0.25</v>
      </c>
      <c r="AK242" s="48">
        <v>0.3</v>
      </c>
      <c r="AL242" s="48">
        <v>0.3</v>
      </c>
      <c r="AM242" s="48">
        <v>0.25</v>
      </c>
      <c r="AN242" s="48">
        <v>0.25</v>
      </c>
      <c r="AO242" s="48">
        <v>0.3</v>
      </c>
      <c r="AP242" s="48">
        <v>0.3</v>
      </c>
      <c r="AQ242" s="48">
        <v>0.25</v>
      </c>
      <c r="AR242" s="48" t="s">
        <v>976</v>
      </c>
      <c r="AS242" s="48" t="s">
        <v>991</v>
      </c>
      <c r="AT242" s="48" t="s">
        <v>3468</v>
      </c>
      <c r="AU242" s="48" t="s">
        <v>3468</v>
      </c>
      <c r="AV242" s="48" t="s">
        <v>3449</v>
      </c>
      <c r="AW242" s="48" t="s">
        <v>3449</v>
      </c>
      <c r="AX242" s="48" t="s">
        <v>39</v>
      </c>
      <c r="AY242" s="48">
        <v>0.3</v>
      </c>
      <c r="AZ242" s="48">
        <v>0.3</v>
      </c>
      <c r="BA242" s="48">
        <v>0.2</v>
      </c>
      <c r="BB242" s="48">
        <v>0.3</v>
      </c>
      <c r="BC242" s="48">
        <v>0.2</v>
      </c>
      <c r="BD242" s="48">
        <v>0.3</v>
      </c>
      <c r="BE242" s="48">
        <v>0.2</v>
      </c>
      <c r="BF242" s="48">
        <v>0.2</v>
      </c>
      <c r="BG242" s="48">
        <v>0.2</v>
      </c>
      <c r="BH242" s="48">
        <v>0.2</v>
      </c>
      <c r="BI242" s="48">
        <v>0.2</v>
      </c>
      <c r="BJ242" s="48">
        <v>0.25</v>
      </c>
      <c r="BK242" s="48">
        <v>0.3</v>
      </c>
      <c r="BL242" s="48" t="s">
        <v>2971</v>
      </c>
      <c r="BM242" s="48">
        <v>0.2</v>
      </c>
      <c r="BN242" s="48">
        <v>0.3</v>
      </c>
      <c r="BO242" s="48">
        <v>0.28000000000000003</v>
      </c>
      <c r="BP242" s="48">
        <v>0.3</v>
      </c>
      <c r="BQ242" s="48">
        <v>0.3</v>
      </c>
      <c r="BR242" s="48">
        <v>0.25</v>
      </c>
      <c r="BS242" s="48">
        <v>0.25</v>
      </c>
      <c r="BT242" s="48">
        <v>0.3</v>
      </c>
    </row>
    <row r="243" spans="1:72" s="2" customFormat="1" ht="9" customHeight="1">
      <c r="A243" s="95" t="s">
        <v>688</v>
      </c>
      <c r="B243" s="94" t="s">
        <v>4950</v>
      </c>
      <c r="C243" s="94" t="s">
        <v>5162</v>
      </c>
      <c r="D243" s="94" t="s">
        <v>4859</v>
      </c>
      <c r="E243" s="94"/>
      <c r="F243" s="95" t="s">
        <v>688</v>
      </c>
      <c r="G243" s="94"/>
      <c r="H243" s="94" t="s">
        <v>3125</v>
      </c>
      <c r="I243" s="94" t="s">
        <v>3126</v>
      </c>
      <c r="J243" s="94" t="s">
        <v>1925</v>
      </c>
      <c r="K243" s="94" t="s">
        <v>1926</v>
      </c>
      <c r="L243" s="94" t="s">
        <v>3636</v>
      </c>
      <c r="M243" s="94" t="s">
        <v>2633</v>
      </c>
      <c r="N243" s="94" t="s">
        <v>2709</v>
      </c>
      <c r="O243" s="94" t="s">
        <v>2780</v>
      </c>
      <c r="P243" s="94" t="s">
        <v>2745</v>
      </c>
      <c r="Q243" s="94" t="s">
        <v>2737</v>
      </c>
      <c r="R243" s="94" t="s">
        <v>2737</v>
      </c>
      <c r="S243" s="94" t="s">
        <v>1381</v>
      </c>
      <c r="T243" s="94" t="s">
        <v>2794</v>
      </c>
      <c r="U243" s="94" t="s">
        <v>1290</v>
      </c>
      <c r="V243" s="94" t="s">
        <v>1381</v>
      </c>
      <c r="W243" s="94" t="s">
        <v>1656</v>
      </c>
      <c r="X243" s="94" t="s">
        <v>1381</v>
      </c>
      <c r="Y243" s="94" t="s">
        <v>3716</v>
      </c>
      <c r="Z243" s="94" t="s">
        <v>4048</v>
      </c>
      <c r="AA243" s="94" t="s">
        <v>4051</v>
      </c>
      <c r="AB243" s="94" t="s">
        <v>4085</v>
      </c>
      <c r="AC243" s="94" t="s">
        <v>808</v>
      </c>
      <c r="AD243" s="94" t="s">
        <v>1381</v>
      </c>
      <c r="AE243" s="94" t="s">
        <v>1381</v>
      </c>
      <c r="AF243" s="94" t="s">
        <v>1381</v>
      </c>
      <c r="AG243" s="94" t="s">
        <v>4246</v>
      </c>
      <c r="AH243" s="94" t="s">
        <v>2740</v>
      </c>
      <c r="AI243" s="94" t="s">
        <v>1381</v>
      </c>
      <c r="AJ243" s="94" t="s">
        <v>2369</v>
      </c>
      <c r="AK243" s="94" t="s">
        <v>2310</v>
      </c>
      <c r="AL243" s="94" t="s">
        <v>2248</v>
      </c>
      <c r="AM243" s="94" t="s">
        <v>1131</v>
      </c>
      <c r="AN243" s="94"/>
      <c r="AO243" s="94" t="s">
        <v>2454</v>
      </c>
      <c r="AP243" s="94" t="s">
        <v>2454</v>
      </c>
      <c r="AQ243" s="94" t="s">
        <v>1381</v>
      </c>
      <c r="AR243" s="94" t="s">
        <v>3315</v>
      </c>
      <c r="AS243" s="94" t="s">
        <v>3314</v>
      </c>
      <c r="AT243" s="94" t="s">
        <v>3498</v>
      </c>
      <c r="AU243" s="94" t="s">
        <v>3498</v>
      </c>
      <c r="AV243" s="94" t="s">
        <v>3498</v>
      </c>
      <c r="AW243" s="94" t="s">
        <v>3498</v>
      </c>
      <c r="AX243" s="94"/>
      <c r="AY243" s="94"/>
      <c r="AZ243" s="94"/>
      <c r="BA243" s="94" t="s">
        <v>1430</v>
      </c>
      <c r="BB243" s="94" t="s">
        <v>1430</v>
      </c>
      <c r="BC243" s="94"/>
      <c r="BD243" s="94" t="s">
        <v>2887</v>
      </c>
      <c r="BE243" s="94" t="s">
        <v>1381</v>
      </c>
      <c r="BF243" s="94" t="s">
        <v>1381</v>
      </c>
      <c r="BG243" s="94" t="s">
        <v>1704</v>
      </c>
      <c r="BH243" s="94" t="s">
        <v>869</v>
      </c>
      <c r="BI243" s="94" t="s">
        <v>869</v>
      </c>
      <c r="BJ243" s="94" t="s">
        <v>1283</v>
      </c>
      <c r="BK243" s="94" t="s">
        <v>1283</v>
      </c>
      <c r="BL243" s="94" t="s">
        <v>2959</v>
      </c>
      <c r="BM243" s="94" t="s">
        <v>3222</v>
      </c>
      <c r="BN243" s="94" t="s">
        <v>3222</v>
      </c>
      <c r="BO243" s="94" t="s">
        <v>3400</v>
      </c>
      <c r="BP243" s="94" t="s">
        <v>2108</v>
      </c>
      <c r="BQ243" s="94" t="s">
        <v>2168</v>
      </c>
      <c r="BR243" s="94" t="s">
        <v>1578</v>
      </c>
      <c r="BS243" s="94" t="s">
        <v>1578</v>
      </c>
      <c r="BT243" s="94"/>
    </row>
    <row r="244" spans="1:72" s="14" customFormat="1" ht="13.5" customHeight="1">
      <c r="A244" s="53" t="s">
        <v>10</v>
      </c>
      <c r="B244" s="48">
        <v>0.2</v>
      </c>
      <c r="C244" s="48">
        <v>0.6</v>
      </c>
      <c r="D244" s="48">
        <v>0.15</v>
      </c>
      <c r="E244" s="48"/>
      <c r="F244" s="53" t="s">
        <v>10</v>
      </c>
      <c r="G244" s="48">
        <v>0.15</v>
      </c>
      <c r="H244" s="48">
        <v>0.2</v>
      </c>
      <c r="I244" s="48">
        <v>0.2</v>
      </c>
      <c r="J244" s="48">
        <v>0.2</v>
      </c>
      <c r="K244" s="48">
        <v>0.25</v>
      </c>
      <c r="L244" s="48">
        <v>0.18</v>
      </c>
      <c r="M244" s="131">
        <v>0.2</v>
      </c>
      <c r="N244" s="48">
        <v>0.2</v>
      </c>
      <c r="O244" s="48">
        <v>0.1</v>
      </c>
      <c r="P244" s="48">
        <v>0.15</v>
      </c>
      <c r="Q244" s="48">
        <v>0.12</v>
      </c>
      <c r="R244" s="48">
        <v>0.12</v>
      </c>
      <c r="S244" s="48">
        <v>0.1</v>
      </c>
      <c r="T244" s="48">
        <v>0.6</v>
      </c>
      <c r="U244" s="48">
        <v>0.16</v>
      </c>
      <c r="V244" s="48">
        <v>0.1</v>
      </c>
      <c r="W244" s="48">
        <v>0.1</v>
      </c>
      <c r="X244" s="48">
        <v>0.1</v>
      </c>
      <c r="Y244" s="48">
        <v>0.2</v>
      </c>
      <c r="Z244" s="131">
        <v>0.16</v>
      </c>
      <c r="AA244" s="131">
        <v>0.16</v>
      </c>
      <c r="AB244" s="131">
        <v>0.2</v>
      </c>
      <c r="AC244" s="48">
        <v>0.2</v>
      </c>
      <c r="AD244" s="48" t="s">
        <v>3992</v>
      </c>
      <c r="AE244" s="48" t="s">
        <v>3992</v>
      </c>
      <c r="AF244" s="48" t="s">
        <v>3992</v>
      </c>
      <c r="AG244" s="48" t="s">
        <v>4252</v>
      </c>
      <c r="AH244" s="48">
        <v>0.2</v>
      </c>
      <c r="AI244" s="48">
        <v>0.1</v>
      </c>
      <c r="AJ244" s="48">
        <v>0.16</v>
      </c>
      <c r="AK244" s="48">
        <v>0.2</v>
      </c>
      <c r="AL244" s="48">
        <v>0.2</v>
      </c>
      <c r="AM244" s="48">
        <v>0.15</v>
      </c>
      <c r="AN244" s="48">
        <v>0.15</v>
      </c>
      <c r="AO244" s="48">
        <v>0.2</v>
      </c>
      <c r="AP244" s="48">
        <v>0.2</v>
      </c>
      <c r="AQ244" s="48">
        <v>0.15</v>
      </c>
      <c r="AR244" s="48" t="s">
        <v>977</v>
      </c>
      <c r="AS244" s="48" t="s">
        <v>992</v>
      </c>
      <c r="AT244" s="48" t="s">
        <v>3469</v>
      </c>
      <c r="AU244" s="48" t="s">
        <v>3469</v>
      </c>
      <c r="AV244" s="48" t="s">
        <v>3450</v>
      </c>
      <c r="AW244" s="48" t="s">
        <v>3450</v>
      </c>
      <c r="AX244" s="48" t="s">
        <v>39</v>
      </c>
      <c r="AY244" s="48">
        <v>0.3</v>
      </c>
      <c r="AZ244" s="48">
        <v>0.3</v>
      </c>
      <c r="BA244" s="48">
        <v>0.1</v>
      </c>
      <c r="BB244" s="48">
        <v>0.2</v>
      </c>
      <c r="BC244" s="48">
        <v>0.1</v>
      </c>
      <c r="BD244" s="48">
        <v>0.2</v>
      </c>
      <c r="BE244" s="48">
        <v>0.1</v>
      </c>
      <c r="BF244" s="48">
        <v>0.1</v>
      </c>
      <c r="BG244" s="48">
        <v>0.1</v>
      </c>
      <c r="BH244" s="48">
        <v>0.1</v>
      </c>
      <c r="BI244" s="48">
        <v>0.1</v>
      </c>
      <c r="BJ244" s="48">
        <v>0.15</v>
      </c>
      <c r="BK244" s="48">
        <v>0.2</v>
      </c>
      <c r="BL244" s="48" t="s">
        <v>2970</v>
      </c>
      <c r="BM244" s="48">
        <v>0.1</v>
      </c>
      <c r="BN244" s="48">
        <v>0.2</v>
      </c>
      <c r="BO244" s="48">
        <v>0.18</v>
      </c>
      <c r="BP244" s="48">
        <v>0.2</v>
      </c>
      <c r="BQ244" s="48">
        <v>0.2</v>
      </c>
      <c r="BR244" s="48">
        <v>0.15</v>
      </c>
      <c r="BS244" s="48">
        <v>0.15</v>
      </c>
      <c r="BT244" s="48">
        <v>0.16</v>
      </c>
    </row>
    <row r="245" spans="1:72" s="2" customFormat="1" ht="9" customHeight="1">
      <c r="A245" s="95" t="s">
        <v>688</v>
      </c>
      <c r="B245" s="94" t="s">
        <v>4950</v>
      </c>
      <c r="C245" s="94" t="s">
        <v>5162</v>
      </c>
      <c r="D245" s="94" t="s">
        <v>4859</v>
      </c>
      <c r="E245" s="94"/>
      <c r="F245" s="95" t="s">
        <v>688</v>
      </c>
      <c r="G245" s="94"/>
      <c r="H245" s="94" t="s">
        <v>3125</v>
      </c>
      <c r="I245" s="94" t="s">
        <v>3126</v>
      </c>
      <c r="J245" s="94" t="s">
        <v>1925</v>
      </c>
      <c r="K245" s="94" t="s">
        <v>1926</v>
      </c>
      <c r="L245" s="94" t="s">
        <v>3636</v>
      </c>
      <c r="M245" s="94" t="s">
        <v>2633</v>
      </c>
      <c r="N245" s="94" t="s">
        <v>2709</v>
      </c>
      <c r="O245" s="94" t="s">
        <v>2780</v>
      </c>
      <c r="P245" s="94" t="s">
        <v>2745</v>
      </c>
      <c r="Q245" s="94" t="s">
        <v>2737</v>
      </c>
      <c r="R245" s="94" t="s">
        <v>2737</v>
      </c>
      <c r="S245" s="94" t="s">
        <v>1381</v>
      </c>
      <c r="T245" s="94" t="s">
        <v>2794</v>
      </c>
      <c r="U245" s="94" t="s">
        <v>1290</v>
      </c>
      <c r="V245" s="94" t="s">
        <v>1381</v>
      </c>
      <c r="W245" s="94" t="s">
        <v>1656</v>
      </c>
      <c r="X245" s="94" t="s">
        <v>1381</v>
      </c>
      <c r="Y245" s="94" t="s">
        <v>3716</v>
      </c>
      <c r="Z245" s="94" t="s">
        <v>4048</v>
      </c>
      <c r="AA245" s="94" t="s">
        <v>4051</v>
      </c>
      <c r="AB245" s="94" t="s">
        <v>4085</v>
      </c>
      <c r="AC245" s="94" t="s">
        <v>808</v>
      </c>
      <c r="AD245" s="94" t="s">
        <v>1381</v>
      </c>
      <c r="AE245" s="94" t="s">
        <v>1381</v>
      </c>
      <c r="AF245" s="94" t="s">
        <v>1381</v>
      </c>
      <c r="AG245" s="94" t="s">
        <v>4246</v>
      </c>
      <c r="AH245" s="94" t="s">
        <v>2740</v>
      </c>
      <c r="AI245" s="94" t="s">
        <v>1381</v>
      </c>
      <c r="AJ245" s="94" t="s">
        <v>2369</v>
      </c>
      <c r="AK245" s="94" t="s">
        <v>2310</v>
      </c>
      <c r="AL245" s="94" t="s">
        <v>2248</v>
      </c>
      <c r="AM245" s="94" t="s">
        <v>1131</v>
      </c>
      <c r="AN245" s="94"/>
      <c r="AO245" s="94" t="s">
        <v>2454</v>
      </c>
      <c r="AP245" s="94" t="s">
        <v>2454</v>
      </c>
      <c r="AQ245" s="94" t="s">
        <v>1381</v>
      </c>
      <c r="AR245" s="94" t="s">
        <v>3315</v>
      </c>
      <c r="AS245" s="94" t="s">
        <v>3314</v>
      </c>
      <c r="AT245" s="94" t="s">
        <v>3498</v>
      </c>
      <c r="AU245" s="94" t="s">
        <v>3498</v>
      </c>
      <c r="AV245" s="94" t="s">
        <v>3498</v>
      </c>
      <c r="AW245" s="94" t="s">
        <v>3498</v>
      </c>
      <c r="AX245" s="94"/>
      <c r="AY245" s="94"/>
      <c r="AZ245" s="94"/>
      <c r="BA245" s="94" t="s">
        <v>1430</v>
      </c>
      <c r="BB245" s="94" t="s">
        <v>1430</v>
      </c>
      <c r="BC245" s="94"/>
      <c r="BD245" s="94" t="s">
        <v>2887</v>
      </c>
      <c r="BE245" s="94" t="s">
        <v>1381</v>
      </c>
      <c r="BF245" s="94" t="s">
        <v>1381</v>
      </c>
      <c r="BG245" s="94" t="s">
        <v>1704</v>
      </c>
      <c r="BH245" s="94" t="s">
        <v>869</v>
      </c>
      <c r="BI245" s="94" t="s">
        <v>869</v>
      </c>
      <c r="BJ245" s="94" t="s">
        <v>1283</v>
      </c>
      <c r="BK245" s="94" t="s">
        <v>1283</v>
      </c>
      <c r="BL245" s="94" t="s">
        <v>2959</v>
      </c>
      <c r="BM245" s="94" t="s">
        <v>3222</v>
      </c>
      <c r="BN245" s="94" t="s">
        <v>3222</v>
      </c>
      <c r="BO245" s="94" t="s">
        <v>3400</v>
      </c>
      <c r="BP245" s="94" t="s">
        <v>2108</v>
      </c>
      <c r="BQ245" s="94" t="s">
        <v>2168</v>
      </c>
      <c r="BR245" s="94" t="s">
        <v>1578</v>
      </c>
      <c r="BS245" s="94" t="s">
        <v>1578</v>
      </c>
      <c r="BT245" s="94"/>
    </row>
    <row r="246" spans="1:72" s="14" customFormat="1" ht="45.75" customHeight="1">
      <c r="A246" s="53" t="s">
        <v>5403</v>
      </c>
      <c r="B246" s="48" t="s">
        <v>5406</v>
      </c>
      <c r="C246" s="48" t="s">
        <v>5407</v>
      </c>
      <c r="D246" s="48" t="s">
        <v>5405</v>
      </c>
      <c r="E246" s="48"/>
      <c r="F246" s="53" t="s">
        <v>4807</v>
      </c>
      <c r="G246" s="48">
        <v>0.05</v>
      </c>
      <c r="H246" s="48" t="s">
        <v>3128</v>
      </c>
      <c r="I246" s="48" t="s">
        <v>3128</v>
      </c>
      <c r="J246" s="48" t="s">
        <v>4837</v>
      </c>
      <c r="K246" s="48" t="s">
        <v>4838</v>
      </c>
      <c r="L246" s="48" t="s">
        <v>635</v>
      </c>
      <c r="M246" s="131">
        <v>0.1</v>
      </c>
      <c r="N246" s="48" t="s">
        <v>4839</v>
      </c>
      <c r="O246" s="48">
        <v>0.05</v>
      </c>
      <c r="P246" s="48">
        <v>0.1</v>
      </c>
      <c r="Q246" s="48">
        <v>0.06</v>
      </c>
      <c r="R246" s="48">
        <v>0.06</v>
      </c>
      <c r="S246" s="48">
        <v>0.05</v>
      </c>
      <c r="T246" s="48">
        <v>0.2</v>
      </c>
      <c r="U246" s="48" t="s">
        <v>4840</v>
      </c>
      <c r="V246" s="48">
        <v>0.05</v>
      </c>
      <c r="W246" s="48">
        <v>0.05</v>
      </c>
      <c r="X246" s="48">
        <v>0.05</v>
      </c>
      <c r="Y246" s="48" t="s">
        <v>4838</v>
      </c>
      <c r="Z246" s="131">
        <v>0.1</v>
      </c>
      <c r="AA246" s="48" t="s">
        <v>4839</v>
      </c>
      <c r="AB246" s="48" t="s">
        <v>4839</v>
      </c>
      <c r="AC246" s="48">
        <v>0.1</v>
      </c>
      <c r="AD246" s="48" t="s">
        <v>4841</v>
      </c>
      <c r="AE246" s="48" t="s">
        <v>4841</v>
      </c>
      <c r="AF246" s="48" t="s">
        <v>4841</v>
      </c>
      <c r="AG246" s="48" t="s">
        <v>4253</v>
      </c>
      <c r="AH246" s="48" t="s">
        <v>4839</v>
      </c>
      <c r="AI246" s="48">
        <v>0.05</v>
      </c>
      <c r="AJ246" s="48">
        <v>0.1</v>
      </c>
      <c r="AK246" s="48">
        <v>0.1</v>
      </c>
      <c r="AL246" s="48">
        <v>0.1</v>
      </c>
      <c r="AM246" s="48" t="s">
        <v>4842</v>
      </c>
      <c r="AN246" s="48">
        <v>0.1</v>
      </c>
      <c r="AO246" s="48" t="s">
        <v>4843</v>
      </c>
      <c r="AP246" s="48" t="s">
        <v>4843</v>
      </c>
      <c r="AQ246" s="48" t="s">
        <v>4840</v>
      </c>
      <c r="AR246" s="48" t="s">
        <v>978</v>
      </c>
      <c r="AS246" s="48" t="s">
        <v>993</v>
      </c>
      <c r="AT246" s="48" t="s">
        <v>4844</v>
      </c>
      <c r="AU246" s="48" t="s">
        <v>4844</v>
      </c>
      <c r="AV246" s="48" t="s">
        <v>4845</v>
      </c>
      <c r="AW246" s="48" t="s">
        <v>4845</v>
      </c>
      <c r="AX246" s="48" t="s">
        <v>39</v>
      </c>
      <c r="AY246" s="48">
        <v>0.15</v>
      </c>
      <c r="AZ246" s="48">
        <v>0.15</v>
      </c>
      <c r="BA246" s="48">
        <v>0.05</v>
      </c>
      <c r="BB246" s="48">
        <v>0.15</v>
      </c>
      <c r="BC246" s="48">
        <v>0.05</v>
      </c>
      <c r="BD246" s="48">
        <v>0.1</v>
      </c>
      <c r="BE246" s="48">
        <v>0.05</v>
      </c>
      <c r="BF246" s="48">
        <v>0.05</v>
      </c>
      <c r="BG246" s="48">
        <v>0.05</v>
      </c>
      <c r="BH246" s="48">
        <v>0.05</v>
      </c>
      <c r="BI246" s="48">
        <v>0.05</v>
      </c>
      <c r="BJ246" s="48" t="s">
        <v>4840</v>
      </c>
      <c r="BK246" s="48" t="s">
        <v>4839</v>
      </c>
      <c r="BL246" s="48" t="s">
        <v>4846</v>
      </c>
      <c r="BM246" s="48" t="s">
        <v>4840</v>
      </c>
      <c r="BN246" s="48">
        <v>0.1</v>
      </c>
      <c r="BO246" s="48" t="s">
        <v>4847</v>
      </c>
      <c r="BP246" s="48" t="s">
        <v>4848</v>
      </c>
      <c r="BQ246" s="48">
        <v>0.15</v>
      </c>
      <c r="BR246" s="48">
        <v>0.1</v>
      </c>
      <c r="BS246" s="48">
        <v>0.1</v>
      </c>
      <c r="BT246" s="48" t="s">
        <v>4839</v>
      </c>
    </row>
    <row r="247" spans="1:72" s="2" customFormat="1" ht="9" customHeight="1">
      <c r="A247" s="95" t="s">
        <v>688</v>
      </c>
      <c r="B247" s="94" t="s">
        <v>4950</v>
      </c>
      <c r="C247" s="94" t="s">
        <v>5162</v>
      </c>
      <c r="D247" s="94" t="s">
        <v>4859</v>
      </c>
      <c r="E247" s="94"/>
      <c r="F247" s="95" t="s">
        <v>688</v>
      </c>
      <c r="G247" s="94"/>
      <c r="H247" s="94" t="s">
        <v>3125</v>
      </c>
      <c r="I247" s="94" t="s">
        <v>3126</v>
      </c>
      <c r="J247" s="94" t="s">
        <v>1925</v>
      </c>
      <c r="K247" s="94" t="s">
        <v>1926</v>
      </c>
      <c r="L247" s="94" t="s">
        <v>3636</v>
      </c>
      <c r="M247" s="94" t="s">
        <v>2633</v>
      </c>
      <c r="N247" s="94" t="s">
        <v>2709</v>
      </c>
      <c r="O247" s="94" t="s">
        <v>2780</v>
      </c>
      <c r="P247" s="94" t="s">
        <v>2745</v>
      </c>
      <c r="Q247" s="94" t="s">
        <v>2737</v>
      </c>
      <c r="R247" s="94" t="s">
        <v>2737</v>
      </c>
      <c r="S247" s="94" t="s">
        <v>1381</v>
      </c>
      <c r="T247" s="94" t="s">
        <v>2794</v>
      </c>
      <c r="U247" s="94" t="s">
        <v>1290</v>
      </c>
      <c r="V247" s="94" t="s">
        <v>1381</v>
      </c>
      <c r="W247" s="94" t="s">
        <v>1656</v>
      </c>
      <c r="X247" s="94" t="s">
        <v>1381</v>
      </c>
      <c r="Y247" s="94" t="s">
        <v>3716</v>
      </c>
      <c r="Z247" s="94" t="s">
        <v>4048</v>
      </c>
      <c r="AA247" s="94" t="s">
        <v>4051</v>
      </c>
      <c r="AB247" s="94" t="s">
        <v>4085</v>
      </c>
      <c r="AC247" s="94" t="s">
        <v>808</v>
      </c>
      <c r="AD247" s="94" t="s">
        <v>1381</v>
      </c>
      <c r="AE247" s="94" t="s">
        <v>1381</v>
      </c>
      <c r="AF247" s="94" t="s">
        <v>1381</v>
      </c>
      <c r="AG247" s="94" t="s">
        <v>4246</v>
      </c>
      <c r="AH247" s="94" t="s">
        <v>2740</v>
      </c>
      <c r="AI247" s="94" t="s">
        <v>1381</v>
      </c>
      <c r="AJ247" s="94" t="s">
        <v>2369</v>
      </c>
      <c r="AK247" s="94" t="s">
        <v>2310</v>
      </c>
      <c r="AL247" s="94" t="s">
        <v>2248</v>
      </c>
      <c r="AM247" s="94" t="s">
        <v>1131</v>
      </c>
      <c r="AN247" s="94"/>
      <c r="AO247" s="94" t="s">
        <v>2454</v>
      </c>
      <c r="AP247" s="94" t="s">
        <v>2454</v>
      </c>
      <c r="AQ247" s="94" t="s">
        <v>1381</v>
      </c>
      <c r="AR247" s="94" t="s">
        <v>3315</v>
      </c>
      <c r="AS247" s="94" t="s">
        <v>3314</v>
      </c>
      <c r="AT247" s="94" t="s">
        <v>3498</v>
      </c>
      <c r="AU247" s="94" t="s">
        <v>3498</v>
      </c>
      <c r="AV247" s="94" t="s">
        <v>3498</v>
      </c>
      <c r="AW247" s="94" t="s">
        <v>3498</v>
      </c>
      <c r="AX247" s="94"/>
      <c r="AY247" s="94"/>
      <c r="AZ247" s="94"/>
      <c r="BA247" s="94" t="s">
        <v>1430</v>
      </c>
      <c r="BB247" s="94" t="s">
        <v>1430</v>
      </c>
      <c r="BC247" s="94"/>
      <c r="BD247" s="94" t="s">
        <v>2887</v>
      </c>
      <c r="BE247" s="94" t="s">
        <v>1381</v>
      </c>
      <c r="BF247" s="94" t="s">
        <v>1381</v>
      </c>
      <c r="BG247" s="94" t="s">
        <v>1704</v>
      </c>
      <c r="BH247" s="94" t="s">
        <v>869</v>
      </c>
      <c r="BI247" s="94" t="s">
        <v>869</v>
      </c>
      <c r="BJ247" s="94" t="s">
        <v>1283</v>
      </c>
      <c r="BK247" s="94" t="s">
        <v>1283</v>
      </c>
      <c r="BL247" s="94" t="s">
        <v>2959</v>
      </c>
      <c r="BM247" s="94" t="s">
        <v>3222</v>
      </c>
      <c r="BN247" s="94" t="s">
        <v>3222</v>
      </c>
      <c r="BO247" s="94" t="s">
        <v>3400</v>
      </c>
      <c r="BP247" s="94" t="s">
        <v>2108</v>
      </c>
      <c r="BQ247" s="94" t="s">
        <v>2168</v>
      </c>
      <c r="BR247" s="94" t="s">
        <v>1578</v>
      </c>
      <c r="BS247" s="94" t="s">
        <v>1578</v>
      </c>
      <c r="BT247" s="94"/>
    </row>
    <row r="248" spans="1:72" s="14" customFormat="1" ht="13.5" customHeight="1">
      <c r="A248" s="53" t="s">
        <v>12</v>
      </c>
      <c r="B248" s="48">
        <v>0.8</v>
      </c>
      <c r="C248" s="48">
        <v>0.8</v>
      </c>
      <c r="D248" s="48">
        <v>0.75</v>
      </c>
      <c r="E248" s="48"/>
      <c r="F248" s="53" t="s">
        <v>12</v>
      </c>
      <c r="G248" s="48">
        <v>0.75</v>
      </c>
      <c r="H248" s="48" t="s">
        <v>3127</v>
      </c>
      <c r="I248" s="48" t="s">
        <v>3127</v>
      </c>
      <c r="J248" s="48">
        <v>0.8</v>
      </c>
      <c r="K248" s="48">
        <v>0.85</v>
      </c>
      <c r="L248" s="48">
        <v>0.8</v>
      </c>
      <c r="M248" s="131">
        <v>0.75</v>
      </c>
      <c r="N248" s="48" t="s">
        <v>2714</v>
      </c>
      <c r="O248" s="48">
        <v>0.7</v>
      </c>
      <c r="P248" s="48">
        <v>0.8</v>
      </c>
      <c r="Q248" s="48">
        <v>0.7</v>
      </c>
      <c r="R248" s="48">
        <v>0.7</v>
      </c>
      <c r="S248" s="48">
        <v>0.7</v>
      </c>
      <c r="T248" s="48">
        <v>0.7</v>
      </c>
      <c r="U248" s="48">
        <v>0.7</v>
      </c>
      <c r="V248" s="48">
        <v>0.7</v>
      </c>
      <c r="W248" s="48">
        <v>0.7</v>
      </c>
      <c r="X248" s="48">
        <v>0.7</v>
      </c>
      <c r="Y248" s="48">
        <v>0.8</v>
      </c>
      <c r="Z248" s="131">
        <v>0.7</v>
      </c>
      <c r="AA248" s="131">
        <v>0.75</v>
      </c>
      <c r="AB248" s="131">
        <v>0.8</v>
      </c>
      <c r="AC248" s="48">
        <v>0.8</v>
      </c>
      <c r="AD248" s="48" t="s">
        <v>3987</v>
      </c>
      <c r="AE248" s="48" t="s">
        <v>3987</v>
      </c>
      <c r="AF248" s="48" t="s">
        <v>3987</v>
      </c>
      <c r="AG248" s="48" t="s">
        <v>4247</v>
      </c>
      <c r="AH248" s="48">
        <v>0.8</v>
      </c>
      <c r="AI248" s="48">
        <v>0.7</v>
      </c>
      <c r="AJ248" s="48">
        <v>0.7</v>
      </c>
      <c r="AK248" s="48">
        <v>0.8</v>
      </c>
      <c r="AL248" s="48">
        <v>0.8</v>
      </c>
      <c r="AM248" s="48">
        <v>0.8</v>
      </c>
      <c r="AN248" s="48">
        <v>0.75</v>
      </c>
      <c r="AO248" s="48">
        <v>0.8</v>
      </c>
      <c r="AP248" s="48">
        <v>0.8</v>
      </c>
      <c r="AQ248" s="48">
        <v>0.75</v>
      </c>
      <c r="AR248" s="48" t="s">
        <v>974</v>
      </c>
      <c r="AS248" s="48" t="s">
        <v>989</v>
      </c>
      <c r="AT248" s="48" t="s">
        <v>3465</v>
      </c>
      <c r="AU248" s="48" t="s">
        <v>3465</v>
      </c>
      <c r="AV248" s="48" t="s">
        <v>3448</v>
      </c>
      <c r="AW248" s="48" t="s">
        <v>3448</v>
      </c>
      <c r="AX248" s="48" t="s">
        <v>39</v>
      </c>
      <c r="AY248" s="48">
        <v>0.8</v>
      </c>
      <c r="AZ248" s="48">
        <v>0.8</v>
      </c>
      <c r="BA248" s="48">
        <v>0.7</v>
      </c>
      <c r="BB248" s="48">
        <v>0.85</v>
      </c>
      <c r="BC248" s="48">
        <v>0.7</v>
      </c>
      <c r="BD248" s="48">
        <v>0.9</v>
      </c>
      <c r="BE248" s="48">
        <v>0.7</v>
      </c>
      <c r="BF248" s="48">
        <v>0.7</v>
      </c>
      <c r="BG248" s="48">
        <v>0.7</v>
      </c>
      <c r="BH248" s="48">
        <v>0.7</v>
      </c>
      <c r="BI248" s="48">
        <v>0.7</v>
      </c>
      <c r="BJ248" s="48">
        <v>0.75</v>
      </c>
      <c r="BK248" s="48">
        <v>0.8</v>
      </c>
      <c r="BL248" s="48" t="s">
        <v>2991</v>
      </c>
      <c r="BM248" s="48">
        <v>0.7</v>
      </c>
      <c r="BN248" s="48">
        <v>0.75</v>
      </c>
      <c r="BO248" s="48">
        <v>0.8</v>
      </c>
      <c r="BP248" s="48">
        <v>0.8</v>
      </c>
      <c r="BQ248" s="48">
        <v>0.8</v>
      </c>
      <c r="BR248" s="48">
        <v>0.8</v>
      </c>
      <c r="BS248" s="48">
        <v>0.8</v>
      </c>
      <c r="BT248" s="48">
        <v>0.7</v>
      </c>
    </row>
    <row r="249" spans="1:72" s="2" customFormat="1" ht="9" customHeight="1">
      <c r="A249" s="95" t="s">
        <v>688</v>
      </c>
      <c r="B249" s="94" t="s">
        <v>4950</v>
      </c>
      <c r="C249" s="94" t="s">
        <v>5162</v>
      </c>
      <c r="D249" s="94" t="s">
        <v>4859</v>
      </c>
      <c r="E249" s="94"/>
      <c r="F249" s="95" t="s">
        <v>688</v>
      </c>
      <c r="G249" s="94"/>
      <c r="H249" s="94" t="s">
        <v>3125</v>
      </c>
      <c r="I249" s="94" t="s">
        <v>3126</v>
      </c>
      <c r="J249" s="94" t="s">
        <v>1925</v>
      </c>
      <c r="K249" s="94" t="s">
        <v>1926</v>
      </c>
      <c r="L249" s="94" t="s">
        <v>3636</v>
      </c>
      <c r="M249" s="94" t="s">
        <v>2633</v>
      </c>
      <c r="N249" s="94" t="s">
        <v>2709</v>
      </c>
      <c r="O249" s="94" t="s">
        <v>2780</v>
      </c>
      <c r="P249" s="94" t="s">
        <v>2745</v>
      </c>
      <c r="Q249" s="94" t="s">
        <v>2737</v>
      </c>
      <c r="R249" s="94" t="s">
        <v>2737</v>
      </c>
      <c r="S249" s="94" t="s">
        <v>1381</v>
      </c>
      <c r="T249" s="94" t="s">
        <v>2795</v>
      </c>
      <c r="U249" s="94" t="s">
        <v>1290</v>
      </c>
      <c r="V249" s="94" t="s">
        <v>1381</v>
      </c>
      <c r="W249" s="94" t="s">
        <v>1656</v>
      </c>
      <c r="X249" s="94" t="s">
        <v>1381</v>
      </c>
      <c r="Y249" s="94" t="s">
        <v>3716</v>
      </c>
      <c r="Z249" s="94" t="s">
        <v>4048</v>
      </c>
      <c r="AA249" s="94" t="s">
        <v>4051</v>
      </c>
      <c r="AB249" s="94" t="s">
        <v>4085</v>
      </c>
      <c r="AC249" s="94" t="s">
        <v>808</v>
      </c>
      <c r="AD249" s="94" t="s">
        <v>1381</v>
      </c>
      <c r="AE249" s="94" t="s">
        <v>1381</v>
      </c>
      <c r="AF249" s="94" t="s">
        <v>1381</v>
      </c>
      <c r="AG249" s="94" t="s">
        <v>4246</v>
      </c>
      <c r="AH249" s="94" t="s">
        <v>2740</v>
      </c>
      <c r="AI249" s="94" t="s">
        <v>1381</v>
      </c>
      <c r="AJ249" s="94" t="s">
        <v>2369</v>
      </c>
      <c r="AK249" s="94" t="s">
        <v>2310</v>
      </c>
      <c r="AL249" s="94" t="s">
        <v>2248</v>
      </c>
      <c r="AM249" s="94" t="s">
        <v>1131</v>
      </c>
      <c r="AN249" s="94"/>
      <c r="AO249" s="94" t="s">
        <v>2454</v>
      </c>
      <c r="AP249" s="94" t="s">
        <v>2454</v>
      </c>
      <c r="AQ249" s="94" t="s">
        <v>1381</v>
      </c>
      <c r="AR249" s="94" t="s">
        <v>3315</v>
      </c>
      <c r="AS249" s="94" t="s">
        <v>3314</v>
      </c>
      <c r="AT249" s="94" t="s">
        <v>3498</v>
      </c>
      <c r="AU249" s="94" t="s">
        <v>3498</v>
      </c>
      <c r="AV249" s="94" t="s">
        <v>3498</v>
      </c>
      <c r="AW249" s="94" t="s">
        <v>3498</v>
      </c>
      <c r="AX249" s="94"/>
      <c r="AY249" s="94"/>
      <c r="AZ249" s="94"/>
      <c r="BA249" s="94" t="s">
        <v>1430</v>
      </c>
      <c r="BB249" s="94" t="s">
        <v>1430</v>
      </c>
      <c r="BC249" s="94"/>
      <c r="BD249" s="94" t="s">
        <v>2887</v>
      </c>
      <c r="BE249" s="94" t="s">
        <v>1381</v>
      </c>
      <c r="BF249" s="94" t="s">
        <v>1381</v>
      </c>
      <c r="BG249" s="94" t="s">
        <v>1704</v>
      </c>
      <c r="BH249" s="94" t="s">
        <v>869</v>
      </c>
      <c r="BI249" s="94" t="s">
        <v>869</v>
      </c>
      <c r="BJ249" s="94" t="s">
        <v>1283</v>
      </c>
      <c r="BK249" s="94" t="s">
        <v>1283</v>
      </c>
      <c r="BL249" s="94" t="s">
        <v>2959</v>
      </c>
      <c r="BM249" s="94" t="s">
        <v>3222</v>
      </c>
      <c r="BN249" s="94" t="s">
        <v>3222</v>
      </c>
      <c r="BO249" s="94" t="s">
        <v>3400</v>
      </c>
      <c r="BP249" s="94" t="s">
        <v>2108</v>
      </c>
      <c r="BQ249" s="94" t="s">
        <v>2168</v>
      </c>
      <c r="BR249" s="94" t="s">
        <v>1578</v>
      </c>
      <c r="BS249" s="94" t="s">
        <v>1578</v>
      </c>
      <c r="BT249" s="94"/>
    </row>
    <row r="250" spans="1:72" s="14" customFormat="1" ht="13.5" customHeight="1">
      <c r="A250" s="53" t="s">
        <v>13</v>
      </c>
      <c r="B250" s="48">
        <v>0.75</v>
      </c>
      <c r="C250" s="48">
        <v>0.75</v>
      </c>
      <c r="D250" s="48">
        <v>0.65</v>
      </c>
      <c r="E250" s="48"/>
      <c r="F250" s="53" t="s">
        <v>13</v>
      </c>
      <c r="G250" s="48" t="s">
        <v>39</v>
      </c>
      <c r="H250" s="48">
        <v>0.8</v>
      </c>
      <c r="I250" s="48">
        <v>0.8</v>
      </c>
      <c r="J250" s="48">
        <v>0.7</v>
      </c>
      <c r="K250" s="48">
        <v>0.75</v>
      </c>
      <c r="L250" s="48">
        <v>0.7</v>
      </c>
      <c r="M250" s="131">
        <v>0.75</v>
      </c>
      <c r="N250" s="48" t="s">
        <v>2715</v>
      </c>
      <c r="O250" s="48">
        <v>0.6</v>
      </c>
      <c r="P250" s="48">
        <v>0.7</v>
      </c>
      <c r="Q250" s="48">
        <v>0.65</v>
      </c>
      <c r="R250" s="48">
        <v>0.65</v>
      </c>
      <c r="S250" s="48">
        <v>0.6</v>
      </c>
      <c r="T250" s="48">
        <v>0.6</v>
      </c>
      <c r="U250" s="48">
        <v>0.7</v>
      </c>
      <c r="V250" s="48">
        <v>0.6</v>
      </c>
      <c r="W250" s="48">
        <v>0.6</v>
      </c>
      <c r="X250" s="48">
        <v>0.6</v>
      </c>
      <c r="Y250" s="48">
        <v>0.7</v>
      </c>
      <c r="Z250" s="131">
        <v>0.65</v>
      </c>
      <c r="AA250" s="131">
        <v>0.7</v>
      </c>
      <c r="AB250" s="131">
        <v>0.7</v>
      </c>
      <c r="AC250" s="48">
        <v>0.75</v>
      </c>
      <c r="AD250" s="48" t="s">
        <v>3989</v>
      </c>
      <c r="AE250" s="48" t="s">
        <v>3989</v>
      </c>
      <c r="AF250" s="48" t="s">
        <v>3989</v>
      </c>
      <c r="AG250" s="48" t="s">
        <v>4254</v>
      </c>
      <c r="AH250" s="48">
        <v>0.75</v>
      </c>
      <c r="AI250" s="48">
        <v>0.6</v>
      </c>
      <c r="AJ250" s="48">
        <v>0.7</v>
      </c>
      <c r="AK250" s="48">
        <v>0.75</v>
      </c>
      <c r="AL250" s="48">
        <v>0.75</v>
      </c>
      <c r="AM250" s="48">
        <v>0.7</v>
      </c>
      <c r="AN250" s="48">
        <v>0.65</v>
      </c>
      <c r="AO250" s="48">
        <v>0.75</v>
      </c>
      <c r="AP250" s="48">
        <v>0.75</v>
      </c>
      <c r="AQ250" s="48">
        <v>0.65</v>
      </c>
      <c r="AR250" s="48" t="s">
        <v>974</v>
      </c>
      <c r="AS250" s="48" t="s">
        <v>989</v>
      </c>
      <c r="AT250" s="48" t="s">
        <v>3465</v>
      </c>
      <c r="AU250" s="48" t="s">
        <v>3465</v>
      </c>
      <c r="AV250" s="48" t="s">
        <v>3448</v>
      </c>
      <c r="AW250" s="48" t="s">
        <v>3448</v>
      </c>
      <c r="AX250" s="48" t="s">
        <v>39</v>
      </c>
      <c r="AY250" s="48" t="s">
        <v>234</v>
      </c>
      <c r="AZ250" s="48" t="s">
        <v>234</v>
      </c>
      <c r="BA250" s="48">
        <v>0.6</v>
      </c>
      <c r="BB250" s="48" t="s">
        <v>39</v>
      </c>
      <c r="BC250" s="48">
        <v>0.6</v>
      </c>
      <c r="BD250" s="48">
        <v>0.75</v>
      </c>
      <c r="BE250" s="48">
        <v>0.6</v>
      </c>
      <c r="BF250" s="48">
        <v>0.6</v>
      </c>
      <c r="BG250" s="48">
        <v>0.6</v>
      </c>
      <c r="BH250" s="48">
        <v>0.6</v>
      </c>
      <c r="BI250" s="48">
        <v>0.6</v>
      </c>
      <c r="BJ250" s="48">
        <v>0.65</v>
      </c>
      <c r="BK250" s="48">
        <v>0.75</v>
      </c>
      <c r="BL250" s="48" t="s">
        <v>2993</v>
      </c>
      <c r="BM250" s="48">
        <v>0.6</v>
      </c>
      <c r="BN250" s="48">
        <v>0.75</v>
      </c>
      <c r="BO250" s="48">
        <v>0.7</v>
      </c>
      <c r="BP250" s="48">
        <v>0.75</v>
      </c>
      <c r="BQ250" s="48">
        <v>0.7</v>
      </c>
      <c r="BR250" s="48">
        <v>0.7</v>
      </c>
      <c r="BS250" s="48">
        <v>0.7</v>
      </c>
      <c r="BT250" s="48">
        <v>0.7</v>
      </c>
    </row>
    <row r="251" spans="1:72" s="2" customFormat="1" ht="9" customHeight="1">
      <c r="A251" s="95" t="s">
        <v>688</v>
      </c>
      <c r="B251" s="94" t="s">
        <v>4950</v>
      </c>
      <c r="C251" s="94" t="s">
        <v>5162</v>
      </c>
      <c r="D251" s="94" t="s">
        <v>4859</v>
      </c>
      <c r="E251" s="94"/>
      <c r="F251" s="95" t="s">
        <v>688</v>
      </c>
      <c r="G251" s="94"/>
      <c r="H251" s="94" t="s">
        <v>3125</v>
      </c>
      <c r="I251" s="94" t="s">
        <v>3126</v>
      </c>
      <c r="J251" s="94" t="s">
        <v>1925</v>
      </c>
      <c r="K251" s="94" t="s">
        <v>1926</v>
      </c>
      <c r="L251" s="94" t="s">
        <v>3636</v>
      </c>
      <c r="M251" s="94" t="s">
        <v>2633</v>
      </c>
      <c r="N251" s="94" t="s">
        <v>2709</v>
      </c>
      <c r="O251" s="94" t="s">
        <v>2780</v>
      </c>
      <c r="P251" s="94" t="s">
        <v>2745</v>
      </c>
      <c r="Q251" s="94" t="s">
        <v>2737</v>
      </c>
      <c r="R251" s="94" t="s">
        <v>2737</v>
      </c>
      <c r="S251" s="94" t="s">
        <v>1381</v>
      </c>
      <c r="T251" s="94" t="s">
        <v>2792</v>
      </c>
      <c r="U251" s="94" t="s">
        <v>1290</v>
      </c>
      <c r="V251" s="94" t="s">
        <v>1381</v>
      </c>
      <c r="W251" s="94" t="s">
        <v>1656</v>
      </c>
      <c r="X251" s="94" t="s">
        <v>1381</v>
      </c>
      <c r="Y251" s="94" t="s">
        <v>3716</v>
      </c>
      <c r="Z251" s="94" t="s">
        <v>4048</v>
      </c>
      <c r="AA251" s="94" t="s">
        <v>4051</v>
      </c>
      <c r="AB251" s="94" t="s">
        <v>4085</v>
      </c>
      <c r="AC251" s="94" t="s">
        <v>808</v>
      </c>
      <c r="AD251" s="94" t="s">
        <v>1381</v>
      </c>
      <c r="AE251" s="94" t="s">
        <v>1381</v>
      </c>
      <c r="AF251" s="94" t="s">
        <v>1381</v>
      </c>
      <c r="AG251" s="94" t="s">
        <v>4246</v>
      </c>
      <c r="AH251" s="94" t="s">
        <v>2740</v>
      </c>
      <c r="AI251" s="94" t="s">
        <v>1381</v>
      </c>
      <c r="AJ251" s="94" t="s">
        <v>2369</v>
      </c>
      <c r="AK251" s="94" t="s">
        <v>2310</v>
      </c>
      <c r="AL251" s="94" t="s">
        <v>2248</v>
      </c>
      <c r="AM251" s="94" t="s">
        <v>1131</v>
      </c>
      <c r="AN251" s="94"/>
      <c r="AO251" s="94" t="s">
        <v>2454</v>
      </c>
      <c r="AP251" s="94" t="s">
        <v>2454</v>
      </c>
      <c r="AQ251" s="94" t="s">
        <v>1381</v>
      </c>
      <c r="AR251" s="94" t="s">
        <v>3315</v>
      </c>
      <c r="AS251" s="94" t="s">
        <v>3314</v>
      </c>
      <c r="AT251" s="94" t="s">
        <v>3498</v>
      </c>
      <c r="AU251" s="94" t="s">
        <v>3498</v>
      </c>
      <c r="AV251" s="94" t="s">
        <v>3498</v>
      </c>
      <c r="AW251" s="94" t="s">
        <v>3498</v>
      </c>
      <c r="AX251" s="94"/>
      <c r="AY251" s="94"/>
      <c r="AZ251" s="94"/>
      <c r="BA251" s="94" t="s">
        <v>1430</v>
      </c>
      <c r="BB251" s="94" t="s">
        <v>1513</v>
      </c>
      <c r="BC251" s="94"/>
      <c r="BD251" s="94" t="s">
        <v>2887</v>
      </c>
      <c r="BE251" s="94" t="s">
        <v>1381</v>
      </c>
      <c r="BF251" s="94" t="s">
        <v>1381</v>
      </c>
      <c r="BG251" s="94" t="s">
        <v>1704</v>
      </c>
      <c r="BH251" s="94" t="s">
        <v>869</v>
      </c>
      <c r="BI251" s="94" t="s">
        <v>869</v>
      </c>
      <c r="BJ251" s="94" t="s">
        <v>1283</v>
      </c>
      <c r="BK251" s="94" t="s">
        <v>1283</v>
      </c>
      <c r="BL251" s="94" t="s">
        <v>2959</v>
      </c>
      <c r="BM251" s="94" t="s">
        <v>3222</v>
      </c>
      <c r="BN251" s="94" t="s">
        <v>3222</v>
      </c>
      <c r="BO251" s="94" t="s">
        <v>3400</v>
      </c>
      <c r="BP251" s="94" t="s">
        <v>2108</v>
      </c>
      <c r="BQ251" s="94" t="s">
        <v>2168</v>
      </c>
      <c r="BR251" s="94" t="s">
        <v>1578</v>
      </c>
      <c r="BS251" s="94" t="s">
        <v>1578</v>
      </c>
      <c r="BT251" s="94"/>
    </row>
    <row r="252" spans="1:72" s="14" customFormat="1" ht="13.5" customHeight="1">
      <c r="A252" s="53" t="s">
        <v>169</v>
      </c>
      <c r="B252" s="48">
        <v>0.65</v>
      </c>
      <c r="C252" s="48">
        <v>0.7</v>
      </c>
      <c r="D252" s="48">
        <v>0.55000000000000004</v>
      </c>
      <c r="E252" s="48"/>
      <c r="F252" s="53" t="s">
        <v>169</v>
      </c>
      <c r="G252" s="48" t="s">
        <v>39</v>
      </c>
      <c r="H252" s="48">
        <v>0.75</v>
      </c>
      <c r="I252" s="48">
        <v>0.75</v>
      </c>
      <c r="J252" s="48">
        <v>0.6</v>
      </c>
      <c r="K252" s="48">
        <v>0.65</v>
      </c>
      <c r="L252" s="48">
        <v>0.6</v>
      </c>
      <c r="M252" s="131">
        <v>0.65</v>
      </c>
      <c r="N252" s="48">
        <v>0.65</v>
      </c>
      <c r="O252" s="48">
        <v>0.5</v>
      </c>
      <c r="P252" s="48">
        <v>0.7</v>
      </c>
      <c r="Q252" s="48">
        <v>0.6</v>
      </c>
      <c r="R252" s="48">
        <v>0.6</v>
      </c>
      <c r="S252" s="48">
        <v>0.5</v>
      </c>
      <c r="T252" s="48">
        <v>0.5</v>
      </c>
      <c r="U252" s="48">
        <v>0.7</v>
      </c>
      <c r="V252" s="48">
        <v>0.5</v>
      </c>
      <c r="W252" s="48">
        <v>0.5</v>
      </c>
      <c r="X252" s="48">
        <v>0.5</v>
      </c>
      <c r="Y252" s="48">
        <v>0.6</v>
      </c>
      <c r="Z252" s="131">
        <v>0.55000000000000004</v>
      </c>
      <c r="AA252" s="131">
        <v>0.6</v>
      </c>
      <c r="AB252" s="131">
        <v>0.6</v>
      </c>
      <c r="AC252" s="48">
        <v>0.65</v>
      </c>
      <c r="AD252" s="48" t="s">
        <v>3994</v>
      </c>
      <c r="AE252" s="48" t="s">
        <v>3994</v>
      </c>
      <c r="AF252" s="48" t="s">
        <v>3994</v>
      </c>
      <c r="AG252" s="48" t="s">
        <v>4255</v>
      </c>
      <c r="AH252" s="48">
        <v>0.65</v>
      </c>
      <c r="AI252" s="48">
        <v>0.5</v>
      </c>
      <c r="AJ252" s="48">
        <v>0.55000000000000004</v>
      </c>
      <c r="AK252" s="48">
        <v>0.65</v>
      </c>
      <c r="AL252" s="48">
        <v>0.65</v>
      </c>
      <c r="AM252" s="48">
        <v>0.6</v>
      </c>
      <c r="AN252" s="48">
        <v>0.55000000000000004</v>
      </c>
      <c r="AO252" s="48">
        <v>0.65</v>
      </c>
      <c r="AP252" s="48">
        <v>0.65</v>
      </c>
      <c r="AQ252" s="48">
        <v>0.55000000000000004</v>
      </c>
      <c r="AR252" s="48" t="s">
        <v>974</v>
      </c>
      <c r="AS252" s="48" t="s">
        <v>989</v>
      </c>
      <c r="AT252" s="48" t="s">
        <v>3467</v>
      </c>
      <c r="AU252" s="48" t="s">
        <v>3467</v>
      </c>
      <c r="AV252" s="48" t="s">
        <v>3448</v>
      </c>
      <c r="AW252" s="48" t="s">
        <v>3448</v>
      </c>
      <c r="AX252" s="48" t="s">
        <v>39</v>
      </c>
      <c r="AY252" s="48" t="s">
        <v>234</v>
      </c>
      <c r="AZ252" s="48" t="s">
        <v>234</v>
      </c>
      <c r="BA252" s="48">
        <v>0.5</v>
      </c>
      <c r="BB252" s="48" t="s">
        <v>39</v>
      </c>
      <c r="BC252" s="48">
        <v>0.5</v>
      </c>
      <c r="BD252" s="48">
        <v>0.65</v>
      </c>
      <c r="BE252" s="48">
        <v>0.5</v>
      </c>
      <c r="BF252" s="48">
        <v>0.5</v>
      </c>
      <c r="BG252" s="48">
        <v>0.5</v>
      </c>
      <c r="BH252" s="48">
        <v>0.5</v>
      </c>
      <c r="BI252" s="48">
        <v>0.5</v>
      </c>
      <c r="BJ252" s="48">
        <v>0.55000000000000004</v>
      </c>
      <c r="BK252" s="48">
        <v>0.7</v>
      </c>
      <c r="BL252" s="48" t="s">
        <v>2995</v>
      </c>
      <c r="BM252" s="48">
        <v>0.5</v>
      </c>
      <c r="BN252" s="48">
        <v>0.65</v>
      </c>
      <c r="BO252" s="48">
        <v>0.6</v>
      </c>
      <c r="BP252" s="48">
        <v>0.65</v>
      </c>
      <c r="BQ252" s="48">
        <v>0.6</v>
      </c>
      <c r="BR252" s="48">
        <v>0.6</v>
      </c>
      <c r="BS252" s="48">
        <v>0.6</v>
      </c>
      <c r="BT252" s="48">
        <v>0.7</v>
      </c>
    </row>
    <row r="253" spans="1:72" s="2" customFormat="1" ht="9" customHeight="1">
      <c r="A253" s="95" t="s">
        <v>688</v>
      </c>
      <c r="B253" s="94" t="s">
        <v>4950</v>
      </c>
      <c r="C253" s="94" t="s">
        <v>5162</v>
      </c>
      <c r="D253" s="94" t="s">
        <v>4859</v>
      </c>
      <c r="E253" s="94"/>
      <c r="F253" s="95" t="s">
        <v>688</v>
      </c>
      <c r="G253" s="94"/>
      <c r="H253" s="94" t="s">
        <v>3125</v>
      </c>
      <c r="I253" s="94" t="s">
        <v>3126</v>
      </c>
      <c r="J253" s="94" t="s">
        <v>1925</v>
      </c>
      <c r="K253" s="94" t="s">
        <v>1926</v>
      </c>
      <c r="L253" s="94" t="s">
        <v>3636</v>
      </c>
      <c r="M253" s="94" t="s">
        <v>2633</v>
      </c>
      <c r="N253" s="94" t="s">
        <v>2709</v>
      </c>
      <c r="O253" s="94" t="s">
        <v>2780</v>
      </c>
      <c r="P253" s="94" t="s">
        <v>2745</v>
      </c>
      <c r="Q253" s="94" t="s">
        <v>2737</v>
      </c>
      <c r="R253" s="94" t="s">
        <v>2737</v>
      </c>
      <c r="S253" s="94" t="s">
        <v>1381</v>
      </c>
      <c r="T253" s="94" t="s">
        <v>2792</v>
      </c>
      <c r="U253" s="94" t="s">
        <v>1290</v>
      </c>
      <c r="V253" s="94" t="s">
        <v>1381</v>
      </c>
      <c r="W253" s="94" t="s">
        <v>1656</v>
      </c>
      <c r="X253" s="94" t="s">
        <v>1381</v>
      </c>
      <c r="Y253" s="94" t="s">
        <v>3716</v>
      </c>
      <c r="Z253" s="94" t="s">
        <v>4048</v>
      </c>
      <c r="AA253" s="94" t="s">
        <v>4051</v>
      </c>
      <c r="AB253" s="94" t="s">
        <v>4085</v>
      </c>
      <c r="AC253" s="94" t="s">
        <v>808</v>
      </c>
      <c r="AD253" s="94" t="s">
        <v>1381</v>
      </c>
      <c r="AE253" s="94" t="s">
        <v>1381</v>
      </c>
      <c r="AF253" s="94" t="s">
        <v>1381</v>
      </c>
      <c r="AG253" s="94" t="s">
        <v>4246</v>
      </c>
      <c r="AH253" s="94" t="s">
        <v>2740</v>
      </c>
      <c r="AI253" s="94" t="s">
        <v>1381</v>
      </c>
      <c r="AJ253" s="94" t="s">
        <v>2369</v>
      </c>
      <c r="AK253" s="94" t="s">
        <v>2310</v>
      </c>
      <c r="AL253" s="94" t="s">
        <v>2248</v>
      </c>
      <c r="AM253" s="94" t="s">
        <v>1131</v>
      </c>
      <c r="AN253" s="94"/>
      <c r="AO253" s="94" t="s">
        <v>2454</v>
      </c>
      <c r="AP253" s="94" t="s">
        <v>2454</v>
      </c>
      <c r="AQ253" s="94" t="s">
        <v>1381</v>
      </c>
      <c r="AR253" s="94" t="s">
        <v>3315</v>
      </c>
      <c r="AS253" s="94" t="s">
        <v>3314</v>
      </c>
      <c r="AT253" s="94" t="s">
        <v>3498</v>
      </c>
      <c r="AU253" s="94" t="s">
        <v>3498</v>
      </c>
      <c r="AV253" s="94" t="s">
        <v>3498</v>
      </c>
      <c r="AW253" s="94" t="s">
        <v>3498</v>
      </c>
      <c r="AX253" s="94"/>
      <c r="AY253" s="94"/>
      <c r="AZ253" s="94"/>
      <c r="BA253" s="94" t="s">
        <v>1430</v>
      </c>
      <c r="BB253" s="94" t="s">
        <v>1513</v>
      </c>
      <c r="BC253" s="94"/>
      <c r="BD253" s="94" t="s">
        <v>2887</v>
      </c>
      <c r="BE253" s="94" t="s">
        <v>1381</v>
      </c>
      <c r="BF253" s="94" t="s">
        <v>1381</v>
      </c>
      <c r="BG253" s="94" t="s">
        <v>1704</v>
      </c>
      <c r="BH253" s="94" t="s">
        <v>869</v>
      </c>
      <c r="BI253" s="94" t="s">
        <v>869</v>
      </c>
      <c r="BJ253" s="94" t="s">
        <v>1283</v>
      </c>
      <c r="BK253" s="94" t="s">
        <v>1283</v>
      </c>
      <c r="BL253" s="94" t="s">
        <v>2959</v>
      </c>
      <c r="BM253" s="94" t="s">
        <v>3222</v>
      </c>
      <c r="BN253" s="94" t="s">
        <v>3222</v>
      </c>
      <c r="BO253" s="94" t="s">
        <v>3400</v>
      </c>
      <c r="BP253" s="94" t="s">
        <v>2108</v>
      </c>
      <c r="BQ253" s="94" t="s">
        <v>2168</v>
      </c>
      <c r="BR253" s="94" t="s">
        <v>1578</v>
      </c>
      <c r="BS253" s="94" t="s">
        <v>1578</v>
      </c>
      <c r="BT253" s="94"/>
    </row>
    <row r="254" spans="1:72" s="14" customFormat="1" ht="13.5" customHeight="1">
      <c r="A254" s="53" t="s">
        <v>14</v>
      </c>
      <c r="B254" s="48">
        <v>0.6</v>
      </c>
      <c r="C254" s="48">
        <v>0.7</v>
      </c>
      <c r="D254" s="48">
        <v>0.5</v>
      </c>
      <c r="E254" s="48"/>
      <c r="F254" s="53" t="s">
        <v>14</v>
      </c>
      <c r="G254" s="48" t="s">
        <v>39</v>
      </c>
      <c r="H254" s="48">
        <v>0.7</v>
      </c>
      <c r="I254" s="48">
        <v>0.7</v>
      </c>
      <c r="J254" s="48">
        <v>0.55000000000000004</v>
      </c>
      <c r="K254" s="48">
        <v>0.6</v>
      </c>
      <c r="L254" s="48">
        <v>0.55000000000000004</v>
      </c>
      <c r="M254" s="131">
        <v>0.6</v>
      </c>
      <c r="N254" s="48">
        <v>0.6</v>
      </c>
      <c r="O254" s="48">
        <v>0.45</v>
      </c>
      <c r="P254" s="48">
        <v>0.7</v>
      </c>
      <c r="Q254" s="48">
        <v>0.5</v>
      </c>
      <c r="R254" s="48">
        <v>0.5</v>
      </c>
      <c r="S254" s="48">
        <v>0.45</v>
      </c>
      <c r="T254" s="48">
        <v>0.45</v>
      </c>
      <c r="U254" s="48">
        <v>0.7</v>
      </c>
      <c r="V254" s="48">
        <v>0.45</v>
      </c>
      <c r="W254" s="48">
        <v>0.45</v>
      </c>
      <c r="X254" s="48">
        <v>0.45</v>
      </c>
      <c r="Y254" s="48">
        <v>0.55000000000000004</v>
      </c>
      <c r="Z254" s="131">
        <v>0.5</v>
      </c>
      <c r="AA254" s="131">
        <v>0.55000000000000004</v>
      </c>
      <c r="AB254" s="131">
        <v>0.55000000000000004</v>
      </c>
      <c r="AC254" s="48">
        <v>0.6</v>
      </c>
      <c r="AD254" s="48" t="s">
        <v>3995</v>
      </c>
      <c r="AE254" s="48" t="s">
        <v>3995</v>
      </c>
      <c r="AF254" s="48" t="s">
        <v>3995</v>
      </c>
      <c r="AG254" s="48" t="s">
        <v>4256</v>
      </c>
      <c r="AH254" s="48">
        <v>0.6</v>
      </c>
      <c r="AI254" s="48">
        <v>0.45</v>
      </c>
      <c r="AJ254" s="48">
        <v>0.5</v>
      </c>
      <c r="AK254" s="48">
        <v>0.6</v>
      </c>
      <c r="AL254" s="48">
        <v>0.6</v>
      </c>
      <c r="AM254" s="48">
        <v>0.55000000000000004</v>
      </c>
      <c r="AN254" s="48">
        <v>0.5</v>
      </c>
      <c r="AO254" s="48">
        <v>0.6</v>
      </c>
      <c r="AP254" s="48">
        <v>0.6</v>
      </c>
      <c r="AQ254" s="48">
        <v>0.5</v>
      </c>
      <c r="AR254" s="48" t="s">
        <v>974</v>
      </c>
      <c r="AS254" s="48" t="s">
        <v>989</v>
      </c>
      <c r="AT254" s="48" t="s">
        <v>3471</v>
      </c>
      <c r="AU254" s="48" t="s">
        <v>3471</v>
      </c>
      <c r="AV254" s="48" t="s">
        <v>3448</v>
      </c>
      <c r="AW254" s="48" t="s">
        <v>3448</v>
      </c>
      <c r="AX254" s="48" t="s">
        <v>39</v>
      </c>
      <c r="AY254" s="48" t="s">
        <v>234</v>
      </c>
      <c r="AZ254" s="48" t="s">
        <v>234</v>
      </c>
      <c r="BA254" s="48">
        <v>0.45</v>
      </c>
      <c r="BB254" s="48" t="s">
        <v>39</v>
      </c>
      <c r="BC254" s="48">
        <v>0.45</v>
      </c>
      <c r="BD254" s="48">
        <v>0.6</v>
      </c>
      <c r="BE254" s="48">
        <v>0.45</v>
      </c>
      <c r="BF254" s="48">
        <v>0.45</v>
      </c>
      <c r="BG254" s="48">
        <v>0.45</v>
      </c>
      <c r="BH254" s="48">
        <v>0.45</v>
      </c>
      <c r="BI254" s="48">
        <v>0.45</v>
      </c>
      <c r="BJ254" s="48">
        <v>0.5</v>
      </c>
      <c r="BK254" s="48">
        <v>0.65</v>
      </c>
      <c r="BL254" s="48" t="s">
        <v>2996</v>
      </c>
      <c r="BM254" s="48">
        <v>0.45</v>
      </c>
      <c r="BN254" s="48">
        <v>0.65</v>
      </c>
      <c r="BO254" s="48">
        <v>0.55000000000000004</v>
      </c>
      <c r="BP254" s="48">
        <v>0.6</v>
      </c>
      <c r="BQ254" s="48">
        <v>0.55000000000000004</v>
      </c>
      <c r="BR254" s="48">
        <v>0.55000000000000004</v>
      </c>
      <c r="BS254" s="48">
        <v>0.55000000000000004</v>
      </c>
      <c r="BT254" s="48">
        <v>0.7</v>
      </c>
    </row>
    <row r="255" spans="1:72" s="2" customFormat="1" ht="9" customHeight="1">
      <c r="A255" s="95" t="s">
        <v>688</v>
      </c>
      <c r="B255" s="94" t="s">
        <v>4950</v>
      </c>
      <c r="C255" s="94" t="s">
        <v>5162</v>
      </c>
      <c r="D255" s="94" t="s">
        <v>4859</v>
      </c>
      <c r="E255" s="94"/>
      <c r="F255" s="95" t="s">
        <v>688</v>
      </c>
      <c r="G255" s="94"/>
      <c r="H255" s="94" t="s">
        <v>3125</v>
      </c>
      <c r="I255" s="94" t="s">
        <v>3126</v>
      </c>
      <c r="J255" s="94" t="s">
        <v>1925</v>
      </c>
      <c r="K255" s="94" t="s">
        <v>1926</v>
      </c>
      <c r="L255" s="94" t="s">
        <v>3636</v>
      </c>
      <c r="M255" s="94" t="s">
        <v>2633</v>
      </c>
      <c r="N255" s="94" t="s">
        <v>2709</v>
      </c>
      <c r="O255" s="94" t="s">
        <v>2780</v>
      </c>
      <c r="P255" s="94" t="s">
        <v>2745</v>
      </c>
      <c r="Q255" s="94" t="s">
        <v>2737</v>
      </c>
      <c r="R255" s="94" t="s">
        <v>2737</v>
      </c>
      <c r="S255" s="94" t="s">
        <v>1381</v>
      </c>
      <c r="T255" s="94" t="s">
        <v>2792</v>
      </c>
      <c r="U255" s="94" t="s">
        <v>1290</v>
      </c>
      <c r="V255" s="73" t="s">
        <v>1381</v>
      </c>
      <c r="W255" s="94" t="s">
        <v>1656</v>
      </c>
      <c r="X255" s="94" t="s">
        <v>1381</v>
      </c>
      <c r="Y255" s="94" t="s">
        <v>3716</v>
      </c>
      <c r="Z255" s="94" t="s">
        <v>4048</v>
      </c>
      <c r="AA255" s="94" t="s">
        <v>4051</v>
      </c>
      <c r="AB255" s="94" t="s">
        <v>4085</v>
      </c>
      <c r="AC255" s="94" t="s">
        <v>808</v>
      </c>
      <c r="AD255" s="94" t="s">
        <v>1381</v>
      </c>
      <c r="AE255" s="94" t="s">
        <v>1381</v>
      </c>
      <c r="AF255" s="94" t="s">
        <v>1381</v>
      </c>
      <c r="AG255" s="94" t="s">
        <v>4246</v>
      </c>
      <c r="AH255" s="94" t="s">
        <v>2740</v>
      </c>
      <c r="AI255" s="94" t="s">
        <v>1381</v>
      </c>
      <c r="AJ255" s="94" t="s">
        <v>2369</v>
      </c>
      <c r="AK255" s="94" t="s">
        <v>2310</v>
      </c>
      <c r="AL255" s="94" t="s">
        <v>2248</v>
      </c>
      <c r="AM255" s="94" t="s">
        <v>1131</v>
      </c>
      <c r="AN255" s="94"/>
      <c r="AO255" s="94" t="s">
        <v>2454</v>
      </c>
      <c r="AP255" s="94" t="s">
        <v>2454</v>
      </c>
      <c r="AQ255" s="94" t="s">
        <v>1381</v>
      </c>
      <c r="AR255" s="94" t="s">
        <v>3315</v>
      </c>
      <c r="AS255" s="94" t="s">
        <v>3314</v>
      </c>
      <c r="AT255" s="94" t="s">
        <v>3498</v>
      </c>
      <c r="AU255" s="94" t="s">
        <v>3498</v>
      </c>
      <c r="AV255" s="94" t="s">
        <v>3498</v>
      </c>
      <c r="AW255" s="94" t="s">
        <v>3498</v>
      </c>
      <c r="AX255" s="94"/>
      <c r="AY255" s="94"/>
      <c r="AZ255" s="94"/>
      <c r="BA255" s="94" t="s">
        <v>1430</v>
      </c>
      <c r="BB255" s="94" t="s">
        <v>1513</v>
      </c>
      <c r="BC255" s="94"/>
      <c r="BD255" s="94" t="s">
        <v>2887</v>
      </c>
      <c r="BE255" s="94" t="s">
        <v>1381</v>
      </c>
      <c r="BF255" s="94" t="s">
        <v>1381</v>
      </c>
      <c r="BG255" s="94" t="s">
        <v>1704</v>
      </c>
      <c r="BH255" s="94" t="s">
        <v>869</v>
      </c>
      <c r="BI255" s="94" t="s">
        <v>869</v>
      </c>
      <c r="BJ255" s="94" t="s">
        <v>1283</v>
      </c>
      <c r="BK255" s="94" t="s">
        <v>1283</v>
      </c>
      <c r="BL255" s="94" t="s">
        <v>2959</v>
      </c>
      <c r="BM255" s="94" t="s">
        <v>3222</v>
      </c>
      <c r="BN255" s="94" t="s">
        <v>3222</v>
      </c>
      <c r="BO255" s="94" t="s">
        <v>3400</v>
      </c>
      <c r="BP255" s="94" t="s">
        <v>2108</v>
      </c>
      <c r="BQ255" s="94" t="s">
        <v>2168</v>
      </c>
      <c r="BR255" s="94" t="s">
        <v>1578</v>
      </c>
      <c r="BS255" s="94" t="s">
        <v>1578</v>
      </c>
      <c r="BT255" s="94"/>
    </row>
    <row r="256" spans="1:72" s="14" customFormat="1" ht="13.5" customHeight="1">
      <c r="A256" s="53" t="s">
        <v>15</v>
      </c>
      <c r="B256" s="48">
        <v>0.6</v>
      </c>
      <c r="C256" s="48">
        <v>0.7</v>
      </c>
      <c r="D256" s="48">
        <v>0.45</v>
      </c>
      <c r="E256" s="48"/>
      <c r="F256" s="53" t="s">
        <v>15</v>
      </c>
      <c r="G256" s="48">
        <v>0.45</v>
      </c>
      <c r="H256" s="48">
        <v>0.65</v>
      </c>
      <c r="I256" s="48">
        <v>0.65</v>
      </c>
      <c r="J256" s="48">
        <v>0.5</v>
      </c>
      <c r="K256" s="48">
        <v>0.55000000000000004</v>
      </c>
      <c r="L256" s="48">
        <v>0.5</v>
      </c>
      <c r="M256" s="131">
        <v>0.5</v>
      </c>
      <c r="N256" s="48" t="s">
        <v>2716</v>
      </c>
      <c r="O256" s="48">
        <v>0.4</v>
      </c>
      <c r="P256" s="48">
        <v>0.7</v>
      </c>
      <c r="Q256" s="48">
        <v>0.45</v>
      </c>
      <c r="R256" s="48">
        <v>0.45</v>
      </c>
      <c r="S256" s="48">
        <v>0.4</v>
      </c>
      <c r="T256" s="48">
        <v>0.7</v>
      </c>
      <c r="U256" s="48">
        <v>0.7</v>
      </c>
      <c r="V256" s="48">
        <v>0.4</v>
      </c>
      <c r="W256" s="48">
        <v>0.4</v>
      </c>
      <c r="X256" s="48">
        <v>0.4</v>
      </c>
      <c r="Y256" s="48">
        <v>0.5</v>
      </c>
      <c r="Z256" s="131">
        <v>0.5</v>
      </c>
      <c r="AA256" s="131">
        <v>0.5</v>
      </c>
      <c r="AB256" s="131">
        <v>0.5</v>
      </c>
      <c r="AC256" s="48">
        <v>0.5</v>
      </c>
      <c r="AD256" s="48" t="s">
        <v>3996</v>
      </c>
      <c r="AE256" s="48" t="s">
        <v>3996</v>
      </c>
      <c r="AF256" s="48" t="s">
        <v>3996</v>
      </c>
      <c r="AG256" s="48" t="s">
        <v>4257</v>
      </c>
      <c r="AH256" s="48">
        <v>0.5</v>
      </c>
      <c r="AI256" s="48">
        <v>0.4</v>
      </c>
      <c r="AJ256" s="48">
        <v>0.5</v>
      </c>
      <c r="AK256" s="48">
        <v>0.5</v>
      </c>
      <c r="AL256" s="48">
        <v>0.6</v>
      </c>
      <c r="AM256" s="48">
        <v>0.5</v>
      </c>
      <c r="AN256" s="48">
        <v>0.45</v>
      </c>
      <c r="AO256" s="48">
        <v>0.6</v>
      </c>
      <c r="AP256" s="48">
        <v>0.6</v>
      </c>
      <c r="AQ256" s="48">
        <v>0.45</v>
      </c>
      <c r="AR256" s="48" t="s">
        <v>979</v>
      </c>
      <c r="AS256" s="48" t="s">
        <v>994</v>
      </c>
      <c r="AT256" s="48" t="s">
        <v>3472</v>
      </c>
      <c r="AU256" s="48" t="s">
        <v>3472</v>
      </c>
      <c r="AV256" s="48" t="s">
        <v>3452</v>
      </c>
      <c r="AW256" s="48" t="s">
        <v>3452</v>
      </c>
      <c r="AX256" s="48" t="s">
        <v>39</v>
      </c>
      <c r="AY256" s="48">
        <v>0.8</v>
      </c>
      <c r="AZ256" s="48">
        <v>0.8</v>
      </c>
      <c r="BA256" s="48">
        <v>0.4</v>
      </c>
      <c r="BB256" s="48">
        <v>0.65</v>
      </c>
      <c r="BC256" s="48">
        <v>0.4</v>
      </c>
      <c r="BD256" s="48">
        <v>0.55000000000000004</v>
      </c>
      <c r="BE256" s="48">
        <v>0.4</v>
      </c>
      <c r="BF256" s="48">
        <v>0.4</v>
      </c>
      <c r="BG256" s="48">
        <v>0.4</v>
      </c>
      <c r="BH256" s="48">
        <v>0.4</v>
      </c>
      <c r="BI256" s="48">
        <v>0.4</v>
      </c>
      <c r="BJ256" s="48">
        <v>0.45</v>
      </c>
      <c r="BK256" s="48">
        <v>0.55000000000000004</v>
      </c>
      <c r="BL256" s="48" t="s">
        <v>2997</v>
      </c>
      <c r="BM256" s="48">
        <v>0.4</v>
      </c>
      <c r="BN256" s="48">
        <v>0.5</v>
      </c>
      <c r="BO256" s="48">
        <v>0.5</v>
      </c>
      <c r="BP256" s="48">
        <v>0.6</v>
      </c>
      <c r="BQ256" s="48">
        <v>0.5</v>
      </c>
      <c r="BR256" s="48">
        <v>0.5</v>
      </c>
      <c r="BS256" s="48">
        <v>0.5</v>
      </c>
      <c r="BT256" s="48">
        <v>0.7</v>
      </c>
    </row>
    <row r="257" spans="1:72" s="2" customFormat="1" ht="9" customHeight="1">
      <c r="A257" s="95" t="s">
        <v>688</v>
      </c>
      <c r="B257" s="94" t="s">
        <v>4950</v>
      </c>
      <c r="C257" s="94" t="s">
        <v>5162</v>
      </c>
      <c r="D257" s="94" t="s">
        <v>4859</v>
      </c>
      <c r="E257" s="94"/>
      <c r="F257" s="95" t="s">
        <v>688</v>
      </c>
      <c r="G257" s="94"/>
      <c r="H257" s="94" t="s">
        <v>3125</v>
      </c>
      <c r="I257" s="94" t="s">
        <v>3126</v>
      </c>
      <c r="J257" s="94" t="s">
        <v>1925</v>
      </c>
      <c r="K257" s="94" t="s">
        <v>1926</v>
      </c>
      <c r="L257" s="94" t="s">
        <v>3636</v>
      </c>
      <c r="M257" s="94" t="s">
        <v>2633</v>
      </c>
      <c r="N257" s="94" t="s">
        <v>2709</v>
      </c>
      <c r="O257" s="94" t="s">
        <v>2780</v>
      </c>
      <c r="P257" s="94" t="s">
        <v>2745</v>
      </c>
      <c r="Q257" s="94" t="s">
        <v>2737</v>
      </c>
      <c r="R257" s="94" t="s">
        <v>2737</v>
      </c>
      <c r="S257" s="94" t="s">
        <v>1381</v>
      </c>
      <c r="T257" s="94" t="s">
        <v>2795</v>
      </c>
      <c r="U257" s="94" t="s">
        <v>1290</v>
      </c>
      <c r="V257" s="94" t="s">
        <v>1381</v>
      </c>
      <c r="W257" s="94" t="s">
        <v>1656</v>
      </c>
      <c r="X257" s="94" t="s">
        <v>1381</v>
      </c>
      <c r="Y257" s="94" t="s">
        <v>3716</v>
      </c>
      <c r="Z257" s="94" t="s">
        <v>4048</v>
      </c>
      <c r="AA257" s="94" t="s">
        <v>4051</v>
      </c>
      <c r="AB257" s="94" t="s">
        <v>4085</v>
      </c>
      <c r="AC257" s="94" t="s">
        <v>808</v>
      </c>
      <c r="AD257" s="94" t="s">
        <v>1381</v>
      </c>
      <c r="AE257" s="94" t="s">
        <v>1381</v>
      </c>
      <c r="AF257" s="94" t="s">
        <v>1381</v>
      </c>
      <c r="AG257" s="94" t="s">
        <v>4246</v>
      </c>
      <c r="AH257" s="94" t="s">
        <v>2740</v>
      </c>
      <c r="AI257" s="94" t="s">
        <v>1381</v>
      </c>
      <c r="AJ257" s="94" t="s">
        <v>2369</v>
      </c>
      <c r="AK257" s="94" t="s">
        <v>2310</v>
      </c>
      <c r="AL257" s="94" t="s">
        <v>2248</v>
      </c>
      <c r="AM257" s="94" t="s">
        <v>1131</v>
      </c>
      <c r="AN257" s="94"/>
      <c r="AO257" s="94" t="s">
        <v>2454</v>
      </c>
      <c r="AP257" s="94" t="s">
        <v>2454</v>
      </c>
      <c r="AQ257" s="94" t="s">
        <v>1381</v>
      </c>
      <c r="AR257" s="94" t="s">
        <v>3315</v>
      </c>
      <c r="AS257" s="94" t="s">
        <v>3314</v>
      </c>
      <c r="AT257" s="94" t="s">
        <v>3498</v>
      </c>
      <c r="AU257" s="94" t="s">
        <v>3498</v>
      </c>
      <c r="AV257" s="94" t="s">
        <v>3498</v>
      </c>
      <c r="AW257" s="94" t="s">
        <v>3498</v>
      </c>
      <c r="AX257" s="94"/>
      <c r="AY257" s="94"/>
      <c r="AZ257" s="94"/>
      <c r="BA257" s="94" t="s">
        <v>1430</v>
      </c>
      <c r="BB257" s="94" t="s">
        <v>1430</v>
      </c>
      <c r="BC257" s="94"/>
      <c r="BD257" s="94" t="s">
        <v>2887</v>
      </c>
      <c r="BE257" s="94" t="s">
        <v>1381</v>
      </c>
      <c r="BF257" s="94" t="s">
        <v>1381</v>
      </c>
      <c r="BG257" s="94" t="s">
        <v>1704</v>
      </c>
      <c r="BH257" s="94" t="s">
        <v>869</v>
      </c>
      <c r="BI257" s="94" t="s">
        <v>869</v>
      </c>
      <c r="BJ257" s="94" t="s">
        <v>1283</v>
      </c>
      <c r="BK257" s="94" t="s">
        <v>1283</v>
      </c>
      <c r="BL257" s="94" t="s">
        <v>2959</v>
      </c>
      <c r="BM257" s="94" t="s">
        <v>3222</v>
      </c>
      <c r="BN257" s="94" t="s">
        <v>3222</v>
      </c>
      <c r="BO257" s="94" t="s">
        <v>3400</v>
      </c>
      <c r="BP257" s="94" t="s">
        <v>2108</v>
      </c>
      <c r="BQ257" s="94" t="s">
        <v>2168</v>
      </c>
      <c r="BR257" s="94" t="s">
        <v>1578</v>
      </c>
      <c r="BS257" s="94" t="s">
        <v>1578</v>
      </c>
      <c r="BT257" s="94"/>
    </row>
    <row r="258" spans="1:72" s="14" customFormat="1" ht="13.5" customHeight="1">
      <c r="A258" s="53" t="s">
        <v>16</v>
      </c>
      <c r="B258" s="48">
        <v>0.15</v>
      </c>
      <c r="C258" s="48">
        <v>0.15</v>
      </c>
      <c r="D258" s="48">
        <v>0.08</v>
      </c>
      <c r="E258" s="48"/>
      <c r="F258" s="53" t="s">
        <v>16</v>
      </c>
      <c r="G258" s="48">
        <v>0.08</v>
      </c>
      <c r="H258" s="48">
        <v>0.15</v>
      </c>
      <c r="I258" s="48">
        <v>0.15</v>
      </c>
      <c r="J258" s="48">
        <v>0.15</v>
      </c>
      <c r="K258" s="48">
        <v>0.2</v>
      </c>
      <c r="L258" s="48">
        <v>0.15</v>
      </c>
      <c r="M258" s="131">
        <v>0.08</v>
      </c>
      <c r="N258" s="48">
        <v>0.15</v>
      </c>
      <c r="O258" s="48">
        <v>0.05</v>
      </c>
      <c r="P258" s="48">
        <v>0.1</v>
      </c>
      <c r="Q258" s="48">
        <v>0.05</v>
      </c>
      <c r="R258" s="48">
        <v>0.05</v>
      </c>
      <c r="S258" s="48">
        <v>0.05</v>
      </c>
      <c r="T258" s="48">
        <v>0.08</v>
      </c>
      <c r="U258" s="48">
        <v>0.08</v>
      </c>
      <c r="V258" s="48">
        <v>0.05</v>
      </c>
      <c r="W258" s="48">
        <v>0.05</v>
      </c>
      <c r="X258" s="48">
        <v>0.05</v>
      </c>
      <c r="Y258" s="48">
        <v>0.15</v>
      </c>
      <c r="Z258" s="131">
        <v>0.08</v>
      </c>
      <c r="AA258" s="131">
        <v>0.08</v>
      </c>
      <c r="AB258" s="131">
        <v>0.15</v>
      </c>
      <c r="AC258" s="48">
        <v>0.15</v>
      </c>
      <c r="AD258" s="48" t="s">
        <v>3993</v>
      </c>
      <c r="AE258" s="48" t="s">
        <v>3993</v>
      </c>
      <c r="AF258" s="48" t="s">
        <v>3993</v>
      </c>
      <c r="AG258" s="48" t="s">
        <v>4258</v>
      </c>
      <c r="AH258" s="48">
        <v>0.1</v>
      </c>
      <c r="AI258" s="48">
        <v>0.05</v>
      </c>
      <c r="AJ258" s="48">
        <v>0.08</v>
      </c>
      <c r="AK258" s="48">
        <v>0.15</v>
      </c>
      <c r="AL258" s="48">
        <v>0.15</v>
      </c>
      <c r="AM258" s="48">
        <v>0.12</v>
      </c>
      <c r="AN258" s="48">
        <v>0.08</v>
      </c>
      <c r="AO258" s="48">
        <v>0.15</v>
      </c>
      <c r="AP258" s="48">
        <v>0.15</v>
      </c>
      <c r="AQ258" s="48">
        <v>0.08</v>
      </c>
      <c r="AR258" s="48" t="s">
        <v>980</v>
      </c>
      <c r="AS258" s="48" t="s">
        <v>995</v>
      </c>
      <c r="AT258" s="48" t="s">
        <v>3473</v>
      </c>
      <c r="AU258" s="48" t="s">
        <v>3473</v>
      </c>
      <c r="AV258" s="48" t="s">
        <v>3453</v>
      </c>
      <c r="AW258" s="48" t="s">
        <v>3453</v>
      </c>
      <c r="AX258" s="48" t="s">
        <v>39</v>
      </c>
      <c r="AY258" s="48">
        <v>0.15</v>
      </c>
      <c r="AZ258" s="48">
        <v>0.15</v>
      </c>
      <c r="BA258" s="48">
        <v>0.05</v>
      </c>
      <c r="BB258" s="48">
        <v>0.15</v>
      </c>
      <c r="BC258" s="48">
        <v>0.05</v>
      </c>
      <c r="BD258" s="48">
        <v>0.1</v>
      </c>
      <c r="BE258" s="48">
        <v>0.05</v>
      </c>
      <c r="BF258" s="48">
        <v>0.05</v>
      </c>
      <c r="BG258" s="48">
        <v>0.05</v>
      </c>
      <c r="BH258" s="48">
        <v>0.05</v>
      </c>
      <c r="BI258" s="48">
        <v>0.05</v>
      </c>
      <c r="BJ258" s="48">
        <v>0.1</v>
      </c>
      <c r="BK258" s="48">
        <v>0.15</v>
      </c>
      <c r="BL258" s="48" t="s">
        <v>2963</v>
      </c>
      <c r="BM258" s="48">
        <v>0.05</v>
      </c>
      <c r="BN258" s="48">
        <v>0.15</v>
      </c>
      <c r="BO258" s="48">
        <v>0.1</v>
      </c>
      <c r="BP258" s="48">
        <v>0.15</v>
      </c>
      <c r="BQ258" s="48">
        <v>0.15</v>
      </c>
      <c r="BR258" s="48">
        <v>0.1</v>
      </c>
      <c r="BS258" s="48">
        <v>0.1</v>
      </c>
      <c r="BT258" s="48">
        <v>0.1</v>
      </c>
    </row>
    <row r="259" spans="1:72" s="2" customFormat="1" ht="9" customHeight="1">
      <c r="A259" s="95" t="s">
        <v>688</v>
      </c>
      <c r="B259" s="94" t="s">
        <v>4950</v>
      </c>
      <c r="C259" s="94" t="s">
        <v>5162</v>
      </c>
      <c r="D259" s="94" t="s">
        <v>4859</v>
      </c>
      <c r="E259" s="94"/>
      <c r="F259" s="95" t="s">
        <v>688</v>
      </c>
      <c r="G259" s="94"/>
      <c r="H259" s="94" t="s">
        <v>3125</v>
      </c>
      <c r="I259" s="94" t="s">
        <v>3126</v>
      </c>
      <c r="J259" s="94" t="s">
        <v>1925</v>
      </c>
      <c r="K259" s="94" t="s">
        <v>1926</v>
      </c>
      <c r="L259" s="94" t="s">
        <v>3636</v>
      </c>
      <c r="M259" s="94" t="s">
        <v>2633</v>
      </c>
      <c r="N259" s="94" t="s">
        <v>2709</v>
      </c>
      <c r="O259" s="94" t="s">
        <v>2780</v>
      </c>
      <c r="P259" s="94" t="s">
        <v>2745</v>
      </c>
      <c r="Q259" s="94" t="s">
        <v>2737</v>
      </c>
      <c r="R259" s="94" t="s">
        <v>2737</v>
      </c>
      <c r="S259" s="94" t="s">
        <v>1381</v>
      </c>
      <c r="T259" s="94" t="s">
        <v>2795</v>
      </c>
      <c r="U259" s="94" t="s">
        <v>1290</v>
      </c>
      <c r="V259" s="94" t="s">
        <v>1381</v>
      </c>
      <c r="W259" s="94" t="s">
        <v>1656</v>
      </c>
      <c r="X259" s="94" t="s">
        <v>1381</v>
      </c>
      <c r="Y259" s="94" t="s">
        <v>3716</v>
      </c>
      <c r="Z259" s="94" t="s">
        <v>4048</v>
      </c>
      <c r="AA259" s="94" t="s">
        <v>4051</v>
      </c>
      <c r="AB259" s="94" t="s">
        <v>4085</v>
      </c>
      <c r="AC259" s="94" t="s">
        <v>808</v>
      </c>
      <c r="AD259" s="94" t="s">
        <v>1381</v>
      </c>
      <c r="AE259" s="94" t="s">
        <v>1381</v>
      </c>
      <c r="AF259" s="94" t="s">
        <v>1381</v>
      </c>
      <c r="AG259" s="94" t="s">
        <v>4246</v>
      </c>
      <c r="AH259" s="94" t="s">
        <v>2740</v>
      </c>
      <c r="AI259" s="94" t="s">
        <v>1381</v>
      </c>
      <c r="AJ259" s="94" t="s">
        <v>2369</v>
      </c>
      <c r="AK259" s="94" t="s">
        <v>2310</v>
      </c>
      <c r="AL259" s="94" t="s">
        <v>2248</v>
      </c>
      <c r="AM259" s="94" t="s">
        <v>1131</v>
      </c>
      <c r="AN259" s="94"/>
      <c r="AO259" s="94" t="s">
        <v>2454</v>
      </c>
      <c r="AP259" s="94" t="s">
        <v>2454</v>
      </c>
      <c r="AQ259" s="94" t="s">
        <v>1381</v>
      </c>
      <c r="AR259" s="94" t="s">
        <v>3315</v>
      </c>
      <c r="AS259" s="94" t="s">
        <v>3314</v>
      </c>
      <c r="AT259" s="94" t="s">
        <v>3498</v>
      </c>
      <c r="AU259" s="94" t="s">
        <v>3498</v>
      </c>
      <c r="AV259" s="94" t="s">
        <v>3498</v>
      </c>
      <c r="AW259" s="94" t="s">
        <v>3498</v>
      </c>
      <c r="AX259" s="94"/>
      <c r="AY259" s="94"/>
      <c r="AZ259" s="94"/>
      <c r="BA259" s="94" t="s">
        <v>1430</v>
      </c>
      <c r="BB259" s="94" t="s">
        <v>1430</v>
      </c>
      <c r="BC259" s="94"/>
      <c r="BD259" s="94" t="s">
        <v>2887</v>
      </c>
      <c r="BE259" s="94" t="s">
        <v>1381</v>
      </c>
      <c r="BF259" s="94" t="s">
        <v>1381</v>
      </c>
      <c r="BG259" s="94" t="s">
        <v>1704</v>
      </c>
      <c r="BH259" s="94" t="s">
        <v>869</v>
      </c>
      <c r="BI259" s="94" t="s">
        <v>869</v>
      </c>
      <c r="BJ259" s="94" t="s">
        <v>1283</v>
      </c>
      <c r="BK259" s="94" t="s">
        <v>1283</v>
      </c>
      <c r="BL259" s="94" t="s">
        <v>2959</v>
      </c>
      <c r="BM259" s="94" t="s">
        <v>3222</v>
      </c>
      <c r="BN259" s="94" t="s">
        <v>3222</v>
      </c>
      <c r="BO259" s="94" t="s">
        <v>3400</v>
      </c>
      <c r="BP259" s="94" t="s">
        <v>2108</v>
      </c>
      <c r="BQ259" s="94" t="s">
        <v>2168</v>
      </c>
      <c r="BR259" s="94" t="s">
        <v>1578</v>
      </c>
      <c r="BS259" s="94" t="s">
        <v>1578</v>
      </c>
      <c r="BT259" s="94"/>
    </row>
    <row r="260" spans="1:72" s="14" customFormat="1" ht="13.5" customHeight="1">
      <c r="A260" s="53" t="s">
        <v>17</v>
      </c>
      <c r="B260" s="48">
        <v>0.05</v>
      </c>
      <c r="C260" s="48">
        <v>0.05</v>
      </c>
      <c r="D260" s="48">
        <v>0.05</v>
      </c>
      <c r="E260" s="48"/>
      <c r="F260" s="53" t="s">
        <v>17</v>
      </c>
      <c r="G260" s="48">
        <v>0.03</v>
      </c>
      <c r="H260" s="48" t="s">
        <v>3129</v>
      </c>
      <c r="I260" s="48" t="s">
        <v>3129</v>
      </c>
      <c r="J260" s="48">
        <v>0.05</v>
      </c>
      <c r="K260" s="48">
        <v>0.1</v>
      </c>
      <c r="L260" s="48">
        <v>0.05</v>
      </c>
      <c r="M260" s="131">
        <v>0.04</v>
      </c>
      <c r="N260" s="48">
        <v>0.05</v>
      </c>
      <c r="O260" s="48">
        <v>0.02</v>
      </c>
      <c r="P260" s="48">
        <v>0.05</v>
      </c>
      <c r="Q260" s="48">
        <v>0.02</v>
      </c>
      <c r="R260" s="48">
        <v>0.02</v>
      </c>
      <c r="S260" s="48">
        <v>0.02</v>
      </c>
      <c r="T260" s="48">
        <v>0.03</v>
      </c>
      <c r="U260" s="48">
        <v>0.03</v>
      </c>
      <c r="V260" s="48">
        <v>0.02</v>
      </c>
      <c r="W260" s="48">
        <v>0.02</v>
      </c>
      <c r="X260" s="48">
        <v>0.02</v>
      </c>
      <c r="Y260" s="48">
        <v>0.08</v>
      </c>
      <c r="Z260" s="131">
        <v>0.03</v>
      </c>
      <c r="AA260" s="131">
        <v>0.03</v>
      </c>
      <c r="AB260" s="131">
        <v>0.05</v>
      </c>
      <c r="AC260" s="48">
        <v>0.05</v>
      </c>
      <c r="AD260" s="48" t="s">
        <v>3997</v>
      </c>
      <c r="AE260" s="48" t="s">
        <v>3997</v>
      </c>
      <c r="AF260" s="48" t="s">
        <v>3997</v>
      </c>
      <c r="AG260" s="48" t="s">
        <v>4259</v>
      </c>
      <c r="AH260" s="48">
        <v>0.05</v>
      </c>
      <c r="AI260" s="48">
        <v>0.02</v>
      </c>
      <c r="AJ260" s="48">
        <v>0.03</v>
      </c>
      <c r="AK260" s="48">
        <v>0.05</v>
      </c>
      <c r="AL260" s="48">
        <v>0.05</v>
      </c>
      <c r="AM260" s="48">
        <v>7.0000000000000007E-2</v>
      </c>
      <c r="AN260" s="48">
        <v>0.05</v>
      </c>
      <c r="AO260" s="48">
        <v>0.05</v>
      </c>
      <c r="AP260" s="48">
        <v>0.05</v>
      </c>
      <c r="AQ260" s="48">
        <v>0.05</v>
      </c>
      <c r="AR260" s="48" t="s">
        <v>981</v>
      </c>
      <c r="AS260" s="48" t="s">
        <v>996</v>
      </c>
      <c r="AT260" s="48" t="s">
        <v>3474</v>
      </c>
      <c r="AU260" s="48" t="s">
        <v>3474</v>
      </c>
      <c r="AV260" s="48" t="s">
        <v>3454</v>
      </c>
      <c r="AW260" s="48" t="s">
        <v>3454</v>
      </c>
      <c r="AX260" s="48" t="s">
        <v>39</v>
      </c>
      <c r="AY260" s="48">
        <v>0.05</v>
      </c>
      <c r="AZ260" s="48">
        <v>0.05</v>
      </c>
      <c r="BA260" s="48">
        <v>0.02</v>
      </c>
      <c r="BB260" s="48">
        <v>0.08</v>
      </c>
      <c r="BC260" s="48">
        <v>0.02</v>
      </c>
      <c r="BD260" s="48">
        <v>0.05</v>
      </c>
      <c r="BE260" s="48">
        <v>0.02</v>
      </c>
      <c r="BF260" s="48">
        <v>0.02</v>
      </c>
      <c r="BG260" s="48">
        <v>0.02</v>
      </c>
      <c r="BH260" s="48">
        <v>0.02</v>
      </c>
      <c r="BI260" s="48">
        <v>0.02</v>
      </c>
      <c r="BJ260" s="48">
        <v>0.05</v>
      </c>
      <c r="BK260" s="48">
        <v>0.05</v>
      </c>
      <c r="BL260" s="48" t="s">
        <v>2967</v>
      </c>
      <c r="BM260" s="48">
        <v>0.02</v>
      </c>
      <c r="BN260" s="48">
        <v>0.05</v>
      </c>
      <c r="BO260" s="48">
        <v>0.05</v>
      </c>
      <c r="BP260" s="48">
        <v>0.05</v>
      </c>
      <c r="BQ260" s="48">
        <v>0.05</v>
      </c>
      <c r="BR260" s="48">
        <v>0.05</v>
      </c>
      <c r="BS260" s="48">
        <v>0.05</v>
      </c>
      <c r="BT260" s="48">
        <v>0.03</v>
      </c>
    </row>
    <row r="261" spans="1:72" s="2" customFormat="1" ht="9" customHeight="1">
      <c r="A261" s="95" t="s">
        <v>688</v>
      </c>
      <c r="B261" s="94" t="s">
        <v>4950</v>
      </c>
      <c r="C261" s="94" t="s">
        <v>5162</v>
      </c>
      <c r="D261" s="94" t="s">
        <v>4859</v>
      </c>
      <c r="E261" s="94"/>
      <c r="F261" s="95" t="s">
        <v>688</v>
      </c>
      <c r="G261" s="94"/>
      <c r="H261" s="94" t="s">
        <v>3125</v>
      </c>
      <c r="I261" s="94" t="s">
        <v>3126</v>
      </c>
      <c r="J261" s="94" t="s">
        <v>1925</v>
      </c>
      <c r="K261" s="94" t="s">
        <v>1926</v>
      </c>
      <c r="L261" s="94" t="s">
        <v>3636</v>
      </c>
      <c r="M261" s="94" t="s">
        <v>2633</v>
      </c>
      <c r="N261" s="94" t="s">
        <v>2709</v>
      </c>
      <c r="O261" s="94" t="s">
        <v>2780</v>
      </c>
      <c r="P261" s="94" t="s">
        <v>2745</v>
      </c>
      <c r="Q261" s="94" t="s">
        <v>2737</v>
      </c>
      <c r="R261" s="94" t="s">
        <v>2737</v>
      </c>
      <c r="S261" s="94" t="s">
        <v>1381</v>
      </c>
      <c r="T261" s="94" t="s">
        <v>2795</v>
      </c>
      <c r="U261" s="94" t="s">
        <v>1290</v>
      </c>
      <c r="V261" s="94" t="s">
        <v>1381</v>
      </c>
      <c r="W261" s="94" t="s">
        <v>1656</v>
      </c>
      <c r="X261" s="94" t="s">
        <v>1381</v>
      </c>
      <c r="Y261" s="94" t="s">
        <v>3716</v>
      </c>
      <c r="Z261" s="94" t="s">
        <v>4048</v>
      </c>
      <c r="AA261" s="94" t="s">
        <v>4051</v>
      </c>
      <c r="AB261" s="94" t="s">
        <v>4085</v>
      </c>
      <c r="AC261" s="94" t="s">
        <v>808</v>
      </c>
      <c r="AD261" s="94" t="s">
        <v>1381</v>
      </c>
      <c r="AE261" s="94" t="s">
        <v>1381</v>
      </c>
      <c r="AF261" s="94" t="s">
        <v>1381</v>
      </c>
      <c r="AG261" s="94" t="s">
        <v>4246</v>
      </c>
      <c r="AH261" s="94" t="s">
        <v>2740</v>
      </c>
      <c r="AI261" s="94" t="s">
        <v>1381</v>
      </c>
      <c r="AJ261" s="94" t="s">
        <v>2369</v>
      </c>
      <c r="AK261" s="94" t="s">
        <v>2310</v>
      </c>
      <c r="AL261" s="94" t="s">
        <v>2248</v>
      </c>
      <c r="AM261" s="94" t="s">
        <v>1131</v>
      </c>
      <c r="AN261" s="94"/>
      <c r="AO261" s="94" t="s">
        <v>2454</v>
      </c>
      <c r="AP261" s="94" t="s">
        <v>2454</v>
      </c>
      <c r="AQ261" s="94" t="s">
        <v>1381</v>
      </c>
      <c r="AR261" s="94" t="s">
        <v>3315</v>
      </c>
      <c r="AS261" s="94" t="s">
        <v>3314</v>
      </c>
      <c r="AT261" s="94" t="s">
        <v>3498</v>
      </c>
      <c r="AU261" s="94" t="s">
        <v>3498</v>
      </c>
      <c r="AV261" s="94" t="s">
        <v>3498</v>
      </c>
      <c r="AW261" s="94" t="s">
        <v>3498</v>
      </c>
      <c r="AX261" s="94"/>
      <c r="AY261" s="94"/>
      <c r="AZ261" s="94"/>
      <c r="BA261" s="94" t="s">
        <v>1430</v>
      </c>
      <c r="BB261" s="94" t="s">
        <v>1430</v>
      </c>
      <c r="BC261" s="94"/>
      <c r="BD261" s="94" t="s">
        <v>2887</v>
      </c>
      <c r="BE261" s="94" t="s">
        <v>1381</v>
      </c>
      <c r="BF261" s="94" t="s">
        <v>1381</v>
      </c>
      <c r="BG261" s="94" t="s">
        <v>1704</v>
      </c>
      <c r="BH261" s="94" t="s">
        <v>869</v>
      </c>
      <c r="BI261" s="94" t="s">
        <v>869</v>
      </c>
      <c r="BJ261" s="94" t="s">
        <v>1283</v>
      </c>
      <c r="BK261" s="94" t="s">
        <v>1283</v>
      </c>
      <c r="BL261" s="94" t="s">
        <v>2959</v>
      </c>
      <c r="BM261" s="94" t="s">
        <v>3222</v>
      </c>
      <c r="BN261" s="94" t="s">
        <v>3222</v>
      </c>
      <c r="BO261" s="94" t="s">
        <v>3400</v>
      </c>
      <c r="BP261" s="94" t="s">
        <v>2108</v>
      </c>
      <c r="BQ261" s="94" t="s">
        <v>2168</v>
      </c>
      <c r="BR261" s="94" t="s">
        <v>1578</v>
      </c>
      <c r="BS261" s="94" t="s">
        <v>1578</v>
      </c>
      <c r="BT261" s="94"/>
    </row>
    <row r="262" spans="1:72" s="14" customFormat="1" ht="13.5" customHeight="1">
      <c r="A262" s="53" t="s">
        <v>5130</v>
      </c>
      <c r="B262" s="48">
        <v>0.6</v>
      </c>
      <c r="C262" s="48">
        <v>0.8</v>
      </c>
      <c r="D262" s="48">
        <v>0.55000000000000004</v>
      </c>
      <c r="E262" s="48"/>
      <c r="F262" s="53" t="s">
        <v>18</v>
      </c>
      <c r="G262" s="48">
        <v>0.5</v>
      </c>
      <c r="H262" s="48" t="s">
        <v>3130</v>
      </c>
      <c r="I262" s="48" t="s">
        <v>3130</v>
      </c>
      <c r="J262" s="48">
        <v>0.6</v>
      </c>
      <c r="K262" s="48">
        <v>0.65</v>
      </c>
      <c r="L262" s="48">
        <v>0.6</v>
      </c>
      <c r="M262" s="131">
        <v>0.6</v>
      </c>
      <c r="N262" s="48">
        <v>0.6</v>
      </c>
      <c r="O262" s="48">
        <v>0.5</v>
      </c>
      <c r="P262" s="48">
        <v>0.55000000000000004</v>
      </c>
      <c r="Q262" s="48">
        <v>0.5</v>
      </c>
      <c r="R262" s="48">
        <v>0.5</v>
      </c>
      <c r="S262" s="48">
        <v>0.5</v>
      </c>
      <c r="T262" s="48">
        <v>0.8</v>
      </c>
      <c r="U262" s="48">
        <v>0.8</v>
      </c>
      <c r="V262" s="48">
        <v>0.5</v>
      </c>
      <c r="W262" s="48">
        <v>0.5</v>
      </c>
      <c r="X262" s="48">
        <v>0.5</v>
      </c>
      <c r="Y262" s="48">
        <v>0.5</v>
      </c>
      <c r="Z262" s="131">
        <v>0.55000000000000004</v>
      </c>
      <c r="AA262" s="131">
        <v>0.6</v>
      </c>
      <c r="AB262" s="131">
        <v>0.6</v>
      </c>
      <c r="AC262" s="48">
        <v>0.6</v>
      </c>
      <c r="AD262" s="48" t="s">
        <v>3998</v>
      </c>
      <c r="AE262" s="48" t="s">
        <v>3998</v>
      </c>
      <c r="AF262" s="48" t="s">
        <v>3998</v>
      </c>
      <c r="AG262" s="48" t="s">
        <v>4260</v>
      </c>
      <c r="AH262" s="48">
        <v>0.6</v>
      </c>
      <c r="AI262" s="48">
        <v>0.5</v>
      </c>
      <c r="AJ262" s="48">
        <v>0.5</v>
      </c>
      <c r="AK262" s="48">
        <v>0.6</v>
      </c>
      <c r="AL262" s="48">
        <v>0.6</v>
      </c>
      <c r="AM262" s="48">
        <v>0.6</v>
      </c>
      <c r="AN262" s="48">
        <v>0.55000000000000004</v>
      </c>
      <c r="AO262" s="48">
        <v>0.6</v>
      </c>
      <c r="AP262" s="48">
        <v>0.6</v>
      </c>
      <c r="AQ262" s="48">
        <v>0.55000000000000004</v>
      </c>
      <c r="AR262" s="48" t="s">
        <v>979</v>
      </c>
      <c r="AS262" s="48" t="s">
        <v>994</v>
      </c>
      <c r="AT262" s="48" t="s">
        <v>3461</v>
      </c>
      <c r="AU262" s="48" t="s">
        <v>3461</v>
      </c>
      <c r="AV262" s="48" t="s">
        <v>3445</v>
      </c>
      <c r="AW262" s="48" t="s">
        <v>3445</v>
      </c>
      <c r="AX262" s="48" t="s">
        <v>39</v>
      </c>
      <c r="AY262" s="48">
        <v>0.8</v>
      </c>
      <c r="AZ262" s="48">
        <v>0.8</v>
      </c>
      <c r="BA262" s="48">
        <v>0.5</v>
      </c>
      <c r="BB262" s="48">
        <v>0.6</v>
      </c>
      <c r="BC262" s="48">
        <v>0.5</v>
      </c>
      <c r="BD262" s="48">
        <v>0.7</v>
      </c>
      <c r="BE262" s="48">
        <v>0.5</v>
      </c>
      <c r="BF262" s="48">
        <v>0.5</v>
      </c>
      <c r="BG262" s="48">
        <v>0.5</v>
      </c>
      <c r="BH262" s="48">
        <v>0.5</v>
      </c>
      <c r="BI262" s="48">
        <v>0.5</v>
      </c>
      <c r="BJ262" s="48">
        <v>0.6</v>
      </c>
      <c r="BK262" s="48">
        <v>0.6</v>
      </c>
      <c r="BL262" s="48" t="s">
        <v>2966</v>
      </c>
      <c r="BM262" s="48">
        <v>0.5</v>
      </c>
      <c r="BN262" s="48">
        <v>0.6</v>
      </c>
      <c r="BO262" s="48" t="s">
        <v>5468</v>
      </c>
      <c r="BP262" s="48" t="s">
        <v>5562</v>
      </c>
      <c r="BQ262" s="48">
        <v>0.6</v>
      </c>
      <c r="BR262" s="48">
        <v>0.55000000000000004</v>
      </c>
      <c r="BS262" s="48">
        <v>0.55000000000000004</v>
      </c>
      <c r="BT262" s="48">
        <v>0.6</v>
      </c>
    </row>
    <row r="263" spans="1:72" s="2" customFormat="1" ht="9" customHeight="1">
      <c r="A263" s="95" t="s">
        <v>688</v>
      </c>
      <c r="B263" s="94" t="s">
        <v>4950</v>
      </c>
      <c r="C263" s="94" t="s">
        <v>5162</v>
      </c>
      <c r="D263" s="94" t="s">
        <v>4859</v>
      </c>
      <c r="E263" s="94"/>
      <c r="F263" s="95" t="s">
        <v>688</v>
      </c>
      <c r="G263" s="94"/>
      <c r="H263" s="94" t="s">
        <v>3125</v>
      </c>
      <c r="I263" s="94" t="s">
        <v>3126</v>
      </c>
      <c r="J263" s="94" t="s">
        <v>1925</v>
      </c>
      <c r="K263" s="94" t="s">
        <v>1926</v>
      </c>
      <c r="L263" s="94" t="s">
        <v>3636</v>
      </c>
      <c r="M263" s="94" t="s">
        <v>2633</v>
      </c>
      <c r="N263" s="94" t="s">
        <v>2709</v>
      </c>
      <c r="O263" s="94" t="s">
        <v>2780</v>
      </c>
      <c r="P263" s="94" t="s">
        <v>2745</v>
      </c>
      <c r="Q263" s="94" t="s">
        <v>2737</v>
      </c>
      <c r="R263" s="94" t="s">
        <v>2737</v>
      </c>
      <c r="S263" s="94" t="s">
        <v>1381</v>
      </c>
      <c r="T263" s="94" t="s">
        <v>2796</v>
      </c>
      <c r="U263" s="94" t="s">
        <v>1290</v>
      </c>
      <c r="V263" s="94" t="s">
        <v>1381</v>
      </c>
      <c r="W263" s="94" t="s">
        <v>1656</v>
      </c>
      <c r="X263" s="94" t="s">
        <v>1381</v>
      </c>
      <c r="Y263" s="94" t="s">
        <v>3716</v>
      </c>
      <c r="Z263" s="94" t="s">
        <v>4049</v>
      </c>
      <c r="AA263" s="94" t="s">
        <v>4052</v>
      </c>
      <c r="AB263" s="94" t="s">
        <v>4086</v>
      </c>
      <c r="AC263" s="94" t="s">
        <v>808</v>
      </c>
      <c r="AD263" s="94" t="s">
        <v>1381</v>
      </c>
      <c r="AE263" s="94" t="s">
        <v>1381</v>
      </c>
      <c r="AF263" s="94" t="s">
        <v>1381</v>
      </c>
      <c r="AG263" s="94" t="s">
        <v>4246</v>
      </c>
      <c r="AH263" s="94" t="s">
        <v>2740</v>
      </c>
      <c r="AI263" s="94" t="s">
        <v>1381</v>
      </c>
      <c r="AJ263" s="94" t="s">
        <v>2369</v>
      </c>
      <c r="AK263" s="94" t="s">
        <v>2310</v>
      </c>
      <c r="AL263" s="94" t="s">
        <v>2248</v>
      </c>
      <c r="AM263" s="94" t="s">
        <v>1131</v>
      </c>
      <c r="AN263" s="94"/>
      <c r="AO263" s="94" t="s">
        <v>2454</v>
      </c>
      <c r="AP263" s="94" t="s">
        <v>2454</v>
      </c>
      <c r="AQ263" s="94" t="s">
        <v>1381</v>
      </c>
      <c r="AR263" s="94" t="s">
        <v>3315</v>
      </c>
      <c r="AS263" s="94" t="s">
        <v>3314</v>
      </c>
      <c r="AT263" s="94" t="s">
        <v>3498</v>
      </c>
      <c r="AU263" s="94" t="s">
        <v>3498</v>
      </c>
      <c r="AV263" s="94" t="s">
        <v>3498</v>
      </c>
      <c r="AW263" s="94" t="s">
        <v>3498</v>
      </c>
      <c r="AX263" s="94"/>
      <c r="AY263" s="94"/>
      <c r="AZ263" s="94"/>
      <c r="BA263" s="94" t="s">
        <v>1430</v>
      </c>
      <c r="BB263" s="94" t="s">
        <v>1430</v>
      </c>
      <c r="BC263" s="94"/>
      <c r="BD263" s="94" t="s">
        <v>2887</v>
      </c>
      <c r="BE263" s="94" t="s">
        <v>1381</v>
      </c>
      <c r="BF263" s="94" t="s">
        <v>1381</v>
      </c>
      <c r="BG263" s="94" t="s">
        <v>1704</v>
      </c>
      <c r="BH263" s="94" t="s">
        <v>869</v>
      </c>
      <c r="BI263" s="94" t="s">
        <v>869</v>
      </c>
      <c r="BJ263" s="94" t="s">
        <v>1283</v>
      </c>
      <c r="BK263" s="94" t="s">
        <v>1283</v>
      </c>
      <c r="BL263" s="94" t="s">
        <v>2959</v>
      </c>
      <c r="BM263" s="94" t="s">
        <v>3222</v>
      </c>
      <c r="BN263" s="94" t="s">
        <v>3222</v>
      </c>
      <c r="BO263" s="94" t="s">
        <v>3400</v>
      </c>
      <c r="BP263" s="94" t="s">
        <v>2108</v>
      </c>
      <c r="BQ263" s="94" t="s">
        <v>2168</v>
      </c>
      <c r="BR263" s="94" t="s">
        <v>1578</v>
      </c>
      <c r="BS263" s="94" t="s">
        <v>1578</v>
      </c>
      <c r="BT263" s="94"/>
    </row>
    <row r="264" spans="1:72" s="14" customFormat="1" ht="13.5" customHeight="1">
      <c r="A264" s="53" t="s">
        <v>5410</v>
      </c>
      <c r="B264" s="48">
        <v>0.45</v>
      </c>
      <c r="C264" s="48" t="s">
        <v>5129</v>
      </c>
      <c r="D264" s="48">
        <v>0.35</v>
      </c>
      <c r="E264" s="48"/>
      <c r="F264" s="53" t="s">
        <v>19</v>
      </c>
      <c r="G264" s="48">
        <v>0.3</v>
      </c>
      <c r="H264" s="48">
        <v>0.35</v>
      </c>
      <c r="I264" s="48">
        <v>0.35</v>
      </c>
      <c r="J264" s="48">
        <v>0.4</v>
      </c>
      <c r="K264" s="48">
        <v>0.45</v>
      </c>
      <c r="L264" s="48">
        <v>0.4</v>
      </c>
      <c r="M264" s="131">
        <v>0.4</v>
      </c>
      <c r="N264" s="48">
        <v>0.4</v>
      </c>
      <c r="O264" s="48">
        <v>0.3</v>
      </c>
      <c r="P264" s="48">
        <v>0.35</v>
      </c>
      <c r="Q264" s="48">
        <v>0.3</v>
      </c>
      <c r="R264" s="48">
        <v>0.3</v>
      </c>
      <c r="S264" s="48">
        <v>0.3</v>
      </c>
      <c r="T264" s="48">
        <v>0.3</v>
      </c>
      <c r="U264" s="48">
        <v>0.4</v>
      </c>
      <c r="V264" s="48">
        <v>0.3</v>
      </c>
      <c r="W264" s="48">
        <v>0.3</v>
      </c>
      <c r="X264" s="48">
        <v>0.3</v>
      </c>
      <c r="Y264" s="48">
        <v>0.3</v>
      </c>
      <c r="Z264" s="131">
        <v>0.35</v>
      </c>
      <c r="AA264" s="131">
        <v>0.4</v>
      </c>
      <c r="AB264" s="131">
        <v>0.4</v>
      </c>
      <c r="AC264" s="48">
        <v>0.4</v>
      </c>
      <c r="AD264" s="48" t="s">
        <v>3999</v>
      </c>
      <c r="AE264" s="48" t="s">
        <v>3999</v>
      </c>
      <c r="AF264" s="48" t="s">
        <v>3999</v>
      </c>
      <c r="AG264" s="48" t="s">
        <v>4261</v>
      </c>
      <c r="AH264" s="48">
        <v>0.4</v>
      </c>
      <c r="AI264" s="48">
        <v>0.3</v>
      </c>
      <c r="AJ264" s="48">
        <v>0.35</v>
      </c>
      <c r="AK264" s="48">
        <v>0.4</v>
      </c>
      <c r="AL264" s="48">
        <v>0.45</v>
      </c>
      <c r="AM264" s="48">
        <v>0.4</v>
      </c>
      <c r="AN264" s="48">
        <v>0.35</v>
      </c>
      <c r="AO264" s="48">
        <v>0.45</v>
      </c>
      <c r="AP264" s="48">
        <v>0.45</v>
      </c>
      <c r="AQ264" s="48">
        <v>0.35</v>
      </c>
      <c r="AR264" s="48" t="s">
        <v>982</v>
      </c>
      <c r="AS264" s="48" t="s">
        <v>997</v>
      </c>
      <c r="AT264" s="48" t="s">
        <v>3462</v>
      </c>
      <c r="AU264" s="48" t="s">
        <v>3462</v>
      </c>
      <c r="AV264" s="48" t="s">
        <v>3444</v>
      </c>
      <c r="AW264" s="48" t="s">
        <v>3444</v>
      </c>
      <c r="AX264" s="48" t="s">
        <v>39</v>
      </c>
      <c r="AY264" s="48">
        <v>0.4</v>
      </c>
      <c r="AZ264" s="48">
        <v>0.4</v>
      </c>
      <c r="BA264" s="48">
        <v>0.3</v>
      </c>
      <c r="BB264" s="48">
        <v>0.4</v>
      </c>
      <c r="BC264" s="48">
        <v>0.3</v>
      </c>
      <c r="BD264" s="48">
        <v>0.4</v>
      </c>
      <c r="BE264" s="48">
        <v>0.3</v>
      </c>
      <c r="BF264" s="48">
        <v>0.3</v>
      </c>
      <c r="BG264" s="48">
        <v>0.3</v>
      </c>
      <c r="BH264" s="48">
        <v>0.3</v>
      </c>
      <c r="BI264" s="48">
        <v>0.3</v>
      </c>
      <c r="BJ264" s="48">
        <v>0.4</v>
      </c>
      <c r="BK264" s="48">
        <v>0.45</v>
      </c>
      <c r="BL264" s="48" t="s">
        <v>2965</v>
      </c>
      <c r="BM264" s="48">
        <v>0.3</v>
      </c>
      <c r="BN264" s="48">
        <v>0.4</v>
      </c>
      <c r="BO264" s="48">
        <v>0.4</v>
      </c>
      <c r="BP264" s="48" t="s">
        <v>5563</v>
      </c>
      <c r="BQ264" s="48">
        <v>0.4</v>
      </c>
      <c r="BR264" s="48">
        <v>0.4</v>
      </c>
      <c r="BS264" s="48">
        <v>0.4</v>
      </c>
      <c r="BT264" s="48">
        <v>0.4</v>
      </c>
    </row>
    <row r="265" spans="1:72" s="2" customFormat="1" ht="9" customHeight="1">
      <c r="A265" s="95" t="s">
        <v>688</v>
      </c>
      <c r="B265" s="94" t="s">
        <v>4950</v>
      </c>
      <c r="C265" s="94" t="s">
        <v>5162</v>
      </c>
      <c r="D265" s="94" t="s">
        <v>4859</v>
      </c>
      <c r="E265" s="94"/>
      <c r="F265" s="95" t="s">
        <v>688</v>
      </c>
      <c r="G265" s="94"/>
      <c r="H265" s="94" t="s">
        <v>3125</v>
      </c>
      <c r="I265" s="94" t="s">
        <v>3126</v>
      </c>
      <c r="J265" s="94" t="s">
        <v>1925</v>
      </c>
      <c r="K265" s="94" t="s">
        <v>1926</v>
      </c>
      <c r="L265" s="94" t="s">
        <v>3636</v>
      </c>
      <c r="M265" s="94" t="s">
        <v>2633</v>
      </c>
      <c r="N265" s="94" t="s">
        <v>2709</v>
      </c>
      <c r="O265" s="94" t="s">
        <v>2780</v>
      </c>
      <c r="P265" s="94" t="s">
        <v>2745</v>
      </c>
      <c r="Q265" s="94" t="s">
        <v>2737</v>
      </c>
      <c r="R265" s="94" t="s">
        <v>2737</v>
      </c>
      <c r="S265" s="94" t="s">
        <v>1381</v>
      </c>
      <c r="T265" s="94" t="s">
        <v>2792</v>
      </c>
      <c r="U265" s="94" t="s">
        <v>1290</v>
      </c>
      <c r="V265" s="94" t="s">
        <v>1381</v>
      </c>
      <c r="W265" s="94" t="s">
        <v>1656</v>
      </c>
      <c r="X265" s="94" t="s">
        <v>1381</v>
      </c>
      <c r="Y265" s="94" t="s">
        <v>3716</v>
      </c>
      <c r="Z265" s="94" t="s">
        <v>4049</v>
      </c>
      <c r="AA265" s="94" t="s">
        <v>4052</v>
      </c>
      <c r="AB265" s="94" t="s">
        <v>4086</v>
      </c>
      <c r="AC265" s="94" t="s">
        <v>808</v>
      </c>
      <c r="AD265" s="94" t="s">
        <v>1381</v>
      </c>
      <c r="AE265" s="94" t="s">
        <v>1381</v>
      </c>
      <c r="AF265" s="94" t="s">
        <v>1381</v>
      </c>
      <c r="AG265" s="94" t="s">
        <v>4246</v>
      </c>
      <c r="AH265" s="94" t="s">
        <v>2740</v>
      </c>
      <c r="AI265" s="94" t="s">
        <v>1381</v>
      </c>
      <c r="AJ265" s="94" t="s">
        <v>2369</v>
      </c>
      <c r="AK265" s="94" t="s">
        <v>2310</v>
      </c>
      <c r="AL265" s="94" t="s">
        <v>2248</v>
      </c>
      <c r="AM265" s="94" t="s">
        <v>1131</v>
      </c>
      <c r="AN265" s="94"/>
      <c r="AO265" s="94" t="s">
        <v>2454</v>
      </c>
      <c r="AP265" s="94" t="s">
        <v>2454</v>
      </c>
      <c r="AQ265" s="94" t="s">
        <v>1381</v>
      </c>
      <c r="AR265" s="94" t="s">
        <v>3315</v>
      </c>
      <c r="AS265" s="94" t="s">
        <v>3314</v>
      </c>
      <c r="AT265" s="94" t="s">
        <v>3498</v>
      </c>
      <c r="AU265" s="94" t="s">
        <v>3498</v>
      </c>
      <c r="AV265" s="94" t="s">
        <v>3498</v>
      </c>
      <c r="AW265" s="94" t="s">
        <v>3498</v>
      </c>
      <c r="AX265" s="94"/>
      <c r="AY265" s="94"/>
      <c r="AZ265" s="94"/>
      <c r="BA265" s="94" t="s">
        <v>1430</v>
      </c>
      <c r="BB265" s="94" t="s">
        <v>1430</v>
      </c>
      <c r="BC265" s="94"/>
      <c r="BD265" s="94" t="s">
        <v>2887</v>
      </c>
      <c r="BE265" s="94" t="s">
        <v>1381</v>
      </c>
      <c r="BF265" s="94" t="s">
        <v>1381</v>
      </c>
      <c r="BG265" s="94" t="s">
        <v>1704</v>
      </c>
      <c r="BH265" s="94" t="s">
        <v>869</v>
      </c>
      <c r="BI265" s="94" t="s">
        <v>869</v>
      </c>
      <c r="BJ265" s="94" t="s">
        <v>1283</v>
      </c>
      <c r="BK265" s="94" t="s">
        <v>1283</v>
      </c>
      <c r="BL265" s="94" t="s">
        <v>2959</v>
      </c>
      <c r="BM265" s="94" t="s">
        <v>3222</v>
      </c>
      <c r="BN265" s="94" t="s">
        <v>3222</v>
      </c>
      <c r="BO265" s="94" t="s">
        <v>3400</v>
      </c>
      <c r="BP265" s="94" t="s">
        <v>2108</v>
      </c>
      <c r="BQ265" s="94" t="s">
        <v>2168</v>
      </c>
      <c r="BR265" s="94" t="s">
        <v>1578</v>
      </c>
      <c r="BS265" s="94" t="s">
        <v>1578</v>
      </c>
      <c r="BT265" s="94"/>
    </row>
    <row r="266" spans="1:72" s="14" customFormat="1" ht="13.5" customHeight="1">
      <c r="A266" s="53" t="s">
        <v>20</v>
      </c>
      <c r="B266" s="48">
        <v>0.2</v>
      </c>
      <c r="C266" s="48">
        <v>0.2</v>
      </c>
      <c r="D266" s="118">
        <v>0.125</v>
      </c>
      <c r="E266" s="48"/>
      <c r="F266" s="53" t="s">
        <v>20</v>
      </c>
      <c r="G266" s="48">
        <v>0.15</v>
      </c>
      <c r="H266" s="48">
        <v>0.15</v>
      </c>
      <c r="I266" s="48">
        <v>0.15</v>
      </c>
      <c r="J266" s="48">
        <v>0.15</v>
      </c>
      <c r="K266" s="48">
        <v>0.2</v>
      </c>
      <c r="L266" s="48">
        <v>0.1</v>
      </c>
      <c r="M266" s="131">
        <v>0.15</v>
      </c>
      <c r="N266" s="48">
        <v>0.15</v>
      </c>
      <c r="O266" s="48">
        <v>0.1</v>
      </c>
      <c r="P266" s="48">
        <v>0.15</v>
      </c>
      <c r="Q266" s="48">
        <v>0.1</v>
      </c>
      <c r="R266" s="48">
        <v>0.1</v>
      </c>
      <c r="S266" s="48">
        <v>0.1</v>
      </c>
      <c r="T266" s="48">
        <v>0.1</v>
      </c>
      <c r="U266" s="48">
        <v>0.1</v>
      </c>
      <c r="V266" s="48">
        <v>0.1</v>
      </c>
      <c r="W266" s="48">
        <v>0.1</v>
      </c>
      <c r="X266" s="48">
        <v>0.1</v>
      </c>
      <c r="Y266" s="48">
        <v>0.2</v>
      </c>
      <c r="Z266" s="131">
        <v>0.1</v>
      </c>
      <c r="AA266" s="131">
        <v>0.15</v>
      </c>
      <c r="AB266" s="131">
        <v>0.15</v>
      </c>
      <c r="AC266" s="48">
        <v>0.15</v>
      </c>
      <c r="AD266" s="48" t="s">
        <v>3992</v>
      </c>
      <c r="AE266" s="48" t="s">
        <v>3992</v>
      </c>
      <c r="AF266" s="48" t="s">
        <v>3992</v>
      </c>
      <c r="AG266" s="48" t="s">
        <v>4262</v>
      </c>
      <c r="AH266" s="48">
        <v>0.15</v>
      </c>
      <c r="AI266" s="48">
        <v>0.1</v>
      </c>
      <c r="AJ266" s="48">
        <v>0.1</v>
      </c>
      <c r="AK266" s="48">
        <v>0.15</v>
      </c>
      <c r="AL266" s="48">
        <v>0.2</v>
      </c>
      <c r="AM266" s="48">
        <v>0.2</v>
      </c>
      <c r="AN266" s="118">
        <v>0.125</v>
      </c>
      <c r="AO266" s="48">
        <v>0.2</v>
      </c>
      <c r="AP266" s="48">
        <v>0.2</v>
      </c>
      <c r="AQ266" s="118">
        <v>0.125</v>
      </c>
      <c r="AR266" s="48" t="s">
        <v>983</v>
      </c>
      <c r="AS266" s="48" t="s">
        <v>998</v>
      </c>
      <c r="AT266" s="48" t="s">
        <v>3463</v>
      </c>
      <c r="AU266" s="48" t="s">
        <v>3463</v>
      </c>
      <c r="AV266" s="48" t="s">
        <v>3446</v>
      </c>
      <c r="AW266" s="48" t="s">
        <v>3446</v>
      </c>
      <c r="AX266" s="48" t="s">
        <v>39</v>
      </c>
      <c r="AY266" s="48">
        <v>0.15</v>
      </c>
      <c r="AZ266" s="48">
        <v>0.15</v>
      </c>
      <c r="BA266" s="48">
        <v>0.1</v>
      </c>
      <c r="BB266" s="48">
        <v>0.2</v>
      </c>
      <c r="BC266" s="48">
        <v>0.1</v>
      </c>
      <c r="BD266" s="48">
        <v>0.15</v>
      </c>
      <c r="BE266" s="48">
        <v>0.1</v>
      </c>
      <c r="BF266" s="48">
        <v>0.1</v>
      </c>
      <c r="BG266" s="48">
        <v>0.1</v>
      </c>
      <c r="BH266" s="48">
        <v>0.1</v>
      </c>
      <c r="BI266" s="48">
        <v>0.1</v>
      </c>
      <c r="BJ266" s="48">
        <v>0.1</v>
      </c>
      <c r="BK266" s="48">
        <v>0.15</v>
      </c>
      <c r="BL266" s="48" t="s">
        <v>2964</v>
      </c>
      <c r="BM266" s="48">
        <v>0.1</v>
      </c>
      <c r="BN266" s="48">
        <v>0.15</v>
      </c>
      <c r="BO266" s="48">
        <v>0.1</v>
      </c>
      <c r="BP266" s="48">
        <v>0.2</v>
      </c>
      <c r="BQ266" s="48">
        <v>0.15</v>
      </c>
      <c r="BR266" s="48">
        <v>0.15</v>
      </c>
      <c r="BS266" s="48">
        <v>0.15</v>
      </c>
      <c r="BT266" s="48">
        <v>0.15</v>
      </c>
    </row>
    <row r="267" spans="1:72" s="2" customFormat="1" ht="9" customHeight="1">
      <c r="A267" s="95" t="s">
        <v>688</v>
      </c>
      <c r="B267" s="94" t="s">
        <v>4950</v>
      </c>
      <c r="C267" s="94" t="s">
        <v>5162</v>
      </c>
      <c r="D267" s="94" t="s">
        <v>4859</v>
      </c>
      <c r="E267" s="94"/>
      <c r="F267" s="95" t="s">
        <v>688</v>
      </c>
      <c r="G267" s="94"/>
      <c r="H267" s="94" t="s">
        <v>3125</v>
      </c>
      <c r="I267" s="94" t="s">
        <v>3126</v>
      </c>
      <c r="J267" s="94" t="s">
        <v>1925</v>
      </c>
      <c r="K267" s="94" t="s">
        <v>1926</v>
      </c>
      <c r="L267" s="94" t="s">
        <v>3636</v>
      </c>
      <c r="M267" s="94" t="s">
        <v>2633</v>
      </c>
      <c r="N267" s="94" t="s">
        <v>2709</v>
      </c>
      <c r="O267" s="94" t="s">
        <v>2780</v>
      </c>
      <c r="P267" s="94" t="s">
        <v>2745</v>
      </c>
      <c r="Q267" s="94" t="s">
        <v>2737</v>
      </c>
      <c r="R267" s="94" t="s">
        <v>2737</v>
      </c>
      <c r="S267" s="94" t="s">
        <v>1381</v>
      </c>
      <c r="T267" s="94" t="s">
        <v>2792</v>
      </c>
      <c r="U267" s="94" t="s">
        <v>1290</v>
      </c>
      <c r="V267" s="94" t="s">
        <v>1381</v>
      </c>
      <c r="W267" s="94" t="s">
        <v>1656</v>
      </c>
      <c r="X267" s="94" t="s">
        <v>1381</v>
      </c>
      <c r="Y267" s="94" t="s">
        <v>3716</v>
      </c>
      <c r="Z267" s="94" t="s">
        <v>4049</v>
      </c>
      <c r="AA267" s="94" t="s">
        <v>4052</v>
      </c>
      <c r="AB267" s="94" t="s">
        <v>4086</v>
      </c>
      <c r="AC267" s="94" t="s">
        <v>808</v>
      </c>
      <c r="AD267" s="94" t="s">
        <v>1381</v>
      </c>
      <c r="AE267" s="94" t="s">
        <v>1381</v>
      </c>
      <c r="AF267" s="94" t="s">
        <v>1381</v>
      </c>
      <c r="AG267" s="94" t="s">
        <v>4246</v>
      </c>
      <c r="AH267" s="94" t="s">
        <v>2740</v>
      </c>
      <c r="AI267" s="94" t="s">
        <v>1381</v>
      </c>
      <c r="AJ267" s="94" t="s">
        <v>2369</v>
      </c>
      <c r="AK267" s="94" t="s">
        <v>2310</v>
      </c>
      <c r="AL267" s="94" t="s">
        <v>2248</v>
      </c>
      <c r="AM267" s="94" t="s">
        <v>1131</v>
      </c>
      <c r="AN267" s="94"/>
      <c r="AO267" s="94" t="s">
        <v>2454</v>
      </c>
      <c r="AP267" s="94" t="s">
        <v>2454</v>
      </c>
      <c r="AQ267" s="94" t="s">
        <v>1381</v>
      </c>
      <c r="AR267" s="94" t="s">
        <v>3315</v>
      </c>
      <c r="AS267" s="94" t="s">
        <v>3314</v>
      </c>
      <c r="AT267" s="94" t="s">
        <v>3498</v>
      </c>
      <c r="AU267" s="94" t="s">
        <v>3498</v>
      </c>
      <c r="AV267" s="94" t="s">
        <v>3498</v>
      </c>
      <c r="AW267" s="94" t="s">
        <v>3498</v>
      </c>
      <c r="AX267" s="94"/>
      <c r="AY267" s="94"/>
      <c r="AZ267" s="94"/>
      <c r="BA267" s="94" t="s">
        <v>1430</v>
      </c>
      <c r="BB267" s="94" t="s">
        <v>1430</v>
      </c>
      <c r="BC267" s="94"/>
      <c r="BD267" s="94" t="s">
        <v>2887</v>
      </c>
      <c r="BE267" s="94" t="s">
        <v>1381</v>
      </c>
      <c r="BF267" s="94" t="s">
        <v>1381</v>
      </c>
      <c r="BG267" s="94" t="s">
        <v>1704</v>
      </c>
      <c r="BH267" s="94" t="s">
        <v>869</v>
      </c>
      <c r="BI267" s="94" t="s">
        <v>869</v>
      </c>
      <c r="BJ267" s="94" t="s">
        <v>1283</v>
      </c>
      <c r="BK267" s="94" t="s">
        <v>1283</v>
      </c>
      <c r="BL267" s="94" t="s">
        <v>2959</v>
      </c>
      <c r="BM267" s="94" t="s">
        <v>3222</v>
      </c>
      <c r="BN267" s="94" t="s">
        <v>3222</v>
      </c>
      <c r="BO267" s="94" t="s">
        <v>3400</v>
      </c>
      <c r="BP267" s="94" t="s">
        <v>2108</v>
      </c>
      <c r="BQ267" s="94" t="s">
        <v>2168</v>
      </c>
      <c r="BR267" s="94" t="s">
        <v>1578</v>
      </c>
      <c r="BS267" s="94" t="s">
        <v>1578</v>
      </c>
      <c r="BT267" s="94"/>
    </row>
    <row r="268" spans="1:72" s="14" customFormat="1" ht="13.5" customHeight="1">
      <c r="A268" s="53" t="s">
        <v>21</v>
      </c>
      <c r="B268" s="48">
        <v>0.2</v>
      </c>
      <c r="C268" s="48">
        <v>0.2</v>
      </c>
      <c r="D268" s="118">
        <v>7.4999999999999997E-2</v>
      </c>
      <c r="E268" s="48"/>
      <c r="F268" s="53" t="s">
        <v>21</v>
      </c>
      <c r="G268" s="48">
        <v>0.1</v>
      </c>
      <c r="H268" s="48">
        <v>0.1</v>
      </c>
      <c r="I268" s="48">
        <v>0.1</v>
      </c>
      <c r="J268" s="48">
        <v>0.15</v>
      </c>
      <c r="K268" s="48">
        <v>0.2</v>
      </c>
      <c r="L268" s="48">
        <v>0.1</v>
      </c>
      <c r="M268" s="131">
        <v>0.15</v>
      </c>
      <c r="N268" s="48">
        <v>0.15</v>
      </c>
      <c r="O268" s="48">
        <v>0.05</v>
      </c>
      <c r="P268" s="48">
        <v>0.1</v>
      </c>
      <c r="Q268" s="48">
        <v>0.05</v>
      </c>
      <c r="R268" s="48">
        <v>0.05</v>
      </c>
      <c r="S268" s="48">
        <v>0.05</v>
      </c>
      <c r="T268" s="48">
        <v>0.05</v>
      </c>
      <c r="U268" s="48">
        <v>0.1</v>
      </c>
      <c r="V268" s="48">
        <v>0.05</v>
      </c>
      <c r="W268" s="48">
        <v>0.05</v>
      </c>
      <c r="X268" s="48">
        <v>0.05</v>
      </c>
      <c r="Y268" s="48">
        <v>0.15</v>
      </c>
      <c r="Z268" s="131">
        <v>0.05</v>
      </c>
      <c r="AA268" s="131">
        <v>0.1</v>
      </c>
      <c r="AB268" s="131">
        <v>0.15</v>
      </c>
      <c r="AC268" s="48">
        <v>0.15</v>
      </c>
      <c r="AD268" s="48" t="s">
        <v>4000</v>
      </c>
      <c r="AE268" s="48" t="s">
        <v>4000</v>
      </c>
      <c r="AF268" s="48" t="s">
        <v>4000</v>
      </c>
      <c r="AG268" s="48" t="s">
        <v>4263</v>
      </c>
      <c r="AH268" s="48">
        <v>0.1</v>
      </c>
      <c r="AI268" s="48">
        <v>0.05</v>
      </c>
      <c r="AJ268" s="48">
        <v>0.05</v>
      </c>
      <c r="AK268" s="48">
        <v>0.15</v>
      </c>
      <c r="AL268" s="48">
        <v>0.2</v>
      </c>
      <c r="AM268" s="48">
        <v>0.15</v>
      </c>
      <c r="AN268" s="118">
        <v>7.4999999999999997E-2</v>
      </c>
      <c r="AO268" s="48">
        <v>0.2</v>
      </c>
      <c r="AP268" s="48">
        <v>0.2</v>
      </c>
      <c r="AQ268" s="118">
        <v>7.4999999999999997E-2</v>
      </c>
      <c r="AR268" s="48" t="s">
        <v>983</v>
      </c>
      <c r="AS268" s="48" t="s">
        <v>998</v>
      </c>
      <c r="AT268" s="48" t="s">
        <v>3463</v>
      </c>
      <c r="AU268" s="48" t="s">
        <v>3463</v>
      </c>
      <c r="AV268" s="48" t="s">
        <v>3446</v>
      </c>
      <c r="AW268" s="48" t="s">
        <v>3446</v>
      </c>
      <c r="AX268" s="48" t="s">
        <v>39</v>
      </c>
      <c r="AY268" s="48">
        <v>0.15</v>
      </c>
      <c r="AZ268" s="48">
        <v>0.15</v>
      </c>
      <c r="BA268" s="48">
        <v>0.05</v>
      </c>
      <c r="BB268" s="48">
        <v>0.2</v>
      </c>
      <c r="BC268" s="48">
        <v>0.05</v>
      </c>
      <c r="BD268" s="48">
        <v>0.1</v>
      </c>
      <c r="BE268" s="48">
        <v>0.05</v>
      </c>
      <c r="BF268" s="48">
        <v>0.05</v>
      </c>
      <c r="BG268" s="48">
        <v>0.05</v>
      </c>
      <c r="BH268" s="48">
        <v>0.05</v>
      </c>
      <c r="BI268" s="48">
        <v>0.05</v>
      </c>
      <c r="BJ268" s="48">
        <v>0.1</v>
      </c>
      <c r="BK268" s="48">
        <v>0.15</v>
      </c>
      <c r="BL268" s="48" t="s">
        <v>2963</v>
      </c>
      <c r="BM268" s="48">
        <v>0.05</v>
      </c>
      <c r="BN268" s="48">
        <v>0.15</v>
      </c>
      <c r="BO268" s="48">
        <v>0.1</v>
      </c>
      <c r="BP268" s="48">
        <v>0.2</v>
      </c>
      <c r="BQ268" s="48">
        <v>0.15</v>
      </c>
      <c r="BR268" s="48">
        <v>0.15</v>
      </c>
      <c r="BS268" s="48">
        <v>0.15</v>
      </c>
      <c r="BT268" s="48">
        <v>0.1</v>
      </c>
    </row>
    <row r="269" spans="1:72" s="2" customFormat="1" ht="9" customHeight="1">
      <c r="A269" s="95" t="s">
        <v>688</v>
      </c>
      <c r="B269" s="94" t="s">
        <v>4950</v>
      </c>
      <c r="C269" s="94" t="s">
        <v>5162</v>
      </c>
      <c r="D269" s="94" t="s">
        <v>4859</v>
      </c>
      <c r="E269" s="94"/>
      <c r="F269" s="95" t="s">
        <v>688</v>
      </c>
      <c r="G269" s="94"/>
      <c r="H269" s="94" t="s">
        <v>3125</v>
      </c>
      <c r="I269" s="94" t="s">
        <v>3126</v>
      </c>
      <c r="J269" s="94" t="s">
        <v>1925</v>
      </c>
      <c r="K269" s="94" t="s">
        <v>1926</v>
      </c>
      <c r="L269" s="94" t="s">
        <v>3636</v>
      </c>
      <c r="M269" s="94" t="s">
        <v>2633</v>
      </c>
      <c r="N269" s="94" t="s">
        <v>2709</v>
      </c>
      <c r="O269" s="94" t="s">
        <v>2780</v>
      </c>
      <c r="P269" s="94" t="s">
        <v>2745</v>
      </c>
      <c r="Q269" s="94" t="s">
        <v>2737</v>
      </c>
      <c r="R269" s="94" t="s">
        <v>2737</v>
      </c>
      <c r="S269" s="94" t="s">
        <v>1381</v>
      </c>
      <c r="T269" s="94" t="s">
        <v>2792</v>
      </c>
      <c r="U269" s="94" t="s">
        <v>1290</v>
      </c>
      <c r="V269" s="94" t="s">
        <v>1381</v>
      </c>
      <c r="W269" s="94" t="s">
        <v>1656</v>
      </c>
      <c r="X269" s="94" t="s">
        <v>1381</v>
      </c>
      <c r="Y269" s="94" t="s">
        <v>3716</v>
      </c>
      <c r="Z269" s="94" t="s">
        <v>4049</v>
      </c>
      <c r="AA269" s="94" t="s">
        <v>4052</v>
      </c>
      <c r="AB269" s="94" t="s">
        <v>4086</v>
      </c>
      <c r="AC269" s="94" t="s">
        <v>808</v>
      </c>
      <c r="AD269" s="94" t="s">
        <v>1381</v>
      </c>
      <c r="AE269" s="94" t="s">
        <v>1381</v>
      </c>
      <c r="AF269" s="94" t="s">
        <v>1381</v>
      </c>
      <c r="AG269" s="94" t="s">
        <v>4246</v>
      </c>
      <c r="AH269" s="94" t="s">
        <v>2740</v>
      </c>
      <c r="AI269" s="94" t="s">
        <v>1381</v>
      </c>
      <c r="AJ269" s="94" t="s">
        <v>2369</v>
      </c>
      <c r="AK269" s="94" t="s">
        <v>2310</v>
      </c>
      <c r="AL269" s="94" t="s">
        <v>2248</v>
      </c>
      <c r="AM269" s="94" t="s">
        <v>1131</v>
      </c>
      <c r="AN269" s="94"/>
      <c r="AO269" s="94" t="s">
        <v>2454</v>
      </c>
      <c r="AP269" s="94" t="s">
        <v>2454</v>
      </c>
      <c r="AQ269" s="94" t="s">
        <v>1381</v>
      </c>
      <c r="AR269" s="94" t="s">
        <v>3315</v>
      </c>
      <c r="AS269" s="94" t="s">
        <v>3314</v>
      </c>
      <c r="AT269" s="94" t="s">
        <v>3498</v>
      </c>
      <c r="AU269" s="94" t="s">
        <v>3498</v>
      </c>
      <c r="AV269" s="94" t="s">
        <v>3498</v>
      </c>
      <c r="AW269" s="94" t="s">
        <v>3498</v>
      </c>
      <c r="AX269" s="94"/>
      <c r="AY269" s="94"/>
      <c r="AZ269" s="94"/>
      <c r="BA269" s="94" t="s">
        <v>1430</v>
      </c>
      <c r="BB269" s="94" t="s">
        <v>1430</v>
      </c>
      <c r="BC269" s="94"/>
      <c r="BD269" s="94" t="s">
        <v>2887</v>
      </c>
      <c r="BE269" s="94" t="s">
        <v>1381</v>
      </c>
      <c r="BF269" s="94" t="s">
        <v>1381</v>
      </c>
      <c r="BG269" s="94" t="s">
        <v>1704</v>
      </c>
      <c r="BH269" s="94" t="s">
        <v>869</v>
      </c>
      <c r="BI269" s="94" t="s">
        <v>869</v>
      </c>
      <c r="BJ269" s="94" t="s">
        <v>1283</v>
      </c>
      <c r="BK269" s="94" t="s">
        <v>1283</v>
      </c>
      <c r="BL269" s="94" t="s">
        <v>2959</v>
      </c>
      <c r="BM269" s="94" t="s">
        <v>3222</v>
      </c>
      <c r="BN269" s="94" t="s">
        <v>3222</v>
      </c>
      <c r="BO269" s="94" t="s">
        <v>3400</v>
      </c>
      <c r="BP269" s="94" t="s">
        <v>2108</v>
      </c>
      <c r="BQ269" s="94" t="s">
        <v>2168</v>
      </c>
      <c r="BR269" s="94" t="s">
        <v>1578</v>
      </c>
      <c r="BS269" s="94" t="s">
        <v>1578</v>
      </c>
      <c r="BT269" s="94"/>
    </row>
    <row r="270" spans="1:72" s="14" customFormat="1" ht="13.5" customHeight="1">
      <c r="A270" s="53" t="s">
        <v>28</v>
      </c>
      <c r="B270" s="48" t="s">
        <v>4945</v>
      </c>
      <c r="C270" s="48" t="s">
        <v>4945</v>
      </c>
      <c r="D270" s="48" t="s">
        <v>4861</v>
      </c>
      <c r="E270" s="48"/>
      <c r="F270" s="53" t="s">
        <v>28</v>
      </c>
      <c r="G270" s="48">
        <v>1</v>
      </c>
      <c r="H270" s="48">
        <v>0.5</v>
      </c>
      <c r="I270" s="48">
        <v>0.5</v>
      </c>
      <c r="J270" s="48">
        <v>1</v>
      </c>
      <c r="K270" s="48">
        <v>1</v>
      </c>
      <c r="L270" s="48">
        <v>1</v>
      </c>
      <c r="M270" s="131">
        <v>1</v>
      </c>
      <c r="N270" s="48">
        <v>1</v>
      </c>
      <c r="O270" s="48" t="s">
        <v>39</v>
      </c>
      <c r="P270" s="48">
        <v>1</v>
      </c>
      <c r="Q270" s="48" t="s">
        <v>39</v>
      </c>
      <c r="R270" s="48" t="s">
        <v>39</v>
      </c>
      <c r="S270" s="48">
        <v>1</v>
      </c>
      <c r="T270" s="48" t="s">
        <v>39</v>
      </c>
      <c r="U270" s="48">
        <v>1</v>
      </c>
      <c r="V270" s="48" t="s">
        <v>39</v>
      </c>
      <c r="W270" s="48" t="s">
        <v>39</v>
      </c>
      <c r="X270" s="48" t="s">
        <v>39</v>
      </c>
      <c r="Y270" s="48">
        <v>1</v>
      </c>
      <c r="Z270" s="131">
        <v>0.4</v>
      </c>
      <c r="AA270" s="131">
        <v>0.8</v>
      </c>
      <c r="AB270" s="131">
        <v>1</v>
      </c>
      <c r="AC270" s="48">
        <v>1</v>
      </c>
      <c r="AD270" s="48" t="s">
        <v>4001</v>
      </c>
      <c r="AE270" s="48" t="s">
        <v>4001</v>
      </c>
      <c r="AF270" s="48" t="s">
        <v>4001</v>
      </c>
      <c r="AG270" s="48" t="s">
        <v>4264</v>
      </c>
      <c r="AH270" s="48">
        <v>1</v>
      </c>
      <c r="AI270" s="48" t="s">
        <v>39</v>
      </c>
      <c r="AJ270" s="48">
        <v>0.4</v>
      </c>
      <c r="AK270" s="48">
        <v>1</v>
      </c>
      <c r="AL270" s="48">
        <v>1</v>
      </c>
      <c r="AM270" s="48">
        <v>0.6</v>
      </c>
      <c r="AN270" s="48" t="s">
        <v>39</v>
      </c>
      <c r="AO270" s="48">
        <v>1</v>
      </c>
      <c r="AP270" s="48">
        <v>1</v>
      </c>
      <c r="AQ270" s="48" t="s">
        <v>39</v>
      </c>
      <c r="AR270" s="48" t="s">
        <v>984</v>
      </c>
      <c r="AS270" s="48" t="s">
        <v>999</v>
      </c>
      <c r="AT270" s="48" t="s">
        <v>3464</v>
      </c>
      <c r="AU270" s="48" t="s">
        <v>3464</v>
      </c>
      <c r="AV270" s="48" t="s">
        <v>3447</v>
      </c>
      <c r="AW270" s="48" t="s">
        <v>3447</v>
      </c>
      <c r="AX270" s="48" t="s">
        <v>39</v>
      </c>
      <c r="AY270" s="48">
        <v>1</v>
      </c>
      <c r="AZ270" s="48">
        <v>1</v>
      </c>
      <c r="BA270" s="48" t="s">
        <v>39</v>
      </c>
      <c r="BB270" s="48">
        <v>1</v>
      </c>
      <c r="BC270" s="48" t="s">
        <v>39</v>
      </c>
      <c r="BD270" s="48">
        <v>0.6</v>
      </c>
      <c r="BE270" s="48">
        <v>0.5</v>
      </c>
      <c r="BF270" s="48" t="s">
        <v>39</v>
      </c>
      <c r="BG270" s="48" t="s">
        <v>39</v>
      </c>
      <c r="BH270" s="48" t="s">
        <v>39</v>
      </c>
      <c r="BI270" s="48" t="s">
        <v>39</v>
      </c>
      <c r="BJ270" s="48">
        <v>1</v>
      </c>
      <c r="BK270" s="48">
        <v>1</v>
      </c>
      <c r="BL270" s="48" t="s">
        <v>2962</v>
      </c>
      <c r="BM270" s="48">
        <v>0.5</v>
      </c>
      <c r="BN270" s="48">
        <v>1</v>
      </c>
      <c r="BO270" s="48">
        <v>1</v>
      </c>
      <c r="BP270" s="48">
        <v>1</v>
      </c>
      <c r="BQ270" s="48">
        <v>1</v>
      </c>
      <c r="BR270" s="48">
        <v>1</v>
      </c>
      <c r="BS270" s="48">
        <v>0.5</v>
      </c>
      <c r="BT270" s="48">
        <v>0.9</v>
      </c>
    </row>
    <row r="271" spans="1:72" s="2" customFormat="1" ht="9" customHeight="1">
      <c r="A271" s="95" t="s">
        <v>688</v>
      </c>
      <c r="B271" s="94" t="s">
        <v>4950</v>
      </c>
      <c r="C271" s="94" t="s">
        <v>5162</v>
      </c>
      <c r="D271" s="94" t="s">
        <v>4860</v>
      </c>
      <c r="E271" s="94"/>
      <c r="F271" s="95" t="s">
        <v>688</v>
      </c>
      <c r="G271" s="94"/>
      <c r="H271" s="94" t="s">
        <v>3125</v>
      </c>
      <c r="I271" s="94" t="s">
        <v>3126</v>
      </c>
      <c r="J271" s="94" t="s">
        <v>1925</v>
      </c>
      <c r="K271" s="94" t="s">
        <v>1926</v>
      </c>
      <c r="L271" s="94" t="s">
        <v>3636</v>
      </c>
      <c r="M271" s="94" t="s">
        <v>2633</v>
      </c>
      <c r="N271" s="94" t="s">
        <v>2709</v>
      </c>
      <c r="O271" s="94" t="s">
        <v>39</v>
      </c>
      <c r="P271" s="94" t="s">
        <v>2745</v>
      </c>
      <c r="Q271" s="94" t="s">
        <v>39</v>
      </c>
      <c r="R271" s="94" t="s">
        <v>39</v>
      </c>
      <c r="S271" s="94" t="s">
        <v>1381</v>
      </c>
      <c r="T271" s="94" t="s">
        <v>39</v>
      </c>
      <c r="U271" s="94" t="s">
        <v>1290</v>
      </c>
      <c r="V271" s="94" t="s">
        <v>39</v>
      </c>
      <c r="W271" s="94" t="s">
        <v>39</v>
      </c>
      <c r="X271" s="94" t="s">
        <v>39</v>
      </c>
      <c r="Y271" s="94" t="s">
        <v>3716</v>
      </c>
      <c r="Z271" s="94" t="s">
        <v>4050</v>
      </c>
      <c r="AA271" s="94" t="s">
        <v>4053</v>
      </c>
      <c r="AB271" s="94" t="s">
        <v>4087</v>
      </c>
      <c r="AC271" s="94" t="s">
        <v>808</v>
      </c>
      <c r="AD271" s="94" t="s">
        <v>1381</v>
      </c>
      <c r="AE271" s="94" t="s">
        <v>1381</v>
      </c>
      <c r="AF271" s="94" t="s">
        <v>1381</v>
      </c>
      <c r="AG271" s="94"/>
      <c r="AH271" s="94" t="s">
        <v>2740</v>
      </c>
      <c r="AI271" s="94" t="s">
        <v>39</v>
      </c>
      <c r="AJ271" s="94" t="s">
        <v>2369</v>
      </c>
      <c r="AK271" s="94" t="s">
        <v>2310</v>
      </c>
      <c r="AL271" s="94" t="s">
        <v>2248</v>
      </c>
      <c r="AM271" s="94" t="s">
        <v>1131</v>
      </c>
      <c r="AN271" s="94"/>
      <c r="AO271" s="94" t="s">
        <v>2454</v>
      </c>
      <c r="AP271" s="94" t="s">
        <v>2454</v>
      </c>
      <c r="AQ271" s="94" t="s">
        <v>39</v>
      </c>
      <c r="AR271" s="94" t="s">
        <v>3315</v>
      </c>
      <c r="AS271" s="94" t="s">
        <v>3314</v>
      </c>
      <c r="AT271" s="94" t="s">
        <v>3498</v>
      </c>
      <c r="AU271" s="94" t="s">
        <v>3498</v>
      </c>
      <c r="AV271" s="94" t="s">
        <v>3498</v>
      </c>
      <c r="AW271" s="94" t="s">
        <v>3498</v>
      </c>
      <c r="AX271" s="94"/>
      <c r="AY271" s="94"/>
      <c r="AZ271" s="94"/>
      <c r="BA271" s="94" t="s">
        <v>39</v>
      </c>
      <c r="BB271" s="94" t="s">
        <v>1430</v>
      </c>
      <c r="BC271" s="94"/>
      <c r="BD271" s="94" t="s">
        <v>2887</v>
      </c>
      <c r="BE271" s="94" t="s">
        <v>1381</v>
      </c>
      <c r="BF271" s="94" t="s">
        <v>39</v>
      </c>
      <c r="BG271" s="94" t="s">
        <v>39</v>
      </c>
      <c r="BH271" s="94" t="s">
        <v>39</v>
      </c>
      <c r="BI271" s="94" t="s">
        <v>39</v>
      </c>
      <c r="BJ271" s="94" t="s">
        <v>1283</v>
      </c>
      <c r="BK271" s="94" t="s">
        <v>1283</v>
      </c>
      <c r="BL271" s="94" t="s">
        <v>2959</v>
      </c>
      <c r="BM271" s="94" t="s">
        <v>3222</v>
      </c>
      <c r="BN271" s="94" t="s">
        <v>3222</v>
      </c>
      <c r="BO271" s="94" t="s">
        <v>3400</v>
      </c>
      <c r="BP271" s="94" t="s">
        <v>2108</v>
      </c>
      <c r="BQ271" s="94" t="s">
        <v>2168</v>
      </c>
      <c r="BR271" s="94" t="s">
        <v>1586</v>
      </c>
      <c r="BS271" s="94" t="s">
        <v>1578</v>
      </c>
      <c r="BT271" s="94"/>
    </row>
    <row r="272" spans="1:72" s="14" customFormat="1" ht="13.5" customHeight="1">
      <c r="A272" s="53" t="s">
        <v>110</v>
      </c>
      <c r="B272" s="48">
        <v>0.25</v>
      </c>
      <c r="C272" s="48">
        <v>0.25</v>
      </c>
      <c r="D272" s="48" t="s">
        <v>4861</v>
      </c>
      <c r="E272" s="48"/>
      <c r="F272" s="53" t="s">
        <v>110</v>
      </c>
      <c r="G272" s="48">
        <v>0.3</v>
      </c>
      <c r="H272" s="48">
        <v>0.25</v>
      </c>
      <c r="I272" s="48">
        <v>0.25</v>
      </c>
      <c r="J272" s="48">
        <v>0.25</v>
      </c>
      <c r="K272" s="48">
        <v>0.3</v>
      </c>
      <c r="L272" s="48" t="s">
        <v>39</v>
      </c>
      <c r="M272" s="131" t="s">
        <v>39</v>
      </c>
      <c r="N272" s="48">
        <v>0.25</v>
      </c>
      <c r="O272" s="48" t="s">
        <v>39</v>
      </c>
      <c r="P272" s="48" t="s">
        <v>39</v>
      </c>
      <c r="Q272" s="48">
        <v>0.2</v>
      </c>
      <c r="R272" s="48">
        <v>0.2</v>
      </c>
      <c r="S272" s="48">
        <v>0.15</v>
      </c>
      <c r="T272" s="48" t="s">
        <v>39</v>
      </c>
      <c r="U272" s="48" t="s">
        <v>39</v>
      </c>
      <c r="V272" s="48" t="s">
        <v>39</v>
      </c>
      <c r="W272" s="48">
        <v>0.2</v>
      </c>
      <c r="X272" s="48" t="s">
        <v>39</v>
      </c>
      <c r="Y272" s="48">
        <v>0.2</v>
      </c>
      <c r="Z272" s="131" t="s">
        <v>39</v>
      </c>
      <c r="AA272" s="131" t="s">
        <v>39</v>
      </c>
      <c r="AB272" s="131">
        <v>0.3</v>
      </c>
      <c r="AC272" s="48">
        <v>0.25</v>
      </c>
      <c r="AD272" s="48" t="s">
        <v>4002</v>
      </c>
      <c r="AE272" s="48" t="s">
        <v>4002</v>
      </c>
      <c r="AF272" s="48" t="s">
        <v>4002</v>
      </c>
      <c r="AG272" s="48" t="s">
        <v>4264</v>
      </c>
      <c r="AH272" s="48">
        <v>0.25</v>
      </c>
      <c r="AI272" s="48" t="s">
        <v>39</v>
      </c>
      <c r="AJ272" s="48" t="s">
        <v>39</v>
      </c>
      <c r="AK272" s="48">
        <v>0.25</v>
      </c>
      <c r="AL272" s="48">
        <v>0.25</v>
      </c>
      <c r="AM272" s="48">
        <v>0.25</v>
      </c>
      <c r="AN272" s="48" t="s">
        <v>39</v>
      </c>
      <c r="AO272" s="48">
        <v>0.25</v>
      </c>
      <c r="AP272" s="48">
        <v>0.25</v>
      </c>
      <c r="AQ272" s="48" t="s">
        <v>39</v>
      </c>
      <c r="AR272" s="48" t="s">
        <v>985</v>
      </c>
      <c r="AS272" s="48" t="s">
        <v>1000</v>
      </c>
      <c r="AT272" s="48" t="s">
        <v>3476</v>
      </c>
      <c r="AU272" s="48" t="s">
        <v>3476</v>
      </c>
      <c r="AV272" s="48" t="s">
        <v>3455</v>
      </c>
      <c r="AW272" s="48" t="s">
        <v>3455</v>
      </c>
      <c r="AX272" s="48" t="s">
        <v>39</v>
      </c>
      <c r="AY272" s="48" t="s">
        <v>39</v>
      </c>
      <c r="AZ272" s="48" t="s">
        <v>39</v>
      </c>
      <c r="BA272" s="48" t="s">
        <v>39</v>
      </c>
      <c r="BB272" s="48" t="s">
        <v>39</v>
      </c>
      <c r="BC272" s="48" t="s">
        <v>39</v>
      </c>
      <c r="BD272" s="48" t="s">
        <v>39</v>
      </c>
      <c r="BE272" s="48">
        <v>0.2</v>
      </c>
      <c r="BF272" s="48" t="s">
        <v>39</v>
      </c>
      <c r="BG272" s="48" t="s">
        <v>39</v>
      </c>
      <c r="BH272" s="48" t="s">
        <v>39</v>
      </c>
      <c r="BI272" s="48" t="s">
        <v>39</v>
      </c>
      <c r="BJ272" s="48">
        <v>0.25</v>
      </c>
      <c r="BK272" s="48">
        <v>0.25</v>
      </c>
      <c r="BL272" s="48" t="s">
        <v>2961</v>
      </c>
      <c r="BM272" s="48">
        <v>0.1</v>
      </c>
      <c r="BN272" s="48">
        <v>0.2</v>
      </c>
      <c r="BO272" s="48" t="s">
        <v>39</v>
      </c>
      <c r="BP272" s="48">
        <v>0.25</v>
      </c>
      <c r="BQ272" s="48">
        <v>0.25</v>
      </c>
      <c r="BR272" s="48">
        <v>0.2</v>
      </c>
      <c r="BS272" s="48">
        <v>0.2</v>
      </c>
      <c r="BT272" s="48" t="s">
        <v>39</v>
      </c>
    </row>
    <row r="273" spans="1:72" s="2" customFormat="1" ht="9" customHeight="1">
      <c r="A273" s="95" t="s">
        <v>688</v>
      </c>
      <c r="B273" s="94" t="s">
        <v>4950</v>
      </c>
      <c r="C273" s="94" t="s">
        <v>5162</v>
      </c>
      <c r="D273" s="94" t="s">
        <v>4860</v>
      </c>
      <c r="E273" s="94"/>
      <c r="F273" s="95" t="s">
        <v>688</v>
      </c>
      <c r="G273" s="94"/>
      <c r="H273" s="94" t="s">
        <v>3125</v>
      </c>
      <c r="I273" s="94" t="s">
        <v>3126</v>
      </c>
      <c r="J273" s="94" t="s">
        <v>1925</v>
      </c>
      <c r="K273" s="94" t="s">
        <v>1926</v>
      </c>
      <c r="L273" s="94" t="s">
        <v>39</v>
      </c>
      <c r="M273" s="94" t="s">
        <v>39</v>
      </c>
      <c r="N273" s="94" t="s">
        <v>2709</v>
      </c>
      <c r="O273" s="94" t="s">
        <v>39</v>
      </c>
      <c r="P273" s="94" t="s">
        <v>39</v>
      </c>
      <c r="Q273" s="94" t="s">
        <v>2737</v>
      </c>
      <c r="R273" s="94" t="s">
        <v>2737</v>
      </c>
      <c r="S273" s="94" t="s">
        <v>1381</v>
      </c>
      <c r="T273" s="94" t="s">
        <v>39</v>
      </c>
      <c r="U273" s="94" t="s">
        <v>39</v>
      </c>
      <c r="V273" s="94" t="s">
        <v>39</v>
      </c>
      <c r="W273" s="94" t="s">
        <v>1656</v>
      </c>
      <c r="X273" s="94" t="s">
        <v>39</v>
      </c>
      <c r="Y273" s="94" t="s">
        <v>3716</v>
      </c>
      <c r="Z273" s="94" t="s">
        <v>39</v>
      </c>
      <c r="AA273" s="94" t="s">
        <v>39</v>
      </c>
      <c r="AB273" s="94" t="s">
        <v>4085</v>
      </c>
      <c r="AC273" s="94" t="s">
        <v>808</v>
      </c>
      <c r="AD273" s="94" t="s">
        <v>1381</v>
      </c>
      <c r="AE273" s="94" t="s">
        <v>1381</v>
      </c>
      <c r="AF273" s="94" t="s">
        <v>1381</v>
      </c>
      <c r="AG273" s="94"/>
      <c r="AH273" s="94" t="s">
        <v>2740</v>
      </c>
      <c r="AI273" s="94" t="s">
        <v>39</v>
      </c>
      <c r="AJ273" s="94" t="s">
        <v>39</v>
      </c>
      <c r="AK273" s="94" t="s">
        <v>2310</v>
      </c>
      <c r="AL273" s="94" t="s">
        <v>2248</v>
      </c>
      <c r="AM273" s="94" t="s">
        <v>1131</v>
      </c>
      <c r="AN273" s="94"/>
      <c r="AO273" s="94" t="s">
        <v>2454</v>
      </c>
      <c r="AP273" s="94" t="s">
        <v>2454</v>
      </c>
      <c r="AQ273" s="94" t="s">
        <v>39</v>
      </c>
      <c r="AR273" s="94" t="s">
        <v>3315</v>
      </c>
      <c r="AS273" s="94" t="s">
        <v>3314</v>
      </c>
      <c r="AT273" s="94" t="s">
        <v>3498</v>
      </c>
      <c r="AU273" s="94" t="s">
        <v>3498</v>
      </c>
      <c r="AV273" s="94" t="s">
        <v>3498</v>
      </c>
      <c r="AW273" s="94" t="s">
        <v>3498</v>
      </c>
      <c r="AX273" s="94"/>
      <c r="AY273" s="94"/>
      <c r="AZ273" s="94"/>
      <c r="BA273" s="94" t="s">
        <v>39</v>
      </c>
      <c r="BB273" s="94" t="s">
        <v>39</v>
      </c>
      <c r="BC273" s="94"/>
      <c r="BD273" s="94" t="s">
        <v>39</v>
      </c>
      <c r="BE273" s="94" t="s">
        <v>1218</v>
      </c>
      <c r="BF273" s="94" t="s">
        <v>39</v>
      </c>
      <c r="BG273" s="94" t="s">
        <v>39</v>
      </c>
      <c r="BH273" s="94" t="s">
        <v>39</v>
      </c>
      <c r="BI273" s="94" t="s">
        <v>39</v>
      </c>
      <c r="BJ273" s="94" t="s">
        <v>1284</v>
      </c>
      <c r="BK273" s="94" t="s">
        <v>1284</v>
      </c>
      <c r="BL273" s="94" t="s">
        <v>2959</v>
      </c>
      <c r="BM273" s="94" t="s">
        <v>3222</v>
      </c>
      <c r="BN273" s="94" t="s">
        <v>3222</v>
      </c>
      <c r="BO273" s="94" t="s">
        <v>39</v>
      </c>
      <c r="BP273" s="94" t="s">
        <v>2108</v>
      </c>
      <c r="BQ273" s="94" t="s">
        <v>2168</v>
      </c>
      <c r="BR273" s="94" t="s">
        <v>1578</v>
      </c>
      <c r="BS273" s="94" t="s">
        <v>1578</v>
      </c>
      <c r="BT273" s="94"/>
    </row>
    <row r="274" spans="1:72" s="14" customFormat="1" ht="13.5" customHeight="1">
      <c r="A274" s="53" t="s">
        <v>4946</v>
      </c>
      <c r="B274" s="48">
        <v>1</v>
      </c>
      <c r="C274" s="48">
        <v>1</v>
      </c>
      <c r="D274" s="48" t="s">
        <v>4861</v>
      </c>
      <c r="E274" s="48"/>
      <c r="F274" s="53" t="s">
        <v>111</v>
      </c>
      <c r="G274" s="48">
        <v>0.8</v>
      </c>
      <c r="H274" s="48">
        <v>1</v>
      </c>
      <c r="I274" s="48">
        <v>1</v>
      </c>
      <c r="J274" s="48" t="s">
        <v>39</v>
      </c>
      <c r="K274" s="48" t="s">
        <v>39</v>
      </c>
      <c r="L274" s="48" t="s">
        <v>39</v>
      </c>
      <c r="M274" s="131" t="s">
        <v>39</v>
      </c>
      <c r="N274" s="48">
        <v>1</v>
      </c>
      <c r="O274" s="48" t="s">
        <v>39</v>
      </c>
      <c r="P274" s="48" t="s">
        <v>39</v>
      </c>
      <c r="Q274" s="48">
        <v>1</v>
      </c>
      <c r="R274" s="48">
        <v>1</v>
      </c>
      <c r="S274" s="48">
        <v>1</v>
      </c>
      <c r="T274" s="48" t="s">
        <v>39</v>
      </c>
      <c r="U274" s="48" t="s">
        <v>39</v>
      </c>
      <c r="V274" s="48" t="s">
        <v>39</v>
      </c>
      <c r="W274" s="48" t="s">
        <v>39</v>
      </c>
      <c r="X274" s="48" t="s">
        <v>39</v>
      </c>
      <c r="Y274" s="48" t="s">
        <v>39</v>
      </c>
      <c r="Z274" s="131" t="s">
        <v>39</v>
      </c>
      <c r="AA274" s="131" t="s">
        <v>39</v>
      </c>
      <c r="AB274" s="131" t="s">
        <v>4088</v>
      </c>
      <c r="AC274" s="48">
        <v>1</v>
      </c>
      <c r="AD274" s="48" t="s">
        <v>4003</v>
      </c>
      <c r="AE274" s="48" t="s">
        <v>4003</v>
      </c>
      <c r="AF274" s="48" t="s">
        <v>4003</v>
      </c>
      <c r="AG274" s="48" t="s">
        <v>4264</v>
      </c>
      <c r="AH274" s="48" t="s">
        <v>3651</v>
      </c>
      <c r="AI274" s="48" t="s">
        <v>39</v>
      </c>
      <c r="AJ274" s="48" t="s">
        <v>39</v>
      </c>
      <c r="AK274" s="48">
        <v>1</v>
      </c>
      <c r="AL274" s="48">
        <v>1</v>
      </c>
      <c r="AM274" s="48" t="s">
        <v>39</v>
      </c>
      <c r="AN274" s="48" t="s">
        <v>39</v>
      </c>
      <c r="AO274" s="48">
        <v>1</v>
      </c>
      <c r="AP274" s="48">
        <v>1</v>
      </c>
      <c r="AQ274" s="48" t="s">
        <v>39</v>
      </c>
      <c r="AR274" s="48" t="s">
        <v>984</v>
      </c>
      <c r="AS274" s="48" t="s">
        <v>999</v>
      </c>
      <c r="AT274" s="48" t="s">
        <v>3475</v>
      </c>
      <c r="AU274" s="48" t="s">
        <v>3475</v>
      </c>
      <c r="AV274" s="48" t="s">
        <v>3447</v>
      </c>
      <c r="AW274" s="48" t="s">
        <v>3447</v>
      </c>
      <c r="AX274" s="48" t="s">
        <v>39</v>
      </c>
      <c r="AY274" s="48" t="s">
        <v>39</v>
      </c>
      <c r="AZ274" s="48" t="s">
        <v>39</v>
      </c>
      <c r="BA274" s="48" t="s">
        <v>39</v>
      </c>
      <c r="BB274" s="48" t="s">
        <v>39</v>
      </c>
      <c r="BC274" s="48" t="s">
        <v>39</v>
      </c>
      <c r="BD274" s="48" t="s">
        <v>39</v>
      </c>
      <c r="BE274" s="48">
        <v>1</v>
      </c>
      <c r="BF274" s="48" t="s">
        <v>39</v>
      </c>
      <c r="BG274" s="48" t="s">
        <v>39</v>
      </c>
      <c r="BH274" s="48" t="s">
        <v>39</v>
      </c>
      <c r="BI274" s="48" t="s">
        <v>39</v>
      </c>
      <c r="BJ274" s="48">
        <v>1</v>
      </c>
      <c r="BK274" s="48">
        <v>1</v>
      </c>
      <c r="BL274" s="48">
        <v>1</v>
      </c>
      <c r="BM274" s="48">
        <v>0.5</v>
      </c>
      <c r="BN274" s="48">
        <v>1</v>
      </c>
      <c r="BO274" s="48" t="s">
        <v>39</v>
      </c>
      <c r="BP274" s="48">
        <v>1</v>
      </c>
      <c r="BQ274" s="48">
        <v>1</v>
      </c>
      <c r="BR274" s="48" t="s">
        <v>39</v>
      </c>
      <c r="BS274" s="48" t="s">
        <v>39</v>
      </c>
      <c r="BT274" s="48" t="s">
        <v>39</v>
      </c>
    </row>
    <row r="275" spans="1:72" s="2" customFormat="1" ht="9" customHeight="1">
      <c r="A275" s="95" t="s">
        <v>688</v>
      </c>
      <c r="B275" s="94" t="s">
        <v>4950</v>
      </c>
      <c r="C275" s="94" t="s">
        <v>5162</v>
      </c>
      <c r="D275" s="94" t="s">
        <v>4860</v>
      </c>
      <c r="E275" s="94"/>
      <c r="F275" s="95" t="s">
        <v>688</v>
      </c>
      <c r="G275" s="94"/>
      <c r="H275" s="94" t="s">
        <v>3125</v>
      </c>
      <c r="I275" s="94" t="s">
        <v>3126</v>
      </c>
      <c r="J275" s="94" t="s">
        <v>39</v>
      </c>
      <c r="K275" s="94" t="s">
        <v>39</v>
      </c>
      <c r="L275" s="94" t="s">
        <v>39</v>
      </c>
      <c r="M275" s="94" t="s">
        <v>39</v>
      </c>
      <c r="N275" s="94" t="s">
        <v>2709</v>
      </c>
      <c r="O275" s="94" t="s">
        <v>39</v>
      </c>
      <c r="P275" s="94" t="s">
        <v>39</v>
      </c>
      <c r="Q275" s="94" t="s">
        <v>2737</v>
      </c>
      <c r="R275" s="94" t="s">
        <v>2737</v>
      </c>
      <c r="S275" s="94" t="s">
        <v>1381</v>
      </c>
      <c r="T275" s="94" t="s">
        <v>39</v>
      </c>
      <c r="U275" s="94" t="s">
        <v>39</v>
      </c>
      <c r="V275" s="94" t="s">
        <v>39</v>
      </c>
      <c r="W275" s="94" t="s">
        <v>39</v>
      </c>
      <c r="X275" s="94" t="s">
        <v>39</v>
      </c>
      <c r="Y275" s="94" t="s">
        <v>39</v>
      </c>
      <c r="Z275" s="94" t="s">
        <v>39</v>
      </c>
      <c r="AA275" s="94" t="s">
        <v>39</v>
      </c>
      <c r="AB275" s="94" t="s">
        <v>4085</v>
      </c>
      <c r="AC275" s="94" t="s">
        <v>808</v>
      </c>
      <c r="AD275" s="94" t="s">
        <v>1381</v>
      </c>
      <c r="AE275" s="94" t="s">
        <v>1381</v>
      </c>
      <c r="AF275" s="94" t="s">
        <v>1381</v>
      </c>
      <c r="AG275" s="94"/>
      <c r="AH275" s="94" t="s">
        <v>2740</v>
      </c>
      <c r="AI275" s="94" t="s">
        <v>39</v>
      </c>
      <c r="AJ275" s="94" t="s">
        <v>39</v>
      </c>
      <c r="AK275" s="94" t="s">
        <v>2310</v>
      </c>
      <c r="AL275" s="94" t="s">
        <v>2248</v>
      </c>
      <c r="AM275" s="94" t="s">
        <v>39</v>
      </c>
      <c r="AN275" s="94"/>
      <c r="AO275" s="94" t="s">
        <v>2454</v>
      </c>
      <c r="AP275" s="94" t="s">
        <v>2454</v>
      </c>
      <c r="AQ275" s="94" t="s">
        <v>39</v>
      </c>
      <c r="AR275" s="94" t="s">
        <v>3315</v>
      </c>
      <c r="AS275" s="94" t="s">
        <v>3314</v>
      </c>
      <c r="AT275" s="94" t="s">
        <v>3498</v>
      </c>
      <c r="AU275" s="94" t="s">
        <v>3498</v>
      </c>
      <c r="AV275" s="94" t="s">
        <v>3498</v>
      </c>
      <c r="AW275" s="94" t="s">
        <v>3498</v>
      </c>
      <c r="AX275" s="94"/>
      <c r="AY275" s="94"/>
      <c r="AZ275" s="94"/>
      <c r="BA275" s="94" t="s">
        <v>39</v>
      </c>
      <c r="BB275" s="94" t="s">
        <v>39</v>
      </c>
      <c r="BC275" s="94"/>
      <c r="BD275" s="94" t="s">
        <v>39</v>
      </c>
      <c r="BE275" s="94" t="s">
        <v>1218</v>
      </c>
      <c r="BF275" s="94" t="s">
        <v>39</v>
      </c>
      <c r="BG275" s="94" t="s">
        <v>39</v>
      </c>
      <c r="BH275" s="94" t="s">
        <v>39</v>
      </c>
      <c r="BI275" s="94" t="s">
        <v>39</v>
      </c>
      <c r="BJ275" s="94" t="s">
        <v>1284</v>
      </c>
      <c r="BK275" s="94" t="s">
        <v>1284</v>
      </c>
      <c r="BL275" s="94" t="s">
        <v>2959</v>
      </c>
      <c r="BM275" s="94" t="s">
        <v>3222</v>
      </c>
      <c r="BN275" s="94" t="s">
        <v>3222</v>
      </c>
      <c r="BO275" s="94" t="s">
        <v>39</v>
      </c>
      <c r="BP275" s="94" t="s">
        <v>2108</v>
      </c>
      <c r="BQ275" s="94" t="s">
        <v>2168</v>
      </c>
      <c r="BR275" s="94" t="s">
        <v>39</v>
      </c>
      <c r="BS275" s="94" t="s">
        <v>39</v>
      </c>
      <c r="BT275" s="94"/>
    </row>
    <row r="276" spans="1:72" s="14" customFormat="1" ht="13.5" customHeight="1">
      <c r="A276" s="53" t="s">
        <v>112</v>
      </c>
      <c r="B276" s="48" t="s">
        <v>4947</v>
      </c>
      <c r="C276" s="48" t="s">
        <v>4947</v>
      </c>
      <c r="D276" s="48" t="s">
        <v>4861</v>
      </c>
      <c r="E276" s="48"/>
      <c r="F276" s="53" t="s">
        <v>112</v>
      </c>
      <c r="G276" s="48">
        <v>0.1</v>
      </c>
      <c r="H276" s="48">
        <v>0.1</v>
      </c>
      <c r="I276" s="48">
        <v>0.1</v>
      </c>
      <c r="J276" s="48">
        <v>0.1</v>
      </c>
      <c r="K276" s="48">
        <v>0.15</v>
      </c>
      <c r="L276" s="48" t="s">
        <v>39</v>
      </c>
      <c r="M276" s="131" t="s">
        <v>39</v>
      </c>
      <c r="N276" s="48">
        <v>0.1</v>
      </c>
      <c r="O276" s="48" t="s">
        <v>39</v>
      </c>
      <c r="P276" s="48" t="s">
        <v>39</v>
      </c>
      <c r="Q276" s="48">
        <v>0.1</v>
      </c>
      <c r="R276" s="48">
        <v>0.1</v>
      </c>
      <c r="S276" s="48">
        <v>0.05</v>
      </c>
      <c r="T276" s="48" t="s">
        <v>39</v>
      </c>
      <c r="U276" s="48" t="s">
        <v>39</v>
      </c>
      <c r="V276" s="48" t="s">
        <v>39</v>
      </c>
      <c r="W276" s="48">
        <v>0.1</v>
      </c>
      <c r="X276" s="48" t="s">
        <v>39</v>
      </c>
      <c r="Y276" s="48">
        <v>0.1</v>
      </c>
      <c r="Z276" s="131" t="s">
        <v>39</v>
      </c>
      <c r="AA276" s="131" t="s">
        <v>39</v>
      </c>
      <c r="AB276" s="131">
        <v>0.2</v>
      </c>
      <c r="AC276" s="48">
        <v>0.1</v>
      </c>
      <c r="AD276" s="48" t="s">
        <v>4004</v>
      </c>
      <c r="AE276" s="48" t="s">
        <v>4004</v>
      </c>
      <c r="AF276" s="48" t="s">
        <v>4004</v>
      </c>
      <c r="AG276" s="48" t="s">
        <v>4264</v>
      </c>
      <c r="AH276" s="48">
        <v>0.1</v>
      </c>
      <c r="AI276" s="48" t="s">
        <v>39</v>
      </c>
      <c r="AJ276" s="48" t="s">
        <v>39</v>
      </c>
      <c r="AK276" s="48">
        <v>0.1</v>
      </c>
      <c r="AL276" s="48">
        <v>0.1</v>
      </c>
      <c r="AM276" s="48">
        <v>0.1</v>
      </c>
      <c r="AN276" s="48" t="s">
        <v>39</v>
      </c>
      <c r="AO276" s="48">
        <v>0.1</v>
      </c>
      <c r="AP276" s="48">
        <v>0.1</v>
      </c>
      <c r="AQ276" s="48" t="s">
        <v>39</v>
      </c>
      <c r="AR276" s="48" t="s">
        <v>986</v>
      </c>
      <c r="AS276" s="48" t="s">
        <v>1001</v>
      </c>
      <c r="AT276" s="48" t="s">
        <v>3477</v>
      </c>
      <c r="AU276" s="48" t="s">
        <v>3477</v>
      </c>
      <c r="AV276" s="48" t="s">
        <v>3456</v>
      </c>
      <c r="AW276" s="48" t="s">
        <v>3456</v>
      </c>
      <c r="AX276" s="48" t="s">
        <v>39</v>
      </c>
      <c r="AY276" s="48" t="s">
        <v>39</v>
      </c>
      <c r="AZ276" s="48" t="s">
        <v>39</v>
      </c>
      <c r="BA276" s="48" t="s">
        <v>39</v>
      </c>
      <c r="BB276" s="48">
        <v>0.1</v>
      </c>
      <c r="BC276" s="48" t="s">
        <v>39</v>
      </c>
      <c r="BD276" s="48" t="s">
        <v>39</v>
      </c>
      <c r="BE276" s="48">
        <v>0.1</v>
      </c>
      <c r="BF276" s="48" t="s">
        <v>39</v>
      </c>
      <c r="BG276" s="48" t="s">
        <v>39</v>
      </c>
      <c r="BH276" s="48" t="s">
        <v>39</v>
      </c>
      <c r="BI276" s="48" t="s">
        <v>39</v>
      </c>
      <c r="BJ276" s="48">
        <v>0.1</v>
      </c>
      <c r="BK276" s="48">
        <v>0.1</v>
      </c>
      <c r="BL276" s="48">
        <v>0.1</v>
      </c>
      <c r="BM276" s="48">
        <v>0.05</v>
      </c>
      <c r="BN276" s="48">
        <v>0.1</v>
      </c>
      <c r="BO276" s="48" t="s">
        <v>39</v>
      </c>
      <c r="BP276" s="48">
        <v>0.1</v>
      </c>
      <c r="BQ276" s="48">
        <v>0.1</v>
      </c>
      <c r="BR276" s="48">
        <v>0.1</v>
      </c>
      <c r="BS276" s="48">
        <v>0.1</v>
      </c>
      <c r="BT276" s="48" t="s">
        <v>39</v>
      </c>
    </row>
    <row r="277" spans="1:72" s="2" customFormat="1" ht="9" customHeight="1">
      <c r="A277" s="95" t="s">
        <v>688</v>
      </c>
      <c r="B277" s="94" t="s">
        <v>4950</v>
      </c>
      <c r="C277" s="94" t="s">
        <v>5162</v>
      </c>
      <c r="D277" s="94" t="s">
        <v>4860</v>
      </c>
      <c r="E277" s="94"/>
      <c r="F277" s="95" t="s">
        <v>688</v>
      </c>
      <c r="G277" s="94"/>
      <c r="H277" s="94" t="s">
        <v>3125</v>
      </c>
      <c r="I277" s="94" t="s">
        <v>3126</v>
      </c>
      <c r="J277" s="94" t="s">
        <v>1925</v>
      </c>
      <c r="K277" s="94" t="s">
        <v>1926</v>
      </c>
      <c r="L277" s="94" t="s">
        <v>39</v>
      </c>
      <c r="M277" s="94" t="s">
        <v>39</v>
      </c>
      <c r="N277" s="94" t="s">
        <v>2709</v>
      </c>
      <c r="O277" s="94" t="s">
        <v>39</v>
      </c>
      <c r="P277" s="94" t="s">
        <v>39</v>
      </c>
      <c r="Q277" s="94" t="s">
        <v>2737</v>
      </c>
      <c r="R277" s="94" t="s">
        <v>2737</v>
      </c>
      <c r="S277" s="94" t="s">
        <v>1381</v>
      </c>
      <c r="T277" s="94" t="s">
        <v>39</v>
      </c>
      <c r="U277" s="94" t="s">
        <v>39</v>
      </c>
      <c r="V277" s="94" t="s">
        <v>39</v>
      </c>
      <c r="W277" s="94" t="s">
        <v>1656</v>
      </c>
      <c r="X277" s="94" t="s">
        <v>39</v>
      </c>
      <c r="Y277" s="94" t="s">
        <v>3716</v>
      </c>
      <c r="Z277" s="94" t="s">
        <v>39</v>
      </c>
      <c r="AA277" s="94" t="s">
        <v>39</v>
      </c>
      <c r="AB277" s="94" t="s">
        <v>4085</v>
      </c>
      <c r="AC277" s="94" t="s">
        <v>808</v>
      </c>
      <c r="AD277" s="94" t="s">
        <v>1381</v>
      </c>
      <c r="AE277" s="94" t="s">
        <v>1381</v>
      </c>
      <c r="AF277" s="94" t="s">
        <v>1381</v>
      </c>
      <c r="AG277" s="94"/>
      <c r="AH277" s="94" t="s">
        <v>2740</v>
      </c>
      <c r="AI277" s="94" t="s">
        <v>39</v>
      </c>
      <c r="AJ277" s="94" t="s">
        <v>39</v>
      </c>
      <c r="AK277" s="94" t="s">
        <v>2310</v>
      </c>
      <c r="AL277" s="94" t="s">
        <v>2248</v>
      </c>
      <c r="AM277" s="94" t="s">
        <v>1131</v>
      </c>
      <c r="AN277" s="94"/>
      <c r="AO277" s="94" t="s">
        <v>2454</v>
      </c>
      <c r="AP277" s="94" t="s">
        <v>2454</v>
      </c>
      <c r="AQ277" s="94" t="s">
        <v>39</v>
      </c>
      <c r="AR277" s="94" t="s">
        <v>3315</v>
      </c>
      <c r="AS277" s="94" t="s">
        <v>3314</v>
      </c>
      <c r="AT277" s="94" t="s">
        <v>3498</v>
      </c>
      <c r="AU277" s="94" t="s">
        <v>3498</v>
      </c>
      <c r="AV277" s="94" t="s">
        <v>3498</v>
      </c>
      <c r="AW277" s="94" t="s">
        <v>3498</v>
      </c>
      <c r="AX277" s="94"/>
      <c r="AY277" s="94"/>
      <c r="AZ277" s="94"/>
      <c r="BA277" s="94" t="s">
        <v>39</v>
      </c>
      <c r="BB277" s="94" t="s">
        <v>1430</v>
      </c>
      <c r="BC277" s="94"/>
      <c r="BD277" s="94" t="s">
        <v>39</v>
      </c>
      <c r="BE277" s="94" t="s">
        <v>1218</v>
      </c>
      <c r="BF277" s="94" t="s">
        <v>39</v>
      </c>
      <c r="BG277" s="94" t="s">
        <v>39</v>
      </c>
      <c r="BH277" s="94" t="s">
        <v>39</v>
      </c>
      <c r="BI277" s="94" t="s">
        <v>39</v>
      </c>
      <c r="BJ277" s="94" t="s">
        <v>1284</v>
      </c>
      <c r="BK277" s="94" t="s">
        <v>1284</v>
      </c>
      <c r="BL277" s="94" t="s">
        <v>2959</v>
      </c>
      <c r="BM277" s="94" t="s">
        <v>3222</v>
      </c>
      <c r="BN277" s="94" t="s">
        <v>3222</v>
      </c>
      <c r="BO277" s="94" t="s">
        <v>39</v>
      </c>
      <c r="BP277" s="94" t="s">
        <v>2108</v>
      </c>
      <c r="BQ277" s="94" t="s">
        <v>2168</v>
      </c>
      <c r="BR277" s="94" t="s">
        <v>1578</v>
      </c>
      <c r="BS277" s="94" t="s">
        <v>1578</v>
      </c>
      <c r="BT277" s="94"/>
    </row>
    <row r="278" spans="1:72" s="14" customFormat="1" ht="13.5" customHeight="1">
      <c r="A278" s="53" t="s">
        <v>114</v>
      </c>
      <c r="B278" s="48">
        <v>0.1</v>
      </c>
      <c r="C278" s="48">
        <v>0.1</v>
      </c>
      <c r="D278" s="48" t="s">
        <v>4861</v>
      </c>
      <c r="E278" s="48"/>
      <c r="F278" s="53" t="s">
        <v>114</v>
      </c>
      <c r="G278" s="48" t="s">
        <v>39</v>
      </c>
      <c r="H278" s="48" t="s">
        <v>39</v>
      </c>
      <c r="I278" s="48" t="s">
        <v>39</v>
      </c>
      <c r="J278" s="48">
        <v>0.1</v>
      </c>
      <c r="K278" s="48">
        <v>0.15</v>
      </c>
      <c r="L278" s="48" t="s">
        <v>39</v>
      </c>
      <c r="M278" s="131" t="s">
        <v>39</v>
      </c>
      <c r="N278" s="48">
        <v>0.1</v>
      </c>
      <c r="O278" s="48" t="s">
        <v>39</v>
      </c>
      <c r="P278" s="48" t="s">
        <v>39</v>
      </c>
      <c r="Q278" s="48" t="s">
        <v>39</v>
      </c>
      <c r="R278" s="48" t="s">
        <v>39</v>
      </c>
      <c r="S278" s="48" t="s">
        <v>39</v>
      </c>
      <c r="T278" s="48" t="s">
        <v>39</v>
      </c>
      <c r="U278" s="48" t="s">
        <v>39</v>
      </c>
      <c r="V278" s="48" t="s">
        <v>39</v>
      </c>
      <c r="W278" s="48" t="s">
        <v>39</v>
      </c>
      <c r="X278" s="48" t="s">
        <v>39</v>
      </c>
      <c r="Y278" s="48" t="s">
        <v>39</v>
      </c>
      <c r="Z278" s="131" t="s">
        <v>39</v>
      </c>
      <c r="AA278" s="131" t="s">
        <v>39</v>
      </c>
      <c r="AB278" s="131" t="s">
        <v>39</v>
      </c>
      <c r="AC278" s="48">
        <v>0.1</v>
      </c>
      <c r="AD278" s="48" t="s">
        <v>4006</v>
      </c>
      <c r="AE278" s="48" t="s">
        <v>4006</v>
      </c>
      <c r="AF278" s="48" t="s">
        <v>4006</v>
      </c>
      <c r="AG278" s="48" t="s">
        <v>4264</v>
      </c>
      <c r="AH278" s="48" t="s">
        <v>39</v>
      </c>
      <c r="AI278" s="48" t="s">
        <v>39</v>
      </c>
      <c r="AJ278" s="48" t="s">
        <v>39</v>
      </c>
      <c r="AK278" s="48" t="s">
        <v>39</v>
      </c>
      <c r="AL278" s="48">
        <v>0.1</v>
      </c>
      <c r="AM278" s="48">
        <v>0.1</v>
      </c>
      <c r="AN278" s="48" t="s">
        <v>39</v>
      </c>
      <c r="AO278" s="48">
        <v>0.1</v>
      </c>
      <c r="AP278" s="48">
        <v>0.1</v>
      </c>
      <c r="AQ278" s="48" t="s">
        <v>39</v>
      </c>
      <c r="AR278" s="48" t="s">
        <v>986</v>
      </c>
      <c r="AS278" s="48" t="s">
        <v>1001</v>
      </c>
      <c r="AT278" s="48" t="s">
        <v>3479</v>
      </c>
      <c r="AU278" s="48" t="s">
        <v>3479</v>
      </c>
      <c r="AV278" s="48" t="s">
        <v>3456</v>
      </c>
      <c r="AW278" s="48" t="s">
        <v>3456</v>
      </c>
      <c r="AX278" s="48" t="s">
        <v>39</v>
      </c>
      <c r="AY278" s="48" t="s">
        <v>39</v>
      </c>
      <c r="AZ278" s="48" t="s">
        <v>39</v>
      </c>
      <c r="BA278" s="48" t="s">
        <v>39</v>
      </c>
      <c r="BB278" s="48" t="s">
        <v>39</v>
      </c>
      <c r="BC278" s="48" t="s">
        <v>39</v>
      </c>
      <c r="BD278" s="48" t="s">
        <v>39</v>
      </c>
      <c r="BE278" s="48" t="s">
        <v>39</v>
      </c>
      <c r="BF278" s="48" t="s">
        <v>39</v>
      </c>
      <c r="BG278" s="48" t="s">
        <v>39</v>
      </c>
      <c r="BH278" s="48" t="s">
        <v>39</v>
      </c>
      <c r="BI278" s="48" t="s">
        <v>39</v>
      </c>
      <c r="BJ278" s="48" t="s">
        <v>39</v>
      </c>
      <c r="BK278" s="48" t="s">
        <v>39</v>
      </c>
      <c r="BL278" s="48" t="s">
        <v>39</v>
      </c>
      <c r="BM278" s="48" t="s">
        <v>39</v>
      </c>
      <c r="BN278" s="48" t="s">
        <v>39</v>
      </c>
      <c r="BO278" s="48" t="s">
        <v>39</v>
      </c>
      <c r="BP278" s="48" t="s">
        <v>39</v>
      </c>
      <c r="BQ278" s="48" t="s">
        <v>39</v>
      </c>
      <c r="BR278" s="48" t="s">
        <v>39</v>
      </c>
      <c r="BS278" s="48" t="s">
        <v>39</v>
      </c>
      <c r="BT278" s="48" t="s">
        <v>39</v>
      </c>
    </row>
    <row r="279" spans="1:72" s="2" customFormat="1" ht="9" customHeight="1">
      <c r="A279" s="95" t="s">
        <v>688</v>
      </c>
      <c r="B279" s="94" t="s">
        <v>4950</v>
      </c>
      <c r="C279" s="94" t="s">
        <v>5162</v>
      </c>
      <c r="D279" s="94" t="s">
        <v>4860</v>
      </c>
      <c r="E279" s="94"/>
      <c r="F279" s="95" t="s">
        <v>688</v>
      </c>
      <c r="G279" s="94"/>
      <c r="H279" s="94" t="s">
        <v>39</v>
      </c>
      <c r="I279" s="94" t="s">
        <v>39</v>
      </c>
      <c r="J279" s="94" t="s">
        <v>1925</v>
      </c>
      <c r="K279" s="94" t="s">
        <v>1926</v>
      </c>
      <c r="L279" s="94" t="s">
        <v>39</v>
      </c>
      <c r="M279" s="94" t="s">
        <v>39</v>
      </c>
      <c r="N279" s="94" t="s">
        <v>2709</v>
      </c>
      <c r="O279" s="94" t="s">
        <v>39</v>
      </c>
      <c r="P279" s="94" t="s">
        <v>39</v>
      </c>
      <c r="Q279" s="94" t="s">
        <v>39</v>
      </c>
      <c r="R279" s="94" t="s">
        <v>39</v>
      </c>
      <c r="S279" s="94" t="s">
        <v>39</v>
      </c>
      <c r="T279" s="94" t="s">
        <v>39</v>
      </c>
      <c r="U279" s="94" t="s">
        <v>39</v>
      </c>
      <c r="V279" s="94" t="s">
        <v>39</v>
      </c>
      <c r="W279" s="94" t="s">
        <v>39</v>
      </c>
      <c r="X279" s="94" t="s">
        <v>39</v>
      </c>
      <c r="Y279" s="94" t="s">
        <v>39</v>
      </c>
      <c r="Z279" s="94" t="s">
        <v>39</v>
      </c>
      <c r="AA279" s="94" t="s">
        <v>39</v>
      </c>
      <c r="AB279" s="94" t="s">
        <v>39</v>
      </c>
      <c r="AC279" s="94" t="s">
        <v>808</v>
      </c>
      <c r="AD279" s="94" t="s">
        <v>1381</v>
      </c>
      <c r="AE279" s="94" t="s">
        <v>1381</v>
      </c>
      <c r="AF279" s="94" t="s">
        <v>1381</v>
      </c>
      <c r="AG279" s="94"/>
      <c r="AH279" s="94" t="s">
        <v>39</v>
      </c>
      <c r="AI279" s="94" t="s">
        <v>39</v>
      </c>
      <c r="AJ279" s="94" t="s">
        <v>39</v>
      </c>
      <c r="AK279" s="94" t="s">
        <v>39</v>
      </c>
      <c r="AL279" s="94" t="s">
        <v>2248</v>
      </c>
      <c r="AM279" s="94" t="s">
        <v>1131</v>
      </c>
      <c r="AN279" s="94"/>
      <c r="AO279" s="94" t="s">
        <v>2454</v>
      </c>
      <c r="AP279" s="94" t="s">
        <v>2454</v>
      </c>
      <c r="AQ279" s="94" t="s">
        <v>39</v>
      </c>
      <c r="AR279" s="94" t="s">
        <v>3315</v>
      </c>
      <c r="AS279" s="94" t="s">
        <v>3314</v>
      </c>
      <c r="AT279" s="94" t="s">
        <v>3498</v>
      </c>
      <c r="AU279" s="94" t="s">
        <v>3498</v>
      </c>
      <c r="AV279" s="94" t="s">
        <v>3498</v>
      </c>
      <c r="AW279" s="94" t="s">
        <v>3498</v>
      </c>
      <c r="AX279" s="94"/>
      <c r="AY279" s="94"/>
      <c r="AZ279" s="94"/>
      <c r="BA279" s="94" t="s">
        <v>39</v>
      </c>
      <c r="BB279" s="94" t="s">
        <v>39</v>
      </c>
      <c r="BC279" s="94"/>
      <c r="BD279" s="94" t="s">
        <v>39</v>
      </c>
      <c r="BE279" s="94" t="s">
        <v>39</v>
      </c>
      <c r="BF279" s="94" t="s">
        <v>39</v>
      </c>
      <c r="BG279" s="94" t="s">
        <v>39</v>
      </c>
      <c r="BH279" s="94" t="s">
        <v>39</v>
      </c>
      <c r="BI279" s="94" t="s">
        <v>39</v>
      </c>
      <c r="BJ279" s="94" t="s">
        <v>39</v>
      </c>
      <c r="BK279" s="94" t="s">
        <v>39</v>
      </c>
      <c r="BL279" s="94" t="s">
        <v>39</v>
      </c>
      <c r="BM279" s="94" t="s">
        <v>39</v>
      </c>
      <c r="BN279" s="94" t="s">
        <v>39</v>
      </c>
      <c r="BO279" s="94" t="s">
        <v>39</v>
      </c>
      <c r="BP279" s="94" t="s">
        <v>39</v>
      </c>
      <c r="BQ279" s="94" t="s">
        <v>39</v>
      </c>
      <c r="BR279" s="94" t="s">
        <v>39</v>
      </c>
      <c r="BS279" s="94" t="s">
        <v>39</v>
      </c>
      <c r="BT279" s="94"/>
    </row>
    <row r="280" spans="1:72" s="14" customFormat="1" ht="13.5" customHeight="1">
      <c r="A280" s="53" t="s">
        <v>115</v>
      </c>
      <c r="B280" s="48">
        <v>0.2</v>
      </c>
      <c r="C280" s="48">
        <v>0.2</v>
      </c>
      <c r="D280" s="48" t="s">
        <v>4861</v>
      </c>
      <c r="E280" s="48"/>
      <c r="F280" s="53" t="s">
        <v>115</v>
      </c>
      <c r="G280" s="48" t="s">
        <v>39</v>
      </c>
      <c r="H280" s="48" t="s">
        <v>39</v>
      </c>
      <c r="I280" s="48" t="s">
        <v>39</v>
      </c>
      <c r="J280" s="48">
        <v>0.2</v>
      </c>
      <c r="K280" s="48">
        <v>0.25</v>
      </c>
      <c r="L280" s="48" t="s">
        <v>39</v>
      </c>
      <c r="M280" s="131" t="s">
        <v>39</v>
      </c>
      <c r="N280" s="48">
        <v>0.2</v>
      </c>
      <c r="O280" s="48" t="s">
        <v>39</v>
      </c>
      <c r="P280" s="48" t="s">
        <v>39</v>
      </c>
      <c r="Q280" s="48" t="s">
        <v>39</v>
      </c>
      <c r="R280" s="48" t="s">
        <v>39</v>
      </c>
      <c r="S280" s="48" t="s">
        <v>39</v>
      </c>
      <c r="T280" s="48" t="s">
        <v>39</v>
      </c>
      <c r="U280" s="48" t="s">
        <v>39</v>
      </c>
      <c r="V280" s="48" t="s">
        <v>39</v>
      </c>
      <c r="W280" s="48" t="s">
        <v>39</v>
      </c>
      <c r="X280" s="48" t="s">
        <v>39</v>
      </c>
      <c r="Y280" s="48" t="s">
        <v>39</v>
      </c>
      <c r="Z280" s="131" t="s">
        <v>39</v>
      </c>
      <c r="AA280" s="131" t="s">
        <v>39</v>
      </c>
      <c r="AB280" s="131" t="s">
        <v>39</v>
      </c>
      <c r="AC280" s="48">
        <v>0.2</v>
      </c>
      <c r="AD280" s="48" t="s">
        <v>4007</v>
      </c>
      <c r="AE280" s="48" t="s">
        <v>4007</v>
      </c>
      <c r="AF280" s="48" t="s">
        <v>4007</v>
      </c>
      <c r="AG280" s="48" t="s">
        <v>4264</v>
      </c>
      <c r="AH280" s="48" t="s">
        <v>39</v>
      </c>
      <c r="AI280" s="48" t="s">
        <v>39</v>
      </c>
      <c r="AJ280" s="48" t="s">
        <v>39</v>
      </c>
      <c r="AK280" s="48" t="s">
        <v>39</v>
      </c>
      <c r="AL280" s="48">
        <v>0.2</v>
      </c>
      <c r="AM280" s="48" t="s">
        <v>1132</v>
      </c>
      <c r="AN280" s="48" t="s">
        <v>39</v>
      </c>
      <c r="AO280" s="48">
        <v>0.2</v>
      </c>
      <c r="AP280" s="48">
        <v>0.2</v>
      </c>
      <c r="AQ280" s="48" t="s">
        <v>39</v>
      </c>
      <c r="AR280" s="48" t="s">
        <v>987</v>
      </c>
      <c r="AS280" s="48" t="s">
        <v>1002</v>
      </c>
      <c r="AT280" s="48" t="s">
        <v>3482</v>
      </c>
      <c r="AU280" s="48" t="s">
        <v>3482</v>
      </c>
      <c r="AV280" s="48" t="s">
        <v>3459</v>
      </c>
      <c r="AW280" s="48" t="s">
        <v>3459</v>
      </c>
      <c r="AX280" s="48" t="s">
        <v>39</v>
      </c>
      <c r="AY280" s="48" t="s">
        <v>39</v>
      </c>
      <c r="AZ280" s="48" t="s">
        <v>39</v>
      </c>
      <c r="BA280" s="48" t="s">
        <v>39</v>
      </c>
      <c r="BB280" s="48" t="s">
        <v>39</v>
      </c>
      <c r="BC280" s="48" t="s">
        <v>39</v>
      </c>
      <c r="BD280" s="48" t="s">
        <v>39</v>
      </c>
      <c r="BE280" s="48" t="s">
        <v>39</v>
      </c>
      <c r="BF280" s="48" t="s">
        <v>39</v>
      </c>
      <c r="BG280" s="48" t="s">
        <v>39</v>
      </c>
      <c r="BH280" s="48" t="s">
        <v>39</v>
      </c>
      <c r="BI280" s="48" t="s">
        <v>39</v>
      </c>
      <c r="BJ280" s="48" t="s">
        <v>39</v>
      </c>
      <c r="BK280" s="48" t="s">
        <v>39</v>
      </c>
      <c r="BL280" s="48" t="s">
        <v>39</v>
      </c>
      <c r="BM280" s="48" t="s">
        <v>39</v>
      </c>
      <c r="BN280" s="48" t="s">
        <v>39</v>
      </c>
      <c r="BO280" s="48" t="s">
        <v>39</v>
      </c>
      <c r="BP280" s="48" t="s">
        <v>39</v>
      </c>
      <c r="BQ280" s="48" t="s">
        <v>39</v>
      </c>
      <c r="BR280" s="48" t="s">
        <v>39</v>
      </c>
      <c r="BS280" s="48" t="s">
        <v>39</v>
      </c>
      <c r="BT280" s="48" t="s">
        <v>39</v>
      </c>
    </row>
    <row r="281" spans="1:72" s="2" customFormat="1" ht="9" customHeight="1">
      <c r="A281" s="95" t="s">
        <v>688</v>
      </c>
      <c r="B281" s="94" t="s">
        <v>4950</v>
      </c>
      <c r="C281" s="94" t="s">
        <v>5162</v>
      </c>
      <c r="D281" s="94" t="s">
        <v>4860</v>
      </c>
      <c r="E281" s="94"/>
      <c r="F281" s="95" t="s">
        <v>688</v>
      </c>
      <c r="G281" s="94"/>
      <c r="H281" s="94" t="s">
        <v>39</v>
      </c>
      <c r="I281" s="94" t="s">
        <v>39</v>
      </c>
      <c r="J281" s="94" t="s">
        <v>1925</v>
      </c>
      <c r="K281" s="94" t="s">
        <v>1926</v>
      </c>
      <c r="L281" s="94" t="s">
        <v>39</v>
      </c>
      <c r="M281" s="94" t="s">
        <v>39</v>
      </c>
      <c r="N281" s="94" t="s">
        <v>2709</v>
      </c>
      <c r="O281" s="94" t="s">
        <v>39</v>
      </c>
      <c r="P281" s="94" t="s">
        <v>39</v>
      </c>
      <c r="Q281" s="94" t="s">
        <v>39</v>
      </c>
      <c r="R281" s="94" t="s">
        <v>39</v>
      </c>
      <c r="S281" s="94" t="s">
        <v>39</v>
      </c>
      <c r="T281" s="94" t="s">
        <v>39</v>
      </c>
      <c r="U281" s="94" t="s">
        <v>39</v>
      </c>
      <c r="V281" s="94" t="s">
        <v>39</v>
      </c>
      <c r="W281" s="94" t="s">
        <v>39</v>
      </c>
      <c r="X281" s="94" t="s">
        <v>39</v>
      </c>
      <c r="Y281" s="94" t="s">
        <v>39</v>
      </c>
      <c r="Z281" s="94" t="s">
        <v>39</v>
      </c>
      <c r="AA281" s="94" t="s">
        <v>39</v>
      </c>
      <c r="AB281" s="94" t="s">
        <v>39</v>
      </c>
      <c r="AC281" s="94" t="s">
        <v>808</v>
      </c>
      <c r="AD281" s="94" t="s">
        <v>1381</v>
      </c>
      <c r="AE281" s="94" t="s">
        <v>1381</v>
      </c>
      <c r="AF281" s="94" t="s">
        <v>1381</v>
      </c>
      <c r="AG281" s="94"/>
      <c r="AH281" s="94" t="s">
        <v>39</v>
      </c>
      <c r="AI281" s="94" t="s">
        <v>39</v>
      </c>
      <c r="AJ281" s="94" t="s">
        <v>39</v>
      </c>
      <c r="AK281" s="94" t="s">
        <v>39</v>
      </c>
      <c r="AL281" s="94" t="s">
        <v>2248</v>
      </c>
      <c r="AM281" s="94" t="s">
        <v>1131</v>
      </c>
      <c r="AN281" s="94"/>
      <c r="AO281" s="94" t="s">
        <v>2454</v>
      </c>
      <c r="AP281" s="94" t="s">
        <v>2454</v>
      </c>
      <c r="AQ281" s="94" t="s">
        <v>39</v>
      </c>
      <c r="AR281" s="94" t="s">
        <v>3315</v>
      </c>
      <c r="AS281" s="94" t="s">
        <v>3314</v>
      </c>
      <c r="AT281" s="94" t="s">
        <v>3498</v>
      </c>
      <c r="AU281" s="94" t="s">
        <v>3498</v>
      </c>
      <c r="AV281" s="94" t="s">
        <v>3498</v>
      </c>
      <c r="AW281" s="94" t="s">
        <v>3498</v>
      </c>
      <c r="AX281" s="94"/>
      <c r="AY281" s="94"/>
      <c r="AZ281" s="94"/>
      <c r="BA281" s="94" t="s">
        <v>39</v>
      </c>
      <c r="BB281" s="94" t="s">
        <v>39</v>
      </c>
      <c r="BC281" s="94"/>
      <c r="BD281" s="94" t="s">
        <v>39</v>
      </c>
      <c r="BE281" s="94" t="s">
        <v>39</v>
      </c>
      <c r="BF281" s="94" t="s">
        <v>39</v>
      </c>
      <c r="BG281" s="94" t="s">
        <v>39</v>
      </c>
      <c r="BH281" s="94" t="s">
        <v>39</v>
      </c>
      <c r="BI281" s="94" t="s">
        <v>39</v>
      </c>
      <c r="BJ281" s="94" t="s">
        <v>39</v>
      </c>
      <c r="BK281" s="94" t="s">
        <v>39</v>
      </c>
      <c r="BL281" s="94" t="s">
        <v>39</v>
      </c>
      <c r="BM281" s="94" t="s">
        <v>39</v>
      </c>
      <c r="BN281" s="94" t="s">
        <v>39</v>
      </c>
      <c r="BO281" s="94" t="s">
        <v>39</v>
      </c>
      <c r="BP281" s="94" t="s">
        <v>39</v>
      </c>
      <c r="BQ281" s="94" t="s">
        <v>39</v>
      </c>
      <c r="BR281" s="94" t="s">
        <v>39</v>
      </c>
      <c r="BS281" s="94" t="s">
        <v>39</v>
      </c>
      <c r="BT281" s="94"/>
    </row>
    <row r="282" spans="1:72" s="14" customFormat="1" ht="13.5" customHeight="1">
      <c r="A282" s="53" t="s">
        <v>116</v>
      </c>
      <c r="B282" s="48">
        <v>0.25</v>
      </c>
      <c r="C282" s="48">
        <v>0.25</v>
      </c>
      <c r="D282" s="48" t="s">
        <v>4861</v>
      </c>
      <c r="E282" s="48"/>
      <c r="F282" s="53" t="s">
        <v>116</v>
      </c>
      <c r="G282" s="48" t="s">
        <v>39</v>
      </c>
      <c r="H282" s="48" t="s">
        <v>39</v>
      </c>
      <c r="I282" s="48" t="s">
        <v>39</v>
      </c>
      <c r="J282" s="48">
        <v>0.25</v>
      </c>
      <c r="K282" s="48">
        <v>0.3</v>
      </c>
      <c r="L282" s="48" t="s">
        <v>39</v>
      </c>
      <c r="M282" s="131" t="s">
        <v>39</v>
      </c>
      <c r="N282" s="48">
        <v>0.25</v>
      </c>
      <c r="O282" s="48" t="s">
        <v>39</v>
      </c>
      <c r="P282" s="48" t="s">
        <v>39</v>
      </c>
      <c r="Q282" s="48" t="s">
        <v>39</v>
      </c>
      <c r="R282" s="48" t="s">
        <v>39</v>
      </c>
      <c r="S282" s="48" t="s">
        <v>39</v>
      </c>
      <c r="T282" s="48" t="s">
        <v>39</v>
      </c>
      <c r="U282" s="48" t="s">
        <v>39</v>
      </c>
      <c r="V282" s="48" t="s">
        <v>39</v>
      </c>
      <c r="W282" s="48" t="s">
        <v>39</v>
      </c>
      <c r="X282" s="48" t="s">
        <v>39</v>
      </c>
      <c r="Y282" s="48" t="s">
        <v>39</v>
      </c>
      <c r="Z282" s="131" t="s">
        <v>39</v>
      </c>
      <c r="AA282" s="131" t="s">
        <v>39</v>
      </c>
      <c r="AB282" s="131" t="s">
        <v>39</v>
      </c>
      <c r="AC282" s="48" t="s">
        <v>39</v>
      </c>
      <c r="AD282" s="48" t="s">
        <v>4007</v>
      </c>
      <c r="AE282" s="48" t="s">
        <v>4007</v>
      </c>
      <c r="AF282" s="48" t="s">
        <v>4007</v>
      </c>
      <c r="AG282" s="48" t="s">
        <v>4264</v>
      </c>
      <c r="AH282" s="48" t="s">
        <v>39</v>
      </c>
      <c r="AI282" s="48" t="s">
        <v>39</v>
      </c>
      <c r="AJ282" s="48" t="s">
        <v>39</v>
      </c>
      <c r="AK282" s="48" t="s">
        <v>39</v>
      </c>
      <c r="AL282" s="48">
        <v>0.25</v>
      </c>
      <c r="AM282" s="48">
        <v>0.1</v>
      </c>
      <c r="AN282" s="48" t="s">
        <v>39</v>
      </c>
      <c r="AO282" s="48">
        <v>0.25</v>
      </c>
      <c r="AP282" s="48">
        <v>0.25</v>
      </c>
      <c r="AQ282" s="48" t="s">
        <v>39</v>
      </c>
      <c r="AR282" s="48" t="s">
        <v>985</v>
      </c>
      <c r="AS282" s="48" t="s">
        <v>1000</v>
      </c>
      <c r="AT282" s="48" t="s">
        <v>3480</v>
      </c>
      <c r="AU282" s="48" t="s">
        <v>3480</v>
      </c>
      <c r="AV282" s="48" t="s">
        <v>3458</v>
      </c>
      <c r="AW282" s="48" t="s">
        <v>3458</v>
      </c>
      <c r="AX282" s="48" t="s">
        <v>39</v>
      </c>
      <c r="AY282" s="48" t="s">
        <v>39</v>
      </c>
      <c r="AZ282" s="48" t="s">
        <v>39</v>
      </c>
      <c r="BA282" s="48" t="s">
        <v>39</v>
      </c>
      <c r="BB282" s="48" t="s">
        <v>39</v>
      </c>
      <c r="BC282" s="48" t="s">
        <v>39</v>
      </c>
      <c r="BD282" s="48" t="s">
        <v>39</v>
      </c>
      <c r="BE282" s="48" t="s">
        <v>39</v>
      </c>
      <c r="BF282" s="48" t="s">
        <v>39</v>
      </c>
      <c r="BG282" s="48" t="s">
        <v>39</v>
      </c>
      <c r="BH282" s="48" t="s">
        <v>39</v>
      </c>
      <c r="BI282" s="48" t="s">
        <v>39</v>
      </c>
      <c r="BJ282" s="48" t="s">
        <v>39</v>
      </c>
      <c r="BK282" s="48" t="s">
        <v>39</v>
      </c>
      <c r="BL282" s="48" t="s">
        <v>39</v>
      </c>
      <c r="BM282" s="48" t="s">
        <v>39</v>
      </c>
      <c r="BN282" s="48" t="s">
        <v>39</v>
      </c>
      <c r="BO282" s="48" t="s">
        <v>39</v>
      </c>
      <c r="BP282" s="48" t="s">
        <v>39</v>
      </c>
      <c r="BQ282" s="48" t="s">
        <v>39</v>
      </c>
      <c r="BR282" s="48" t="s">
        <v>39</v>
      </c>
      <c r="BS282" s="48" t="s">
        <v>39</v>
      </c>
      <c r="BT282" s="48" t="s">
        <v>39</v>
      </c>
    </row>
    <row r="283" spans="1:72" s="2" customFormat="1" ht="9" customHeight="1">
      <c r="A283" s="95" t="s">
        <v>688</v>
      </c>
      <c r="B283" s="94" t="s">
        <v>4950</v>
      </c>
      <c r="C283" s="94" t="s">
        <v>5162</v>
      </c>
      <c r="D283" s="94" t="s">
        <v>4860</v>
      </c>
      <c r="E283" s="94"/>
      <c r="F283" s="95" t="s">
        <v>688</v>
      </c>
      <c r="G283" s="94"/>
      <c r="H283" s="94" t="s">
        <v>39</v>
      </c>
      <c r="I283" s="94" t="s">
        <v>39</v>
      </c>
      <c r="J283" s="94" t="s">
        <v>1925</v>
      </c>
      <c r="K283" s="94" t="s">
        <v>1926</v>
      </c>
      <c r="L283" s="94" t="s">
        <v>39</v>
      </c>
      <c r="M283" s="94" t="s">
        <v>39</v>
      </c>
      <c r="N283" s="94" t="s">
        <v>2709</v>
      </c>
      <c r="O283" s="94" t="s">
        <v>39</v>
      </c>
      <c r="P283" s="94" t="s">
        <v>39</v>
      </c>
      <c r="Q283" s="94" t="s">
        <v>39</v>
      </c>
      <c r="R283" s="94" t="s">
        <v>39</v>
      </c>
      <c r="S283" s="94" t="s">
        <v>39</v>
      </c>
      <c r="T283" s="94" t="s">
        <v>39</v>
      </c>
      <c r="U283" s="94" t="s">
        <v>39</v>
      </c>
      <c r="V283" s="94" t="s">
        <v>39</v>
      </c>
      <c r="W283" s="94" t="s">
        <v>39</v>
      </c>
      <c r="X283" s="94" t="s">
        <v>39</v>
      </c>
      <c r="Y283" s="94" t="s">
        <v>39</v>
      </c>
      <c r="Z283" s="94" t="s">
        <v>39</v>
      </c>
      <c r="AA283" s="94" t="s">
        <v>39</v>
      </c>
      <c r="AB283" s="94" t="s">
        <v>39</v>
      </c>
      <c r="AC283" s="94" t="s">
        <v>39</v>
      </c>
      <c r="AD283" s="94" t="s">
        <v>1381</v>
      </c>
      <c r="AE283" s="94" t="s">
        <v>1381</v>
      </c>
      <c r="AF283" s="94" t="s">
        <v>1381</v>
      </c>
      <c r="AG283" s="94"/>
      <c r="AH283" s="94" t="s">
        <v>39</v>
      </c>
      <c r="AI283" s="94" t="s">
        <v>39</v>
      </c>
      <c r="AJ283" s="94" t="s">
        <v>39</v>
      </c>
      <c r="AK283" s="94" t="s">
        <v>39</v>
      </c>
      <c r="AL283" s="94" t="s">
        <v>2248</v>
      </c>
      <c r="AM283" s="94" t="s">
        <v>1131</v>
      </c>
      <c r="AN283" s="94"/>
      <c r="AO283" s="94" t="s">
        <v>2454</v>
      </c>
      <c r="AP283" s="94" t="s">
        <v>2454</v>
      </c>
      <c r="AQ283" s="94" t="s">
        <v>39</v>
      </c>
      <c r="AR283" s="94" t="s">
        <v>3315</v>
      </c>
      <c r="AS283" s="94" t="s">
        <v>3314</v>
      </c>
      <c r="AT283" s="94" t="s">
        <v>3498</v>
      </c>
      <c r="AU283" s="94" t="s">
        <v>3498</v>
      </c>
      <c r="AV283" s="94" t="s">
        <v>3498</v>
      </c>
      <c r="AW283" s="94" t="s">
        <v>3498</v>
      </c>
      <c r="AX283" s="94"/>
      <c r="AY283" s="94"/>
      <c r="AZ283" s="94"/>
      <c r="BA283" s="94" t="s">
        <v>39</v>
      </c>
      <c r="BB283" s="94" t="s">
        <v>39</v>
      </c>
      <c r="BC283" s="94"/>
      <c r="BD283" s="94" t="s">
        <v>39</v>
      </c>
      <c r="BE283" s="94" t="s">
        <v>39</v>
      </c>
      <c r="BF283" s="94" t="s">
        <v>39</v>
      </c>
      <c r="BG283" s="94" t="s">
        <v>39</v>
      </c>
      <c r="BH283" s="94" t="s">
        <v>39</v>
      </c>
      <c r="BI283" s="94" t="s">
        <v>39</v>
      </c>
      <c r="BJ283" s="94" t="s">
        <v>39</v>
      </c>
      <c r="BK283" s="94" t="s">
        <v>39</v>
      </c>
      <c r="BL283" s="94" t="s">
        <v>39</v>
      </c>
      <c r="BM283" s="94" t="s">
        <v>39</v>
      </c>
      <c r="BN283" s="94" t="s">
        <v>39</v>
      </c>
      <c r="BO283" s="94" t="s">
        <v>39</v>
      </c>
      <c r="BP283" s="94" t="s">
        <v>39</v>
      </c>
      <c r="BQ283" s="94" t="s">
        <v>39</v>
      </c>
      <c r="BR283" s="94" t="s">
        <v>39</v>
      </c>
      <c r="BS283" s="94" t="s">
        <v>39</v>
      </c>
      <c r="BT283" s="94"/>
    </row>
    <row r="284" spans="1:72" s="14" customFormat="1" ht="13.5" customHeight="1">
      <c r="A284" s="53" t="s">
        <v>117</v>
      </c>
      <c r="B284" s="48">
        <v>0.5</v>
      </c>
      <c r="C284" s="48">
        <v>0.5</v>
      </c>
      <c r="D284" s="48" t="s">
        <v>4861</v>
      </c>
      <c r="E284" s="48"/>
      <c r="F284" s="53" t="s">
        <v>117</v>
      </c>
      <c r="G284" s="48" t="s">
        <v>39</v>
      </c>
      <c r="H284" s="48" t="s">
        <v>39</v>
      </c>
      <c r="I284" s="48" t="s">
        <v>39</v>
      </c>
      <c r="J284" s="48">
        <v>0.5</v>
      </c>
      <c r="K284" s="48">
        <v>0.55000000000000004</v>
      </c>
      <c r="L284" s="48" t="s">
        <v>39</v>
      </c>
      <c r="M284" s="131" t="s">
        <v>39</v>
      </c>
      <c r="N284" s="48">
        <v>0.5</v>
      </c>
      <c r="O284" s="48" t="s">
        <v>39</v>
      </c>
      <c r="P284" s="48" t="s">
        <v>39</v>
      </c>
      <c r="Q284" s="48" t="s">
        <v>39</v>
      </c>
      <c r="R284" s="48" t="s">
        <v>39</v>
      </c>
      <c r="S284" s="48" t="s">
        <v>39</v>
      </c>
      <c r="T284" s="48" t="s">
        <v>39</v>
      </c>
      <c r="U284" s="48" t="s">
        <v>39</v>
      </c>
      <c r="V284" s="48" t="s">
        <v>39</v>
      </c>
      <c r="W284" s="48" t="s">
        <v>39</v>
      </c>
      <c r="X284" s="48" t="s">
        <v>39</v>
      </c>
      <c r="Y284" s="48" t="s">
        <v>39</v>
      </c>
      <c r="Z284" s="131" t="s">
        <v>39</v>
      </c>
      <c r="AA284" s="131" t="s">
        <v>39</v>
      </c>
      <c r="AB284" s="131">
        <v>0.3</v>
      </c>
      <c r="AC284" s="48">
        <v>0.5</v>
      </c>
      <c r="AD284" s="48" t="s">
        <v>4008</v>
      </c>
      <c r="AE284" s="48" t="s">
        <v>4008</v>
      </c>
      <c r="AF284" s="48" t="s">
        <v>4008</v>
      </c>
      <c r="AG284" s="48" t="s">
        <v>4264</v>
      </c>
      <c r="AH284" s="48" t="s">
        <v>39</v>
      </c>
      <c r="AI284" s="48" t="s">
        <v>39</v>
      </c>
      <c r="AJ284" s="48" t="s">
        <v>39</v>
      </c>
      <c r="AK284" s="48" t="s">
        <v>39</v>
      </c>
      <c r="AL284" s="48">
        <v>0.5</v>
      </c>
      <c r="AM284" s="48" t="s">
        <v>1133</v>
      </c>
      <c r="AN284" s="48" t="s">
        <v>39</v>
      </c>
      <c r="AO284" s="48">
        <v>0.5</v>
      </c>
      <c r="AP284" s="48">
        <v>0.5</v>
      </c>
      <c r="AQ284" s="48" t="s">
        <v>39</v>
      </c>
      <c r="AR284" s="48" t="s">
        <v>988</v>
      </c>
      <c r="AS284" s="48" t="s">
        <v>1003</v>
      </c>
      <c r="AT284" s="48" t="s">
        <v>3481</v>
      </c>
      <c r="AU284" s="48" t="s">
        <v>3481</v>
      </c>
      <c r="AV284" s="48" t="s">
        <v>3460</v>
      </c>
      <c r="AW284" s="48" t="s">
        <v>3460</v>
      </c>
      <c r="AX284" s="48" t="s">
        <v>39</v>
      </c>
      <c r="AY284" s="48" t="s">
        <v>39</v>
      </c>
      <c r="AZ284" s="48" t="s">
        <v>39</v>
      </c>
      <c r="BA284" s="48" t="s">
        <v>39</v>
      </c>
      <c r="BB284" s="48" t="s">
        <v>39</v>
      </c>
      <c r="BC284" s="48" t="s">
        <v>39</v>
      </c>
      <c r="BD284" s="48" t="s">
        <v>39</v>
      </c>
      <c r="BE284" s="48" t="s">
        <v>39</v>
      </c>
      <c r="BF284" s="48" t="s">
        <v>39</v>
      </c>
      <c r="BG284" s="48" t="s">
        <v>39</v>
      </c>
      <c r="BH284" s="48" t="s">
        <v>39</v>
      </c>
      <c r="BI284" s="48" t="s">
        <v>39</v>
      </c>
      <c r="BJ284" s="48" t="s">
        <v>39</v>
      </c>
      <c r="BK284" s="48" t="s">
        <v>39</v>
      </c>
      <c r="BL284" s="48" t="s">
        <v>39</v>
      </c>
      <c r="BM284" s="48" t="s">
        <v>39</v>
      </c>
      <c r="BN284" s="48" t="s">
        <v>39</v>
      </c>
      <c r="BO284" s="48" t="s">
        <v>39</v>
      </c>
      <c r="BP284" s="48" t="s">
        <v>39</v>
      </c>
      <c r="BQ284" s="48" t="s">
        <v>39</v>
      </c>
      <c r="BR284" s="48" t="s">
        <v>39</v>
      </c>
      <c r="BS284" s="48" t="s">
        <v>39</v>
      </c>
      <c r="BT284" s="48" t="s">
        <v>39</v>
      </c>
    </row>
    <row r="285" spans="1:72" s="2" customFormat="1" ht="9" customHeight="1">
      <c r="A285" s="95" t="s">
        <v>688</v>
      </c>
      <c r="B285" s="94" t="s">
        <v>4950</v>
      </c>
      <c r="C285" s="94" t="s">
        <v>5162</v>
      </c>
      <c r="D285" s="94" t="s">
        <v>4860</v>
      </c>
      <c r="E285" s="94"/>
      <c r="F285" s="95" t="s">
        <v>688</v>
      </c>
      <c r="G285" s="94"/>
      <c r="H285" s="94" t="s">
        <v>39</v>
      </c>
      <c r="I285" s="94" t="s">
        <v>39</v>
      </c>
      <c r="J285" s="94" t="s">
        <v>1925</v>
      </c>
      <c r="K285" s="94" t="s">
        <v>1926</v>
      </c>
      <c r="L285" s="94" t="s">
        <v>39</v>
      </c>
      <c r="M285" s="94" t="s">
        <v>39</v>
      </c>
      <c r="N285" s="94" t="s">
        <v>2709</v>
      </c>
      <c r="O285" s="94" t="s">
        <v>39</v>
      </c>
      <c r="P285" s="94" t="s">
        <v>39</v>
      </c>
      <c r="Q285" s="94" t="s">
        <v>39</v>
      </c>
      <c r="R285" s="94" t="s">
        <v>39</v>
      </c>
      <c r="S285" s="94" t="s">
        <v>39</v>
      </c>
      <c r="T285" s="94" t="s">
        <v>39</v>
      </c>
      <c r="U285" s="94" t="s">
        <v>39</v>
      </c>
      <c r="V285" s="94" t="s">
        <v>39</v>
      </c>
      <c r="W285" s="94" t="s">
        <v>39</v>
      </c>
      <c r="X285" s="94" t="s">
        <v>39</v>
      </c>
      <c r="Y285" s="94" t="s">
        <v>39</v>
      </c>
      <c r="Z285" s="94" t="s">
        <v>39</v>
      </c>
      <c r="AA285" s="94" t="s">
        <v>39</v>
      </c>
      <c r="AB285" s="94" t="s">
        <v>4085</v>
      </c>
      <c r="AC285" s="94" t="s">
        <v>808</v>
      </c>
      <c r="AD285" s="94" t="s">
        <v>1381</v>
      </c>
      <c r="AE285" s="94" t="s">
        <v>1381</v>
      </c>
      <c r="AF285" s="94" t="s">
        <v>1381</v>
      </c>
      <c r="AG285" s="94"/>
      <c r="AH285" s="94" t="s">
        <v>39</v>
      </c>
      <c r="AI285" s="94" t="s">
        <v>39</v>
      </c>
      <c r="AJ285" s="94" t="s">
        <v>39</v>
      </c>
      <c r="AK285" s="94" t="s">
        <v>39</v>
      </c>
      <c r="AL285" s="94" t="s">
        <v>2248</v>
      </c>
      <c r="AM285" s="94" t="s">
        <v>1131</v>
      </c>
      <c r="AN285" s="94"/>
      <c r="AO285" s="94" t="s">
        <v>2454</v>
      </c>
      <c r="AP285" s="94" t="s">
        <v>2454</v>
      </c>
      <c r="AQ285" s="94" t="s">
        <v>39</v>
      </c>
      <c r="AR285" s="94" t="s">
        <v>3315</v>
      </c>
      <c r="AS285" s="94" t="s">
        <v>3314</v>
      </c>
      <c r="AT285" s="94" t="s">
        <v>3498</v>
      </c>
      <c r="AU285" s="94" t="s">
        <v>3498</v>
      </c>
      <c r="AV285" s="94" t="s">
        <v>3498</v>
      </c>
      <c r="AW285" s="94" t="s">
        <v>3498</v>
      </c>
      <c r="AX285" s="94"/>
      <c r="AY285" s="94"/>
      <c r="AZ285" s="94"/>
      <c r="BA285" s="94" t="s">
        <v>39</v>
      </c>
      <c r="BB285" s="94" t="s">
        <v>39</v>
      </c>
      <c r="BC285" s="94"/>
      <c r="BD285" s="94" t="s">
        <v>39</v>
      </c>
      <c r="BE285" s="94" t="s">
        <v>39</v>
      </c>
      <c r="BF285" s="94" t="s">
        <v>39</v>
      </c>
      <c r="BG285" s="94" t="s">
        <v>39</v>
      </c>
      <c r="BH285" s="94" t="s">
        <v>39</v>
      </c>
      <c r="BI285" s="94" t="s">
        <v>39</v>
      </c>
      <c r="BJ285" s="94" t="s">
        <v>39</v>
      </c>
      <c r="BK285" s="94" t="s">
        <v>39</v>
      </c>
      <c r="BL285" s="94" t="s">
        <v>39</v>
      </c>
      <c r="BM285" s="94" t="s">
        <v>39</v>
      </c>
      <c r="BN285" s="94" t="s">
        <v>39</v>
      </c>
      <c r="BO285" s="94" t="s">
        <v>39</v>
      </c>
      <c r="BP285" s="94" t="s">
        <v>39</v>
      </c>
      <c r="BQ285" s="94" t="s">
        <v>39</v>
      </c>
      <c r="BR285" s="94" t="s">
        <v>39</v>
      </c>
      <c r="BS285" s="94" t="s">
        <v>39</v>
      </c>
      <c r="BT285" s="94"/>
    </row>
    <row r="286" spans="1:72" s="14" customFormat="1" ht="9" customHeight="1">
      <c r="A286" s="154"/>
      <c r="B286" s="73"/>
      <c r="C286" s="73"/>
      <c r="D286" s="73"/>
      <c r="E286" s="184"/>
      <c r="F286" s="154"/>
      <c r="G286" s="184"/>
      <c r="H286" s="184"/>
      <c r="I286" s="184"/>
      <c r="J286" s="184"/>
      <c r="K286" s="184"/>
      <c r="L286" s="184"/>
      <c r="M286" s="184"/>
      <c r="N286" s="184"/>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184"/>
      <c r="AR286" s="184"/>
      <c r="AS286" s="184"/>
      <c r="AT286" s="184"/>
      <c r="AU286" s="184"/>
      <c r="AV286" s="184"/>
      <c r="AW286" s="184"/>
      <c r="AX286" s="184"/>
      <c r="AY286" s="184"/>
      <c r="AZ286" s="184"/>
      <c r="BA286" s="184"/>
      <c r="BB286" s="184"/>
      <c r="BC286" s="184"/>
      <c r="BD286" s="184"/>
      <c r="BE286" s="184"/>
      <c r="BF286" s="184"/>
      <c r="BG286" s="184"/>
      <c r="BH286" s="184"/>
      <c r="BI286" s="184"/>
      <c r="BJ286" s="184"/>
      <c r="BK286" s="184"/>
      <c r="BL286" s="184"/>
      <c r="BM286" s="184"/>
      <c r="BN286" s="184"/>
      <c r="BO286" s="184"/>
      <c r="BP286" s="184"/>
      <c r="BQ286" s="184"/>
      <c r="BR286" s="184"/>
      <c r="BS286" s="184"/>
      <c r="BT286" s="184"/>
    </row>
    <row r="287" spans="1:72" s="2" customFormat="1" ht="13.5" customHeight="1">
      <c r="A287" s="66" t="s">
        <v>6091</v>
      </c>
      <c r="B287" s="202" t="str">
        <f>B1</f>
        <v xml:space="preserve">Interlloyd Premium Plus </v>
      </c>
      <c r="C287" s="202" t="str">
        <f>C1</f>
        <v xml:space="preserve">Interlloyd Premium Plus HB </v>
      </c>
      <c r="D287" s="202" t="str">
        <f>D1</f>
        <v>Interlloyd Protect</v>
      </c>
      <c r="E287" s="140"/>
      <c r="F287" s="66" t="s">
        <v>6091</v>
      </c>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66"/>
      <c r="AK287" s="66"/>
      <c r="AL287" s="66"/>
      <c r="AM287" s="66"/>
      <c r="AN287" s="66"/>
      <c r="AO287" s="66"/>
      <c r="AP287" s="66"/>
      <c r="AQ287" s="66"/>
      <c r="AR287" s="66"/>
      <c r="AS287" s="66"/>
      <c r="AT287" s="66"/>
      <c r="AU287" s="66"/>
      <c r="AV287" s="66"/>
      <c r="AW287" s="66"/>
      <c r="AX287" s="66"/>
      <c r="AY287" s="66"/>
      <c r="AZ287" s="66"/>
      <c r="BA287" s="66"/>
      <c r="BB287" s="66"/>
      <c r="BC287" s="66"/>
      <c r="BD287" s="66"/>
      <c r="BE287" s="66"/>
      <c r="BF287" s="66"/>
      <c r="BG287" s="66"/>
      <c r="BH287" s="66"/>
      <c r="BI287" s="66"/>
      <c r="BJ287" s="66"/>
      <c r="BK287" s="66"/>
      <c r="BL287" s="66"/>
      <c r="BM287" s="66"/>
      <c r="BN287" s="66"/>
      <c r="BO287" s="66"/>
      <c r="BP287" s="66"/>
      <c r="BQ287" s="66"/>
      <c r="BR287" s="66"/>
      <c r="BS287" s="66"/>
      <c r="BT287" s="66"/>
    </row>
    <row r="288" spans="1:72">
      <c r="A288" s="53" t="s">
        <v>4775</v>
      </c>
      <c r="B288" s="48" t="s">
        <v>41</v>
      </c>
      <c r="C288" s="48" t="s">
        <v>41</v>
      </c>
      <c r="D288" s="48" t="s">
        <v>4424</v>
      </c>
      <c r="E288" s="48"/>
      <c r="F288" s="53" t="s">
        <v>4775</v>
      </c>
      <c r="BO288" s="200"/>
      <c r="BP288" s="200"/>
    </row>
    <row r="289" spans="1:72" ht="9" customHeight="1">
      <c r="A289" s="95" t="s">
        <v>688</v>
      </c>
      <c r="B289" s="94" t="s">
        <v>5074</v>
      </c>
      <c r="C289" s="94" t="s">
        <v>5074</v>
      </c>
      <c r="D289" s="94" t="s">
        <v>4912</v>
      </c>
      <c r="E289" s="94"/>
      <c r="F289" s="95" t="s">
        <v>688</v>
      </c>
      <c r="BO289" s="200"/>
      <c r="BP289" s="200"/>
    </row>
    <row r="290" spans="1:72" ht="18">
      <c r="A290" s="53" t="s">
        <v>5370</v>
      </c>
      <c r="B290" s="48" t="s">
        <v>5371</v>
      </c>
      <c r="C290" s="48" t="s">
        <v>5371</v>
      </c>
      <c r="D290" s="48" t="s">
        <v>5371</v>
      </c>
      <c r="E290" s="48"/>
      <c r="F290" s="53" t="s">
        <v>5370</v>
      </c>
      <c r="BO290" s="200"/>
      <c r="BP290" s="200"/>
    </row>
    <row r="291" spans="1:72" ht="9" customHeight="1">
      <c r="A291" s="95" t="s">
        <v>688</v>
      </c>
      <c r="B291" s="94" t="s">
        <v>5374</v>
      </c>
      <c r="C291" s="94" t="s">
        <v>5374</v>
      </c>
      <c r="D291" s="94" t="s">
        <v>5372</v>
      </c>
      <c r="E291" s="94"/>
      <c r="F291" s="95" t="s">
        <v>688</v>
      </c>
      <c r="BO291" s="200"/>
      <c r="BP291" s="200"/>
    </row>
    <row r="292" spans="1:72" ht="18">
      <c r="A292" s="53" t="s">
        <v>5373</v>
      </c>
      <c r="B292" s="48" t="s">
        <v>5375</v>
      </c>
      <c r="C292" s="48" t="s">
        <v>5375</v>
      </c>
      <c r="D292" s="48" t="s">
        <v>5371</v>
      </c>
      <c r="E292" s="48"/>
      <c r="F292" s="53" t="s">
        <v>5373</v>
      </c>
      <c r="BO292" s="200"/>
      <c r="BP292" s="200"/>
    </row>
    <row r="293" spans="1:72" ht="9" customHeight="1">
      <c r="A293" s="95" t="s">
        <v>688</v>
      </c>
      <c r="B293" s="94" t="s">
        <v>5376</v>
      </c>
      <c r="C293" s="94" t="s">
        <v>5376</v>
      </c>
      <c r="D293" s="94" t="s">
        <v>5372</v>
      </c>
      <c r="E293" s="94"/>
      <c r="F293" s="95" t="s">
        <v>688</v>
      </c>
      <c r="BO293" s="200"/>
      <c r="BP293" s="200"/>
    </row>
    <row r="294" spans="1:72" ht="9" customHeight="1">
      <c r="A294" s="11"/>
      <c r="B294" s="204"/>
      <c r="C294" s="204"/>
      <c r="D294" s="204"/>
      <c r="E294" s="246"/>
    </row>
    <row r="295" spans="1:72">
      <c r="A295" s="176" t="s">
        <v>73</v>
      </c>
      <c r="B295" s="202" t="str">
        <f>B1</f>
        <v xml:space="preserve">Interlloyd Premium Plus </v>
      </c>
      <c r="C295" s="202" t="str">
        <f>C1</f>
        <v xml:space="preserve">Interlloyd Premium Plus HB </v>
      </c>
      <c r="D295" s="202" t="str">
        <f>D1</f>
        <v>Interlloyd Protect</v>
      </c>
      <c r="E295" s="140"/>
      <c r="F295" s="66" t="s">
        <v>73</v>
      </c>
      <c r="BO295" s="200"/>
      <c r="BP295" s="200"/>
    </row>
    <row r="296" spans="1:72" s="14" customFormat="1" ht="27">
      <c r="A296" s="53" t="s">
        <v>5343</v>
      </c>
      <c r="B296" s="54" t="s">
        <v>5344</v>
      </c>
      <c r="C296" s="54" t="s">
        <v>5344</v>
      </c>
      <c r="D296" s="244" t="s">
        <v>5345</v>
      </c>
      <c r="E296" s="54"/>
      <c r="F296" s="53" t="s">
        <v>35</v>
      </c>
      <c r="G296" s="73" t="s">
        <v>39</v>
      </c>
      <c r="H296" s="73" t="s">
        <v>496</v>
      </c>
      <c r="I296" s="73" t="s">
        <v>496</v>
      </c>
      <c r="J296" s="73" t="s">
        <v>41</v>
      </c>
      <c r="K296" s="73" t="s">
        <v>41</v>
      </c>
      <c r="L296" s="54" t="s">
        <v>41</v>
      </c>
      <c r="M296" s="123" t="s">
        <v>2043</v>
      </c>
      <c r="N296" s="73" t="s">
        <v>496</v>
      </c>
      <c r="O296" s="73" t="s">
        <v>496</v>
      </c>
      <c r="P296" s="73" t="s">
        <v>496</v>
      </c>
      <c r="Q296" s="73" t="s">
        <v>394</v>
      </c>
      <c r="R296" s="73" t="s">
        <v>394</v>
      </c>
      <c r="S296" s="54" t="s">
        <v>930</v>
      </c>
      <c r="T296" s="54" t="s">
        <v>39</v>
      </c>
      <c r="U296" s="73" t="s">
        <v>39</v>
      </c>
      <c r="V296" s="73" t="s">
        <v>39</v>
      </c>
      <c r="W296" s="73" t="s">
        <v>39</v>
      </c>
      <c r="X296" s="73" t="s">
        <v>39</v>
      </c>
      <c r="Y296" s="73" t="s">
        <v>394</v>
      </c>
      <c r="Z296" s="81" t="s">
        <v>394</v>
      </c>
      <c r="AA296" s="81" t="s">
        <v>394</v>
      </c>
      <c r="AB296" s="81" t="s">
        <v>394</v>
      </c>
      <c r="AC296" s="73" t="s">
        <v>394</v>
      </c>
      <c r="AD296" s="73" t="s">
        <v>394</v>
      </c>
      <c r="AE296" s="73" t="s">
        <v>394</v>
      </c>
      <c r="AF296" s="73" t="s">
        <v>394</v>
      </c>
      <c r="AG296" s="73" t="s">
        <v>4209</v>
      </c>
      <c r="AH296" s="73" t="s">
        <v>41</v>
      </c>
      <c r="AI296" s="54" t="s">
        <v>759</v>
      </c>
      <c r="AJ296" s="54" t="s">
        <v>759</v>
      </c>
      <c r="AK296" s="54" t="s">
        <v>759</v>
      </c>
      <c r="AL296" s="54" t="s">
        <v>759</v>
      </c>
      <c r="AM296" s="54" t="s">
        <v>41</v>
      </c>
      <c r="AN296" s="73" t="s">
        <v>39</v>
      </c>
      <c r="AO296" s="73" t="s">
        <v>41</v>
      </c>
      <c r="AP296" s="73" t="s">
        <v>41</v>
      </c>
      <c r="AQ296" s="73" t="s">
        <v>41</v>
      </c>
      <c r="AR296" s="73" t="s">
        <v>41</v>
      </c>
      <c r="AS296" s="73" t="s">
        <v>41</v>
      </c>
      <c r="AT296" s="73" t="s">
        <v>496</v>
      </c>
      <c r="AU296" s="73" t="s">
        <v>496</v>
      </c>
      <c r="AV296" s="73" t="s">
        <v>496</v>
      </c>
      <c r="AW296" s="73" t="s">
        <v>496</v>
      </c>
      <c r="AX296" s="73" t="s">
        <v>39</v>
      </c>
      <c r="AY296" s="73" t="s">
        <v>496</v>
      </c>
      <c r="AZ296" s="73" t="s">
        <v>496</v>
      </c>
      <c r="BA296" s="73" t="s">
        <v>542</v>
      </c>
      <c r="BB296" s="73" t="s">
        <v>542</v>
      </c>
      <c r="BC296" s="73" t="s">
        <v>39</v>
      </c>
      <c r="BD296" s="73" t="s">
        <v>496</v>
      </c>
      <c r="BE296" s="54" t="s">
        <v>1247</v>
      </c>
      <c r="BF296" s="73" t="s">
        <v>39</v>
      </c>
      <c r="BG296" s="73" t="s">
        <v>496</v>
      </c>
      <c r="BH296" s="73" t="s">
        <v>41</v>
      </c>
      <c r="BI296" s="73" t="s">
        <v>41</v>
      </c>
      <c r="BJ296" s="54" t="s">
        <v>1377</v>
      </c>
      <c r="BK296" s="54" t="s">
        <v>1377</v>
      </c>
      <c r="BL296" s="54" t="s">
        <v>792</v>
      </c>
      <c r="BM296" s="54" t="s">
        <v>39</v>
      </c>
      <c r="BN296" s="54" t="s">
        <v>39</v>
      </c>
      <c r="BO296" s="54" t="s">
        <v>39</v>
      </c>
      <c r="BP296" s="54" t="s">
        <v>39</v>
      </c>
      <c r="BQ296" s="73" t="s">
        <v>448</v>
      </c>
      <c r="BR296" s="54" t="s">
        <v>930</v>
      </c>
      <c r="BS296" s="54" t="s">
        <v>930</v>
      </c>
      <c r="BT296" s="73" t="s">
        <v>448</v>
      </c>
    </row>
    <row r="297" spans="1:72" s="2" customFormat="1" ht="9" customHeight="1">
      <c r="A297" s="95" t="s">
        <v>688</v>
      </c>
      <c r="B297" s="94" t="s">
        <v>5661</v>
      </c>
      <c r="C297" s="94" t="s">
        <v>5661</v>
      </c>
      <c r="D297" s="94" t="s">
        <v>4903</v>
      </c>
      <c r="E297" s="94"/>
      <c r="F297" s="95" t="s">
        <v>688</v>
      </c>
      <c r="G297" s="94"/>
      <c r="H297" s="94" t="s">
        <v>1408</v>
      </c>
      <c r="I297" s="94" t="s">
        <v>1408</v>
      </c>
      <c r="J297" s="94" t="s">
        <v>2011</v>
      </c>
      <c r="K297" s="94" t="s">
        <v>2011</v>
      </c>
      <c r="L297" s="94"/>
      <c r="M297" s="94" t="s">
        <v>2042</v>
      </c>
      <c r="N297" s="94" t="s">
        <v>1408</v>
      </c>
      <c r="O297" s="94" t="s">
        <v>1408</v>
      </c>
      <c r="P297" s="94" t="s">
        <v>1408</v>
      </c>
      <c r="Q297" s="94" t="s">
        <v>2898</v>
      </c>
      <c r="R297" s="94" t="s">
        <v>2898</v>
      </c>
      <c r="S297" s="94" t="s">
        <v>1408</v>
      </c>
      <c r="T297" s="94" t="s">
        <v>2829</v>
      </c>
      <c r="U297" s="94" t="s">
        <v>3849</v>
      </c>
      <c r="V297" s="94" t="s">
        <v>3849</v>
      </c>
      <c r="W297" s="94" t="s">
        <v>1659</v>
      </c>
      <c r="X297" s="94" t="s">
        <v>39</v>
      </c>
      <c r="Y297" s="94" t="s">
        <v>1408</v>
      </c>
      <c r="Z297" s="94" t="s">
        <v>4122</v>
      </c>
      <c r="AA297" s="94" t="s">
        <v>4122</v>
      </c>
      <c r="AB297" s="94" t="s">
        <v>4122</v>
      </c>
      <c r="AC297" s="94" t="s">
        <v>836</v>
      </c>
      <c r="AD297" s="94" t="s">
        <v>3983</v>
      </c>
      <c r="AE297" s="94" t="s">
        <v>3983</v>
      </c>
      <c r="AF297" s="94" t="s">
        <v>3983</v>
      </c>
      <c r="AG297" s="94"/>
      <c r="AH297" s="94" t="s">
        <v>2763</v>
      </c>
      <c r="AI297" s="94" t="s">
        <v>2426</v>
      </c>
      <c r="AJ297" s="94" t="s">
        <v>2395</v>
      </c>
      <c r="AK297" s="94" t="s">
        <v>2352</v>
      </c>
      <c r="AL297" s="94" t="s">
        <v>2285</v>
      </c>
      <c r="AM297" s="94" t="s">
        <v>1167</v>
      </c>
      <c r="AN297" s="94"/>
      <c r="AO297" s="94" t="s">
        <v>2563</v>
      </c>
      <c r="AP297" s="94" t="s">
        <v>2563</v>
      </c>
      <c r="AQ297" s="94" t="s">
        <v>2586</v>
      </c>
      <c r="AR297" s="94" t="s">
        <v>1167</v>
      </c>
      <c r="AS297" s="94" t="s">
        <v>1167</v>
      </c>
      <c r="AT297" s="94" t="s">
        <v>3560</v>
      </c>
      <c r="AU297" s="94" t="s">
        <v>3560</v>
      </c>
      <c r="AV297" s="94" t="s">
        <v>3560</v>
      </c>
      <c r="AW297" s="94" t="s">
        <v>3560</v>
      </c>
      <c r="AX297" s="94"/>
      <c r="AY297" s="94"/>
      <c r="AZ297" s="94"/>
      <c r="BA297" s="94" t="s">
        <v>1136</v>
      </c>
      <c r="BB297" s="94" t="s">
        <v>1136</v>
      </c>
      <c r="BC297" s="94"/>
      <c r="BD297" s="94" t="s">
        <v>2898</v>
      </c>
      <c r="BE297" s="94" t="s">
        <v>1248</v>
      </c>
      <c r="BF297" s="94" t="s">
        <v>39</v>
      </c>
      <c r="BG297" s="94" t="s">
        <v>2873</v>
      </c>
      <c r="BH297" s="94" t="s">
        <v>39</v>
      </c>
      <c r="BI297" s="94" t="s">
        <v>39</v>
      </c>
      <c r="BJ297" s="94" t="s">
        <v>1378</v>
      </c>
      <c r="BK297" s="94" t="s">
        <v>1378</v>
      </c>
      <c r="BL297" s="94" t="s">
        <v>2973</v>
      </c>
      <c r="BM297" s="94" t="s">
        <v>3261</v>
      </c>
      <c r="BN297" s="94" t="s">
        <v>3261</v>
      </c>
      <c r="BO297" s="91" t="s">
        <v>2158</v>
      </c>
      <c r="BP297" s="91" t="s">
        <v>2158</v>
      </c>
      <c r="BQ297" s="94" t="s">
        <v>2208</v>
      </c>
      <c r="BR297" s="94" t="s">
        <v>1642</v>
      </c>
      <c r="BS297" s="94" t="s">
        <v>1642</v>
      </c>
      <c r="BT297" s="94"/>
    </row>
    <row r="298" spans="1:72" s="14" customFormat="1" ht="18">
      <c r="A298" s="53" t="s">
        <v>5348</v>
      </c>
      <c r="B298" s="54" t="s">
        <v>5131</v>
      </c>
      <c r="C298" s="54" t="s">
        <v>5131</v>
      </c>
      <c r="D298" s="54" t="s">
        <v>39</v>
      </c>
      <c r="E298" s="54"/>
      <c r="F298" s="58" t="s">
        <v>60</v>
      </c>
      <c r="G298" s="54" t="s">
        <v>87</v>
      </c>
      <c r="H298" s="54" t="s">
        <v>470</v>
      </c>
      <c r="I298" s="54" t="s">
        <v>470</v>
      </c>
      <c r="J298" s="54" t="s">
        <v>39</v>
      </c>
      <c r="K298" s="54" t="s">
        <v>39</v>
      </c>
      <c r="L298" s="54" t="s">
        <v>39</v>
      </c>
      <c r="M298" s="123" t="s">
        <v>2101</v>
      </c>
      <c r="N298" s="54" t="s">
        <v>39</v>
      </c>
      <c r="O298" s="54" t="s">
        <v>39</v>
      </c>
      <c r="P298" s="54" t="s">
        <v>39</v>
      </c>
      <c r="Q298" s="54" t="s">
        <v>39</v>
      </c>
      <c r="R298" s="54" t="s">
        <v>39</v>
      </c>
      <c r="S298" s="54" t="s">
        <v>39</v>
      </c>
      <c r="T298" s="54" t="s">
        <v>39</v>
      </c>
      <c r="U298" s="54" t="s">
        <v>39</v>
      </c>
      <c r="V298" s="54" t="s">
        <v>39</v>
      </c>
      <c r="W298" s="54" t="s">
        <v>1653</v>
      </c>
      <c r="X298" s="54" t="s">
        <v>39</v>
      </c>
      <c r="Y298" s="54" t="s">
        <v>39</v>
      </c>
      <c r="Z298" s="123" t="s">
        <v>39</v>
      </c>
      <c r="AA298" s="123" t="s">
        <v>39</v>
      </c>
      <c r="AB298" s="123" t="s">
        <v>39</v>
      </c>
      <c r="AC298" s="54" t="s">
        <v>819</v>
      </c>
      <c r="AD298" s="54" t="s">
        <v>39</v>
      </c>
      <c r="AE298" s="54" t="s">
        <v>470</v>
      </c>
      <c r="AF298" s="54" t="s">
        <v>3912</v>
      </c>
      <c r="AG298" s="54" t="s">
        <v>3679</v>
      </c>
      <c r="AH298" s="54" t="s">
        <v>3679</v>
      </c>
      <c r="AI298" s="54" t="s">
        <v>2394</v>
      </c>
      <c r="AJ298" s="54" t="s">
        <v>2394</v>
      </c>
      <c r="AK298" s="54" t="s">
        <v>2350</v>
      </c>
      <c r="AL298" s="54" t="s">
        <v>719</v>
      </c>
      <c r="AM298" s="54" t="s">
        <v>39</v>
      </c>
      <c r="AN298" s="54" t="s">
        <v>50</v>
      </c>
      <c r="AO298" s="54" t="s">
        <v>2562</v>
      </c>
      <c r="AP298" s="54" t="s">
        <v>2525</v>
      </c>
      <c r="AQ298" s="73" t="s">
        <v>39</v>
      </c>
      <c r="AR298" s="54" t="s">
        <v>470</v>
      </c>
      <c r="AS298" s="54" t="s">
        <v>87</v>
      </c>
      <c r="AT298" s="54" t="s">
        <v>120</v>
      </c>
      <c r="AU298" s="54" t="s">
        <v>3608</v>
      </c>
      <c r="AV298" s="54" t="s">
        <v>3436</v>
      </c>
      <c r="AW298" s="54" t="s">
        <v>3443</v>
      </c>
      <c r="AX298" s="54" t="s">
        <v>39</v>
      </c>
      <c r="AY298" s="54" t="s">
        <v>46</v>
      </c>
      <c r="AZ298" s="54" t="s">
        <v>39</v>
      </c>
      <c r="BA298" s="54" t="s">
        <v>1489</v>
      </c>
      <c r="BB298" s="54" t="s">
        <v>1489</v>
      </c>
      <c r="BC298" s="54" t="s">
        <v>39</v>
      </c>
      <c r="BD298" s="54" t="s">
        <v>39</v>
      </c>
      <c r="BE298" s="54" t="s">
        <v>3386</v>
      </c>
      <c r="BF298" s="48" t="s">
        <v>39</v>
      </c>
      <c r="BG298" s="54" t="s">
        <v>39</v>
      </c>
      <c r="BH298" s="54" t="s">
        <v>870</v>
      </c>
      <c r="BI298" s="54" t="s">
        <v>870</v>
      </c>
      <c r="BJ298" s="54" t="s">
        <v>1341</v>
      </c>
      <c r="BK298" s="54" t="s">
        <v>1341</v>
      </c>
      <c r="BL298" s="54" t="s">
        <v>2982</v>
      </c>
      <c r="BM298" s="54" t="s">
        <v>39</v>
      </c>
      <c r="BN298" s="54" t="s">
        <v>39</v>
      </c>
      <c r="BO298" s="54" t="s">
        <v>614</v>
      </c>
      <c r="BP298" s="54" t="s">
        <v>614</v>
      </c>
      <c r="BQ298" s="54" t="s">
        <v>2166</v>
      </c>
      <c r="BR298" s="54" t="s">
        <v>39</v>
      </c>
      <c r="BS298" s="54" t="s">
        <v>39</v>
      </c>
      <c r="BT298" s="54" t="s">
        <v>39</v>
      </c>
    </row>
    <row r="299" spans="1:72" s="2" customFormat="1" ht="9" customHeight="1">
      <c r="A299" s="95" t="s">
        <v>688</v>
      </c>
      <c r="B299" s="94" t="s">
        <v>5132</v>
      </c>
      <c r="C299" s="94" t="s">
        <v>5132</v>
      </c>
      <c r="D299" s="94" t="s">
        <v>39</v>
      </c>
      <c r="E299" s="94"/>
      <c r="F299" s="95" t="s">
        <v>688</v>
      </c>
      <c r="G299" s="94"/>
      <c r="H299" s="94" t="s">
        <v>3163</v>
      </c>
      <c r="I299" s="94" t="s">
        <v>3162</v>
      </c>
      <c r="J299" s="94" t="s">
        <v>39</v>
      </c>
      <c r="K299" s="94" t="s">
        <v>39</v>
      </c>
      <c r="L299" s="94"/>
      <c r="M299" s="94" t="s">
        <v>2032</v>
      </c>
      <c r="N299" s="94" t="s">
        <v>39</v>
      </c>
      <c r="O299" s="94" t="s">
        <v>39</v>
      </c>
      <c r="P299" s="94" t="s">
        <v>39</v>
      </c>
      <c r="Q299" s="94" t="s">
        <v>39</v>
      </c>
      <c r="R299" s="94" t="s">
        <v>39</v>
      </c>
      <c r="S299" s="94" t="s">
        <v>39</v>
      </c>
      <c r="T299" s="94" t="s">
        <v>39</v>
      </c>
      <c r="U299" s="94" t="s">
        <v>39</v>
      </c>
      <c r="V299" s="94" t="s">
        <v>39</v>
      </c>
      <c r="W299" s="94" t="s">
        <v>1652</v>
      </c>
      <c r="X299" s="94" t="s">
        <v>39</v>
      </c>
      <c r="Y299" s="94" t="s">
        <v>39</v>
      </c>
      <c r="Z299" s="94" t="s">
        <v>39</v>
      </c>
      <c r="AA299" s="94" t="s">
        <v>39</v>
      </c>
      <c r="AB299" s="94" t="s">
        <v>39</v>
      </c>
      <c r="AC299" s="94" t="s">
        <v>820</v>
      </c>
      <c r="AD299" s="94" t="s">
        <v>39</v>
      </c>
      <c r="AE299" s="94" t="s">
        <v>3913</v>
      </c>
      <c r="AF299" s="94" t="s">
        <v>3914</v>
      </c>
      <c r="AG299" s="94" t="s">
        <v>4203</v>
      </c>
      <c r="AH299" s="94" t="s">
        <v>3678</v>
      </c>
      <c r="AI299" s="94" t="s">
        <v>2425</v>
      </c>
      <c r="AJ299" s="94" t="s">
        <v>2393</v>
      </c>
      <c r="AK299" s="94" t="s">
        <v>2351</v>
      </c>
      <c r="AL299" s="94" t="s">
        <v>2284</v>
      </c>
      <c r="AM299" s="94" t="s">
        <v>39</v>
      </c>
      <c r="AN299" s="94"/>
      <c r="AO299" s="94" t="s">
        <v>2561</v>
      </c>
      <c r="AP299" s="94" t="s">
        <v>2526</v>
      </c>
      <c r="AQ299" s="94" t="s">
        <v>39</v>
      </c>
      <c r="AR299" s="94" t="s">
        <v>3357</v>
      </c>
      <c r="AS299" s="94" t="s">
        <v>3310</v>
      </c>
      <c r="AT299" s="94" t="s">
        <v>3589</v>
      </c>
      <c r="AU299" s="94" t="s">
        <v>3607</v>
      </c>
      <c r="AV299" s="94" t="s">
        <v>3536</v>
      </c>
      <c r="AW299" s="94" t="s">
        <v>3553</v>
      </c>
      <c r="AX299" s="94"/>
      <c r="AY299" s="94"/>
      <c r="AZ299" s="94"/>
      <c r="BA299" s="94" t="s">
        <v>1488</v>
      </c>
      <c r="BB299" s="94" t="s">
        <v>1488</v>
      </c>
      <c r="BC299" s="94"/>
      <c r="BD299" s="94" t="s">
        <v>39</v>
      </c>
      <c r="BE299" s="94" t="s">
        <v>1885</v>
      </c>
      <c r="BF299" s="94" t="s">
        <v>39</v>
      </c>
      <c r="BG299" s="94" t="s">
        <v>39</v>
      </c>
      <c r="BH299" s="94" t="s">
        <v>2926</v>
      </c>
      <c r="BI299" s="94" t="s">
        <v>2926</v>
      </c>
      <c r="BJ299" s="94" t="s">
        <v>1340</v>
      </c>
      <c r="BK299" s="94" t="s">
        <v>1340</v>
      </c>
      <c r="BL299" s="94" t="s">
        <v>2981</v>
      </c>
      <c r="BM299" s="94" t="s">
        <v>39</v>
      </c>
      <c r="BN299" s="94" t="s">
        <v>39</v>
      </c>
      <c r="BO299" s="94" t="s">
        <v>2151</v>
      </c>
      <c r="BP299" s="94" t="s">
        <v>2151</v>
      </c>
      <c r="BQ299" s="94" t="s">
        <v>2220</v>
      </c>
      <c r="BR299" s="94" t="s">
        <v>39</v>
      </c>
      <c r="BS299" s="94" t="s">
        <v>39</v>
      </c>
      <c r="BT299" s="94"/>
    </row>
    <row r="300" spans="1:72" s="14" customFormat="1" ht="18">
      <c r="A300" s="58" t="s">
        <v>5135</v>
      </c>
      <c r="B300" s="54" t="s">
        <v>5138</v>
      </c>
      <c r="C300" s="54" t="s">
        <v>5138</v>
      </c>
      <c r="D300" s="54" t="s">
        <v>39</v>
      </c>
      <c r="E300" s="54"/>
      <c r="F300" s="58" t="s">
        <v>5139</v>
      </c>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c r="AH300" s="73"/>
      <c r="AI300" s="73"/>
      <c r="AJ300" s="73"/>
      <c r="AK300" s="73"/>
      <c r="AL300" s="73"/>
      <c r="AM300" s="73"/>
      <c r="AN300" s="73"/>
      <c r="AO300" s="73"/>
      <c r="AP300" s="73"/>
      <c r="AQ300" s="73"/>
      <c r="AR300" s="73"/>
      <c r="AS300" s="73"/>
      <c r="AT300" s="73"/>
      <c r="AU300" s="73"/>
      <c r="AV300" s="73"/>
      <c r="AW300" s="73"/>
      <c r="AX300" s="73"/>
      <c r="AY300" s="73"/>
      <c r="AZ300" s="73"/>
      <c r="BA300" s="73"/>
      <c r="BB300" s="73"/>
      <c r="BC300" s="73"/>
      <c r="BD300" s="73"/>
      <c r="BE300" s="73"/>
      <c r="BF300" s="73"/>
      <c r="BG300" s="73"/>
      <c r="BH300" s="73"/>
      <c r="BI300" s="73"/>
      <c r="BJ300" s="73"/>
      <c r="BK300" s="73"/>
      <c r="BL300" s="73"/>
      <c r="BM300" s="73"/>
      <c r="BN300" s="73"/>
      <c r="BO300" s="73"/>
      <c r="BP300" s="73"/>
      <c r="BQ300" s="73"/>
      <c r="BR300" s="73"/>
      <c r="BS300" s="73"/>
      <c r="BT300" s="73"/>
    </row>
    <row r="301" spans="1:72" s="2" customFormat="1" ht="9" customHeight="1">
      <c r="A301" s="95" t="s">
        <v>688</v>
      </c>
      <c r="B301" s="94" t="s">
        <v>5137</v>
      </c>
      <c r="C301" s="94" t="s">
        <v>5137</v>
      </c>
      <c r="D301" s="94" t="s">
        <v>39</v>
      </c>
      <c r="E301" s="94"/>
      <c r="F301" s="95" t="s">
        <v>688</v>
      </c>
      <c r="G301" s="94"/>
      <c r="H301" s="94"/>
      <c r="I301" s="94"/>
      <c r="J301" s="94"/>
      <c r="K301" s="94"/>
      <c r="L301" s="94"/>
      <c r="M301" s="94"/>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4"/>
      <c r="AL301" s="94"/>
      <c r="AM301" s="94"/>
      <c r="AN301" s="94"/>
      <c r="AO301" s="94"/>
      <c r="AP301" s="94"/>
      <c r="AQ301" s="94"/>
      <c r="AR301" s="94"/>
      <c r="AS301" s="94"/>
      <c r="AT301" s="94"/>
      <c r="AU301" s="94"/>
      <c r="AV301" s="94"/>
      <c r="AW301" s="94"/>
      <c r="AX301" s="94"/>
      <c r="AY301" s="94"/>
      <c r="AZ301" s="94"/>
      <c r="BA301" s="94"/>
      <c r="BB301" s="94"/>
      <c r="BC301" s="94"/>
      <c r="BD301" s="94"/>
      <c r="BE301" s="94"/>
      <c r="BF301" s="94"/>
      <c r="BG301" s="94"/>
      <c r="BH301" s="94"/>
      <c r="BI301" s="94"/>
      <c r="BJ301" s="94"/>
      <c r="BK301" s="94"/>
      <c r="BL301" s="94"/>
      <c r="BM301" s="94"/>
      <c r="BN301" s="94"/>
      <c r="BO301" s="94"/>
      <c r="BP301" s="94"/>
      <c r="BQ301" s="94"/>
      <c r="BR301" s="94"/>
      <c r="BS301" s="94"/>
      <c r="BT301" s="94"/>
    </row>
    <row r="302" spans="1:72" s="2" customFormat="1" ht="18">
      <c r="A302" s="53" t="s">
        <v>5352</v>
      </c>
      <c r="B302" s="54" t="s">
        <v>39</v>
      </c>
      <c r="C302" s="54" t="s">
        <v>39</v>
      </c>
      <c r="D302" s="54" t="s">
        <v>39</v>
      </c>
      <c r="E302" s="54"/>
      <c r="F302" s="53" t="s">
        <v>5352</v>
      </c>
      <c r="G302" s="53"/>
      <c r="H302" s="53"/>
      <c r="I302" s="53"/>
      <c r="J302" s="53"/>
      <c r="K302" s="53"/>
      <c r="L302" s="53"/>
      <c r="M302" s="53"/>
      <c r="N302" s="53"/>
      <c r="O302" s="53"/>
      <c r="P302" s="53"/>
      <c r="Q302" s="53"/>
      <c r="R302" s="53"/>
      <c r="S302" s="53"/>
      <c r="T302" s="53"/>
      <c r="U302" s="53"/>
      <c r="V302" s="53"/>
      <c r="W302" s="53"/>
      <c r="X302" s="53"/>
      <c r="Y302" s="53"/>
      <c r="Z302" s="53"/>
      <c r="AA302" s="53"/>
      <c r="AB302" s="53"/>
      <c r="AC302" s="53"/>
      <c r="AD302" s="53"/>
      <c r="AE302" s="53"/>
      <c r="AF302" s="53"/>
      <c r="AG302" s="53"/>
      <c r="AH302" s="53"/>
      <c r="AI302" s="53"/>
      <c r="AJ302" s="53"/>
      <c r="AK302" s="53"/>
      <c r="AL302" s="53"/>
      <c r="AM302" s="53"/>
      <c r="AN302" s="53"/>
      <c r="AO302" s="53"/>
      <c r="AP302" s="53"/>
      <c r="AQ302" s="53"/>
      <c r="AR302" s="53"/>
      <c r="AS302" s="53"/>
      <c r="AT302" s="53"/>
      <c r="AU302" s="53"/>
      <c r="AV302" s="53"/>
      <c r="AW302" s="53"/>
      <c r="AX302" s="53"/>
      <c r="AY302" s="53"/>
      <c r="AZ302" s="53"/>
      <c r="BA302" s="53"/>
      <c r="BB302" s="53"/>
      <c r="BC302" s="53"/>
      <c r="BD302" s="53"/>
      <c r="BE302" s="53"/>
      <c r="BF302" s="53"/>
      <c r="BG302" s="53"/>
      <c r="BH302" s="53"/>
      <c r="BI302" s="53"/>
      <c r="BJ302" s="53"/>
      <c r="BK302" s="53"/>
      <c r="BL302" s="53"/>
      <c r="BM302" s="53"/>
      <c r="BN302" s="53"/>
      <c r="BO302" s="53"/>
      <c r="BP302" s="53"/>
      <c r="BQ302" s="53"/>
      <c r="BR302" s="53"/>
      <c r="BS302" s="53"/>
      <c r="BT302" s="53"/>
    </row>
    <row r="303" spans="1:72" s="2" customFormat="1" ht="9" customHeight="1">
      <c r="A303" s="95" t="s">
        <v>688</v>
      </c>
      <c r="B303" s="94" t="s">
        <v>39</v>
      </c>
      <c r="C303" s="94" t="s">
        <v>39</v>
      </c>
      <c r="D303" s="94" t="s">
        <v>39</v>
      </c>
      <c r="E303" s="94"/>
      <c r="F303" s="95" t="s">
        <v>688</v>
      </c>
      <c r="G303" s="94"/>
      <c r="H303" s="94"/>
      <c r="I303" s="94"/>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4"/>
      <c r="AO303" s="94"/>
      <c r="AP303" s="94"/>
      <c r="AQ303" s="94"/>
      <c r="AR303" s="94"/>
      <c r="AS303" s="94"/>
      <c r="AT303" s="94"/>
      <c r="AU303" s="94"/>
      <c r="AV303" s="94"/>
      <c r="AW303" s="94"/>
      <c r="AX303" s="94"/>
      <c r="AY303" s="94"/>
      <c r="AZ303" s="94"/>
      <c r="BA303" s="94"/>
      <c r="BB303" s="94"/>
      <c r="BC303" s="94"/>
      <c r="BD303" s="94"/>
      <c r="BE303" s="94"/>
      <c r="BF303" s="94"/>
      <c r="BG303" s="94"/>
      <c r="BH303" s="94"/>
      <c r="BI303" s="94"/>
      <c r="BJ303" s="94"/>
      <c r="BK303" s="94"/>
      <c r="BL303" s="94"/>
      <c r="BM303" s="94"/>
      <c r="BN303" s="94"/>
      <c r="BO303" s="94"/>
      <c r="BP303" s="94"/>
      <c r="BQ303" s="94"/>
      <c r="BR303" s="94"/>
      <c r="BS303" s="94"/>
      <c r="BT303" s="94"/>
    </row>
    <row r="304" spans="1:72" s="192" customFormat="1" ht="36">
      <c r="A304" s="53" t="s">
        <v>5354</v>
      </c>
      <c r="B304" s="54" t="s">
        <v>5030</v>
      </c>
      <c r="C304" s="54" t="s">
        <v>5030</v>
      </c>
      <c r="D304" s="54" t="s">
        <v>639</v>
      </c>
      <c r="E304" s="54"/>
      <c r="F304" s="53" t="s">
        <v>5034</v>
      </c>
      <c r="G304" s="188" t="s">
        <v>39</v>
      </c>
      <c r="H304" s="188" t="s">
        <v>619</v>
      </c>
      <c r="I304" s="188" t="s">
        <v>653</v>
      </c>
      <c r="J304" s="188" t="s">
        <v>1923</v>
      </c>
      <c r="K304" s="188" t="s">
        <v>1924</v>
      </c>
      <c r="L304" s="188" t="s">
        <v>653</v>
      </c>
      <c r="M304" s="188" t="s">
        <v>619</v>
      </c>
      <c r="N304" s="188" t="s">
        <v>639</v>
      </c>
      <c r="O304" s="188" t="s">
        <v>640</v>
      </c>
      <c r="P304" s="188" t="s">
        <v>640</v>
      </c>
      <c r="Q304" s="188" t="s">
        <v>619</v>
      </c>
      <c r="R304" s="188" t="s">
        <v>619</v>
      </c>
      <c r="S304" s="188" t="s">
        <v>39</v>
      </c>
      <c r="T304" s="188" t="s">
        <v>619</v>
      </c>
      <c r="U304" s="188" t="s">
        <v>619</v>
      </c>
      <c r="V304" s="188" t="s">
        <v>619</v>
      </c>
      <c r="W304" s="188" t="s">
        <v>619</v>
      </c>
      <c r="X304" s="188" t="s">
        <v>1397</v>
      </c>
      <c r="Y304" s="188" t="s">
        <v>619</v>
      </c>
      <c r="Z304" s="188" t="s">
        <v>619</v>
      </c>
      <c r="AA304" s="188" t="s">
        <v>619</v>
      </c>
      <c r="AB304" s="188" t="s">
        <v>619</v>
      </c>
      <c r="AC304" s="188" t="s">
        <v>619</v>
      </c>
      <c r="AD304" s="188" t="s">
        <v>619</v>
      </c>
      <c r="AE304" s="188" t="s">
        <v>619</v>
      </c>
      <c r="AF304" s="188" t="s">
        <v>640</v>
      </c>
      <c r="AG304" s="188" t="s">
        <v>619</v>
      </c>
      <c r="AH304" s="188" t="s">
        <v>619</v>
      </c>
      <c r="AI304" s="188" t="s">
        <v>619</v>
      </c>
      <c r="AJ304" s="188" t="s">
        <v>619</v>
      </c>
      <c r="AK304" s="188" t="s">
        <v>619</v>
      </c>
      <c r="AL304" s="188" t="s">
        <v>642</v>
      </c>
      <c r="AM304" s="188" t="s">
        <v>1137</v>
      </c>
      <c r="AN304" s="188" t="s">
        <v>619</v>
      </c>
      <c r="AO304" s="188" t="s">
        <v>639</v>
      </c>
      <c r="AP304" s="188" t="s">
        <v>639</v>
      </c>
      <c r="AQ304" s="188" t="s">
        <v>639</v>
      </c>
      <c r="AR304" s="188" t="s">
        <v>619</v>
      </c>
      <c r="AS304" s="188" t="s">
        <v>619</v>
      </c>
      <c r="AT304" s="188" t="s">
        <v>640</v>
      </c>
      <c r="AU304" s="188" t="s">
        <v>640</v>
      </c>
      <c r="AV304" s="188" t="s">
        <v>640</v>
      </c>
      <c r="AW304" s="188" t="s">
        <v>640</v>
      </c>
      <c r="AX304" s="188" t="s">
        <v>39</v>
      </c>
      <c r="AY304" s="188" t="s">
        <v>640</v>
      </c>
      <c r="AZ304" s="188" t="s">
        <v>39</v>
      </c>
      <c r="BA304" s="188" t="s">
        <v>640</v>
      </c>
      <c r="BB304" s="188" t="s">
        <v>640</v>
      </c>
      <c r="BC304" s="188" t="s">
        <v>619</v>
      </c>
      <c r="BD304" s="188" t="s">
        <v>619</v>
      </c>
      <c r="BE304" s="188" t="s">
        <v>619</v>
      </c>
      <c r="BF304" s="188" t="s">
        <v>641</v>
      </c>
      <c r="BG304" s="188" t="s">
        <v>640</v>
      </c>
      <c r="BH304" s="188" t="s">
        <v>619</v>
      </c>
      <c r="BI304" s="188" t="s">
        <v>619</v>
      </c>
      <c r="BJ304" s="188" t="s">
        <v>640</v>
      </c>
      <c r="BK304" s="188" t="s">
        <v>640</v>
      </c>
      <c r="BL304" s="188" t="s">
        <v>619</v>
      </c>
      <c r="BM304" s="188" t="s">
        <v>619</v>
      </c>
      <c r="BN304" s="188" t="s">
        <v>619</v>
      </c>
      <c r="BO304" s="188" t="s">
        <v>640</v>
      </c>
      <c r="BP304" s="188" t="s">
        <v>640</v>
      </c>
      <c r="BQ304" s="188" t="s">
        <v>619</v>
      </c>
      <c r="BR304" s="188" t="s">
        <v>619</v>
      </c>
      <c r="BS304" s="188" t="s">
        <v>619</v>
      </c>
      <c r="BT304" s="188" t="s">
        <v>642</v>
      </c>
    </row>
    <row r="305" spans="1:73" s="2" customFormat="1" ht="9" customHeight="1">
      <c r="A305" s="95" t="s">
        <v>688</v>
      </c>
      <c r="B305" s="94" t="s">
        <v>5133</v>
      </c>
      <c r="C305" s="94" t="s">
        <v>5133</v>
      </c>
      <c r="D305" s="94" t="s">
        <v>4921</v>
      </c>
      <c r="E305" s="94"/>
      <c r="F305" s="95" t="s">
        <v>688</v>
      </c>
      <c r="G305" s="94"/>
      <c r="H305" s="94" t="s">
        <v>3183</v>
      </c>
      <c r="I305" s="94" t="s">
        <v>3175</v>
      </c>
      <c r="J305" s="94" t="s">
        <v>1954</v>
      </c>
      <c r="K305" s="94" t="s">
        <v>1985</v>
      </c>
      <c r="L305" s="94"/>
      <c r="M305" s="94" t="s">
        <v>2658</v>
      </c>
      <c r="N305" s="94" t="s">
        <v>3032</v>
      </c>
      <c r="O305" s="94" t="s">
        <v>1874</v>
      </c>
      <c r="P305" s="94" t="s">
        <v>1874</v>
      </c>
      <c r="Q305" s="94" t="s">
        <v>3065</v>
      </c>
      <c r="R305" s="94" t="s">
        <v>3065</v>
      </c>
      <c r="S305" s="94" t="s">
        <v>39</v>
      </c>
      <c r="T305" s="94" t="s">
        <v>2825</v>
      </c>
      <c r="U305" s="94" t="s">
        <v>3848</v>
      </c>
      <c r="V305" s="94" t="s">
        <v>1222</v>
      </c>
      <c r="W305" s="94" t="s">
        <v>1691</v>
      </c>
      <c r="X305" s="94" t="s">
        <v>1396</v>
      </c>
      <c r="Y305" s="94" t="s">
        <v>3065</v>
      </c>
      <c r="Z305" s="94" t="s">
        <v>4114</v>
      </c>
      <c r="AA305" s="94" t="s">
        <v>4114</v>
      </c>
      <c r="AB305" s="94" t="s">
        <v>4114</v>
      </c>
      <c r="AC305" s="94" t="s">
        <v>2956</v>
      </c>
      <c r="AD305" s="94" t="s">
        <v>3964</v>
      </c>
      <c r="AE305" s="94" t="s">
        <v>3965</v>
      </c>
      <c r="AF305" s="94" t="s">
        <v>3966</v>
      </c>
      <c r="AG305" s="94" t="s">
        <v>4213</v>
      </c>
      <c r="AH305" s="94" t="s">
        <v>1396</v>
      </c>
      <c r="AI305" s="94" t="s">
        <v>2440</v>
      </c>
      <c r="AJ305" s="94" t="s">
        <v>2440</v>
      </c>
      <c r="AK305" s="94" t="s">
        <v>2440</v>
      </c>
      <c r="AL305" s="94" t="s">
        <v>2293</v>
      </c>
      <c r="AM305" s="94" t="s">
        <v>1136</v>
      </c>
      <c r="AN305" s="94"/>
      <c r="AO305" s="94" t="s">
        <v>2518</v>
      </c>
      <c r="AP305" s="94" t="s">
        <v>2522</v>
      </c>
      <c r="AQ305" s="94" t="s">
        <v>1874</v>
      </c>
      <c r="AR305" s="94" t="s">
        <v>3365</v>
      </c>
      <c r="AS305" s="94" t="s">
        <v>3311</v>
      </c>
      <c r="AT305" s="94" t="s">
        <v>3588</v>
      </c>
      <c r="AU305" s="94" t="s">
        <v>3588</v>
      </c>
      <c r="AV305" s="94" t="s">
        <v>3534</v>
      </c>
      <c r="AW305" s="94" t="s">
        <v>3534</v>
      </c>
      <c r="AX305" s="94"/>
      <c r="AY305" s="94"/>
      <c r="AZ305" s="94"/>
      <c r="BA305" s="94" t="s">
        <v>1481</v>
      </c>
      <c r="BB305" s="94" t="s">
        <v>1481</v>
      </c>
      <c r="BC305" s="94"/>
      <c r="BD305" s="94" t="s">
        <v>2621</v>
      </c>
      <c r="BE305" s="94" t="s">
        <v>1874</v>
      </c>
      <c r="BF305" s="94" t="s">
        <v>2621</v>
      </c>
      <c r="BG305" s="94" t="s">
        <v>1741</v>
      </c>
      <c r="BH305" s="94" t="s">
        <v>887</v>
      </c>
      <c r="BI305" s="94" t="s">
        <v>887</v>
      </c>
      <c r="BJ305" s="94" t="s">
        <v>1323</v>
      </c>
      <c r="BK305" s="94" t="s">
        <v>1325</v>
      </c>
      <c r="BL305" s="94" t="s">
        <v>2983</v>
      </c>
      <c r="BM305" s="94" t="s">
        <v>3239</v>
      </c>
      <c r="BN305" s="94" t="s">
        <v>3241</v>
      </c>
      <c r="BO305" s="94" t="s">
        <v>1874</v>
      </c>
      <c r="BP305" s="94" t="s">
        <v>1874</v>
      </c>
      <c r="BQ305" s="94" t="s">
        <v>2219</v>
      </c>
      <c r="BR305" s="94" t="s">
        <v>1621</v>
      </c>
      <c r="BS305" s="94" t="s">
        <v>1621</v>
      </c>
      <c r="BT305" s="94"/>
    </row>
    <row r="306" spans="1:73" s="14" customFormat="1" ht="27">
      <c r="A306" s="53" t="s">
        <v>5033</v>
      </c>
      <c r="B306" s="48" t="s">
        <v>5032</v>
      </c>
      <c r="C306" s="48" t="s">
        <v>5032</v>
      </c>
      <c r="D306" s="48" t="s">
        <v>39</v>
      </c>
      <c r="E306" s="48"/>
      <c r="F306" s="53" t="s">
        <v>5033</v>
      </c>
      <c r="G306" s="54" t="s">
        <v>39</v>
      </c>
      <c r="H306" s="54" t="s">
        <v>39</v>
      </c>
      <c r="I306" s="54" t="s">
        <v>39</v>
      </c>
      <c r="J306" s="54" t="s">
        <v>1983</v>
      </c>
      <c r="K306" s="54" t="s">
        <v>1983</v>
      </c>
      <c r="L306" s="54" t="s">
        <v>39</v>
      </c>
      <c r="M306" s="123" t="s">
        <v>2034</v>
      </c>
      <c r="N306" s="54" t="s">
        <v>39</v>
      </c>
      <c r="O306" s="54" t="s">
        <v>39</v>
      </c>
      <c r="P306" s="54" t="s">
        <v>39</v>
      </c>
      <c r="Q306" s="54" t="s">
        <v>39</v>
      </c>
      <c r="R306" s="54" t="s">
        <v>39</v>
      </c>
      <c r="S306" s="54" t="s">
        <v>39</v>
      </c>
      <c r="T306" s="54" t="s">
        <v>39</v>
      </c>
      <c r="U306" s="54" t="s">
        <v>3827</v>
      </c>
      <c r="V306" s="54" t="s">
        <v>3827</v>
      </c>
      <c r="W306" s="54" t="s">
        <v>39</v>
      </c>
      <c r="X306" s="54" t="s">
        <v>39</v>
      </c>
      <c r="Y306" s="54" t="s">
        <v>39</v>
      </c>
      <c r="Z306" s="123" t="s">
        <v>314</v>
      </c>
      <c r="AA306" s="123" t="s">
        <v>314</v>
      </c>
      <c r="AB306" s="123" t="s">
        <v>314</v>
      </c>
      <c r="AC306" s="54" t="s">
        <v>39</v>
      </c>
      <c r="AD306" s="54" t="s">
        <v>39</v>
      </c>
      <c r="AE306" s="54" t="s">
        <v>314</v>
      </c>
      <c r="AF306" s="54" t="s">
        <v>3909</v>
      </c>
      <c r="AG306" s="54" t="s">
        <v>4199</v>
      </c>
      <c r="AH306" s="54" t="s">
        <v>39</v>
      </c>
      <c r="AI306" s="54" t="s">
        <v>39</v>
      </c>
      <c r="AJ306" s="54" t="s">
        <v>39</v>
      </c>
      <c r="AK306" s="54" t="s">
        <v>39</v>
      </c>
      <c r="AL306" s="54" t="s">
        <v>2295</v>
      </c>
      <c r="AM306" s="54" t="s">
        <v>39</v>
      </c>
      <c r="AN306" s="54" t="s">
        <v>50</v>
      </c>
      <c r="AO306" s="54" t="s">
        <v>2524</v>
      </c>
      <c r="AP306" s="54" t="s">
        <v>2524</v>
      </c>
      <c r="AQ306" s="73" t="s">
        <v>39</v>
      </c>
      <c r="AR306" s="54" t="s">
        <v>1773</v>
      </c>
      <c r="AS306" s="54" t="s">
        <v>1773</v>
      </c>
      <c r="AT306" s="54" t="s">
        <v>39</v>
      </c>
      <c r="AU306" s="54" t="s">
        <v>39</v>
      </c>
      <c r="AV306" s="54" t="s">
        <v>3535</v>
      </c>
      <c r="AW306" s="54" t="s">
        <v>3535</v>
      </c>
      <c r="AX306" s="54" t="s">
        <v>39</v>
      </c>
      <c r="AY306" s="54" t="s">
        <v>57</v>
      </c>
      <c r="AZ306" s="54" t="s">
        <v>39</v>
      </c>
      <c r="BA306" s="54" t="s">
        <v>39</v>
      </c>
      <c r="BB306" s="54" t="s">
        <v>39</v>
      </c>
      <c r="BC306" s="54" t="s">
        <v>39</v>
      </c>
      <c r="BD306" s="54" t="s">
        <v>39</v>
      </c>
      <c r="BE306" s="54" t="s">
        <v>39</v>
      </c>
      <c r="BF306" s="48" t="s">
        <v>39</v>
      </c>
      <c r="BG306" s="54" t="s">
        <v>39</v>
      </c>
      <c r="BH306" s="54" t="s">
        <v>39</v>
      </c>
      <c r="BI306" s="54" t="s">
        <v>39</v>
      </c>
      <c r="BJ306" s="54" t="s">
        <v>559</v>
      </c>
      <c r="BK306" s="54" t="s">
        <v>559</v>
      </c>
      <c r="BL306" s="54" t="s">
        <v>39</v>
      </c>
      <c r="BM306" s="54" t="s">
        <v>559</v>
      </c>
      <c r="BN306" s="54" t="s">
        <v>559</v>
      </c>
      <c r="BO306" s="54" t="s">
        <v>39</v>
      </c>
      <c r="BP306" s="54" t="s">
        <v>39</v>
      </c>
      <c r="BQ306" s="54" t="s">
        <v>559</v>
      </c>
      <c r="BR306" s="54" t="s">
        <v>39</v>
      </c>
      <c r="BS306" s="54" t="s">
        <v>39</v>
      </c>
      <c r="BT306" s="54" t="s">
        <v>39</v>
      </c>
    </row>
    <row r="307" spans="1:73" s="2" customFormat="1" ht="9" customHeight="1">
      <c r="A307" s="95" t="s">
        <v>688</v>
      </c>
      <c r="B307" s="91" t="s">
        <v>5134</v>
      </c>
      <c r="C307" s="91" t="s">
        <v>5134</v>
      </c>
      <c r="D307" s="91" t="s">
        <v>39</v>
      </c>
      <c r="E307" s="91"/>
      <c r="F307" s="95" t="s">
        <v>688</v>
      </c>
      <c r="G307" s="94"/>
      <c r="H307" s="94" t="s">
        <v>39</v>
      </c>
      <c r="I307" s="94" t="s">
        <v>39</v>
      </c>
      <c r="J307" s="94" t="s">
        <v>1955</v>
      </c>
      <c r="K307" s="94" t="s">
        <v>1984</v>
      </c>
      <c r="L307" s="94"/>
      <c r="M307" s="94" t="s">
        <v>2033</v>
      </c>
      <c r="N307" s="94" t="s">
        <v>39</v>
      </c>
      <c r="O307" s="94" t="s">
        <v>39</v>
      </c>
      <c r="P307" s="94" t="s">
        <v>39</v>
      </c>
      <c r="Q307" s="94" t="s">
        <v>39</v>
      </c>
      <c r="R307" s="94" t="s">
        <v>39</v>
      </c>
      <c r="S307" s="94" t="s">
        <v>39</v>
      </c>
      <c r="T307" s="94" t="s">
        <v>39</v>
      </c>
      <c r="U307" s="94" t="s">
        <v>2500</v>
      </c>
      <c r="V307" s="94" t="s">
        <v>3824</v>
      </c>
      <c r="W307" s="94" t="s">
        <v>39</v>
      </c>
      <c r="X307" s="94" t="s">
        <v>39</v>
      </c>
      <c r="Y307" s="94" t="s">
        <v>39</v>
      </c>
      <c r="Z307" s="94" t="s">
        <v>4109</v>
      </c>
      <c r="AA307" s="94" t="s">
        <v>4109</v>
      </c>
      <c r="AB307" s="94" t="s">
        <v>4109</v>
      </c>
      <c r="AC307" s="94" t="s">
        <v>39</v>
      </c>
      <c r="AD307" s="94" t="s">
        <v>39</v>
      </c>
      <c r="AE307" s="94" t="s">
        <v>3910</v>
      </c>
      <c r="AF307" s="94" t="s">
        <v>3911</v>
      </c>
      <c r="AG307" s="94" t="s">
        <v>4200</v>
      </c>
      <c r="AH307" s="94" t="s">
        <v>39</v>
      </c>
      <c r="AI307" s="94" t="s">
        <v>39</v>
      </c>
      <c r="AJ307" s="94" t="s">
        <v>39</v>
      </c>
      <c r="AK307" s="94" t="s">
        <v>39</v>
      </c>
      <c r="AL307" s="94" t="s">
        <v>2294</v>
      </c>
      <c r="AM307" s="94" t="s">
        <v>39</v>
      </c>
      <c r="AN307" s="94"/>
      <c r="AO307" s="94" t="s">
        <v>2560</v>
      </c>
      <c r="AP307" s="94" t="s">
        <v>2523</v>
      </c>
      <c r="AQ307" s="94" t="s">
        <v>39</v>
      </c>
      <c r="AR307" s="94" t="s">
        <v>3358</v>
      </c>
      <c r="AS307" s="94" t="s">
        <v>3312</v>
      </c>
      <c r="AT307" s="94" t="s">
        <v>39</v>
      </c>
      <c r="AU307" s="94" t="s">
        <v>39</v>
      </c>
      <c r="AV307" s="94" t="s">
        <v>3534</v>
      </c>
      <c r="AW307" s="94" t="s">
        <v>3534</v>
      </c>
      <c r="AX307" s="94"/>
      <c r="AY307" s="94"/>
      <c r="AZ307" s="94"/>
      <c r="BA307" s="94" t="s">
        <v>39</v>
      </c>
      <c r="BB307" s="94" t="s">
        <v>39</v>
      </c>
      <c r="BC307" s="94"/>
      <c r="BD307" s="94" t="s">
        <v>39</v>
      </c>
      <c r="BE307" s="94" t="s">
        <v>39</v>
      </c>
      <c r="BF307" s="94" t="s">
        <v>39</v>
      </c>
      <c r="BG307" s="94" t="s">
        <v>39</v>
      </c>
      <c r="BH307" s="94" t="s">
        <v>39</v>
      </c>
      <c r="BI307" s="94" t="s">
        <v>39</v>
      </c>
      <c r="BJ307" s="94" t="s">
        <v>1325</v>
      </c>
      <c r="BK307" s="94" t="s">
        <v>1326</v>
      </c>
      <c r="BL307" s="94" t="s">
        <v>39</v>
      </c>
      <c r="BM307" s="94" t="s">
        <v>3239</v>
      </c>
      <c r="BN307" s="94" t="s">
        <v>3241</v>
      </c>
      <c r="BO307" s="94" t="s">
        <v>39</v>
      </c>
      <c r="BP307" s="94" t="s">
        <v>39</v>
      </c>
      <c r="BQ307" s="94" t="s">
        <v>2218</v>
      </c>
      <c r="BR307" s="94" t="s">
        <v>39</v>
      </c>
      <c r="BS307" s="94" t="s">
        <v>39</v>
      </c>
      <c r="BT307" s="94"/>
    </row>
    <row r="308" spans="1:73" ht="9" customHeight="1">
      <c r="A308" s="154"/>
      <c r="F308" s="154"/>
    </row>
    <row r="309" spans="1:73">
      <c r="A309" s="201" t="s">
        <v>5602</v>
      </c>
      <c r="B309" s="206" t="str">
        <f>B1</f>
        <v xml:space="preserve">Interlloyd Premium Plus </v>
      </c>
      <c r="C309" s="206" t="str">
        <f>C1</f>
        <v xml:space="preserve">Interlloyd Premium Plus HB </v>
      </c>
      <c r="D309" s="206" t="str">
        <f>D1</f>
        <v>Interlloyd Protect</v>
      </c>
      <c r="E309" s="124"/>
      <c r="F309" s="181" t="s">
        <v>4825</v>
      </c>
      <c r="BO309" s="200"/>
      <c r="BP309" s="200"/>
    </row>
    <row r="310" spans="1:73" ht="18">
      <c r="A310" s="53" t="s">
        <v>4826</v>
      </c>
      <c r="B310" s="48" t="s">
        <v>5163</v>
      </c>
      <c r="C310" s="48" t="s">
        <v>5163</v>
      </c>
      <c r="D310" s="48" t="s">
        <v>5163</v>
      </c>
      <c r="E310" s="48"/>
      <c r="F310" s="53" t="s">
        <v>4826</v>
      </c>
      <c r="BO310" s="200"/>
      <c r="BP310" s="200"/>
    </row>
    <row r="311" spans="1:73" ht="9" customHeight="1">
      <c r="A311" s="95" t="s">
        <v>688</v>
      </c>
      <c r="B311" s="91" t="s">
        <v>5164</v>
      </c>
      <c r="C311" s="91" t="s">
        <v>5164</v>
      </c>
      <c r="D311" s="91" t="s">
        <v>5164</v>
      </c>
      <c r="E311" s="91"/>
      <c r="F311" s="95" t="s">
        <v>688</v>
      </c>
      <c r="BO311" s="200"/>
      <c r="BP311" s="200"/>
    </row>
    <row r="312" spans="1:73" ht="9" customHeight="1"/>
    <row r="313" spans="1:73">
      <c r="A313" s="176" t="s">
        <v>201</v>
      </c>
      <c r="B313" s="202" t="str">
        <f>B1</f>
        <v xml:space="preserve">Interlloyd Premium Plus </v>
      </c>
      <c r="C313" s="202" t="str">
        <f>C1</f>
        <v xml:space="preserve">Interlloyd Premium Plus HB </v>
      </c>
      <c r="D313" s="202" t="str">
        <f>D1</f>
        <v>Interlloyd Protect</v>
      </c>
      <c r="E313" s="140"/>
      <c r="F313" s="66" t="s">
        <v>201</v>
      </c>
      <c r="BO313" s="200"/>
      <c r="BP313" s="200"/>
    </row>
    <row r="314" spans="1:73" ht="342">
      <c r="A314" s="53" t="s">
        <v>5907</v>
      </c>
      <c r="B314" s="76" t="s">
        <v>5912</v>
      </c>
      <c r="C314" s="76" t="s">
        <v>5912</v>
      </c>
      <c r="D314" s="76" t="s">
        <v>39</v>
      </c>
      <c r="E314" s="76"/>
      <c r="F314" s="53" t="s">
        <v>2590</v>
      </c>
      <c r="G314" s="54" t="s">
        <v>39</v>
      </c>
      <c r="H314" s="76" t="s">
        <v>4337</v>
      </c>
      <c r="I314" s="76" t="s">
        <v>4340</v>
      </c>
      <c r="J314" s="76" t="s">
        <v>2020</v>
      </c>
      <c r="K314" s="76" t="s">
        <v>2022</v>
      </c>
      <c r="L314" s="54" t="s">
        <v>39</v>
      </c>
      <c r="M314" s="132" t="s">
        <v>4272</v>
      </c>
      <c r="N314" s="76" t="s">
        <v>4274</v>
      </c>
      <c r="O314" s="76" t="s">
        <v>2774</v>
      </c>
      <c r="P314" s="76" t="s">
        <v>2768</v>
      </c>
      <c r="Q314" s="76" t="s">
        <v>3060</v>
      </c>
      <c r="R314" s="76" t="s">
        <v>3057</v>
      </c>
      <c r="S314" s="76" t="s">
        <v>1895</v>
      </c>
      <c r="T314" s="48" t="s">
        <v>39</v>
      </c>
      <c r="U314" s="76" t="s">
        <v>3836</v>
      </c>
      <c r="V314" s="76" t="s">
        <v>3846</v>
      </c>
      <c r="W314" s="76" t="s">
        <v>1701</v>
      </c>
      <c r="X314" s="54" t="s">
        <v>39</v>
      </c>
      <c r="Y314" s="76" t="s">
        <v>3744</v>
      </c>
      <c r="Z314" s="123" t="s">
        <v>4324</v>
      </c>
      <c r="AA314" s="132" t="s">
        <v>4326</v>
      </c>
      <c r="AB314" s="132" t="s">
        <v>4328</v>
      </c>
      <c r="AC314" s="76" t="s">
        <v>4331</v>
      </c>
      <c r="AD314" s="76" t="s">
        <v>4009</v>
      </c>
      <c r="AE314" s="54" t="s">
        <v>4334</v>
      </c>
      <c r="AF314" s="76" t="s">
        <v>4286</v>
      </c>
      <c r="AG314" s="54" t="s">
        <v>4267</v>
      </c>
      <c r="AH314" s="76" t="s">
        <v>4354</v>
      </c>
      <c r="AI314" s="76" t="s">
        <v>2430</v>
      </c>
      <c r="AJ314" s="76" t="s">
        <v>4357</v>
      </c>
      <c r="AK314" s="76" t="s">
        <v>4362</v>
      </c>
      <c r="AL314" s="76" t="s">
        <v>4360</v>
      </c>
      <c r="AM314" s="76" t="s">
        <v>1165</v>
      </c>
      <c r="AN314" s="73" t="s">
        <v>39</v>
      </c>
      <c r="AO314" s="76" t="s">
        <v>4290</v>
      </c>
      <c r="AP314" s="76" t="s">
        <v>4367</v>
      </c>
      <c r="AQ314" s="76" t="s">
        <v>3262</v>
      </c>
      <c r="AR314" s="76" t="s">
        <v>4369</v>
      </c>
      <c r="AS314" s="76" t="s">
        <v>4298</v>
      </c>
      <c r="AT314" s="76" t="s">
        <v>4299</v>
      </c>
      <c r="AU314" s="76" t="s">
        <v>4302</v>
      </c>
      <c r="AV314" s="76" t="s">
        <v>4303</v>
      </c>
      <c r="AW314" s="76" t="s">
        <v>4304</v>
      </c>
      <c r="AX314" s="73" t="s">
        <v>39</v>
      </c>
      <c r="AY314" s="73" t="s">
        <v>39</v>
      </c>
      <c r="AZ314" s="54" t="s">
        <v>524</v>
      </c>
      <c r="BA314" s="73" t="s">
        <v>39</v>
      </c>
      <c r="BB314" s="76" t="s">
        <v>1471</v>
      </c>
      <c r="BC314" s="76" t="s">
        <v>366</v>
      </c>
      <c r="BD314" s="76" t="s">
        <v>2912</v>
      </c>
      <c r="BE314" s="76" t="s">
        <v>4305</v>
      </c>
      <c r="BF314" s="76" t="s">
        <v>2618</v>
      </c>
      <c r="BG314" s="54" t="s">
        <v>4307</v>
      </c>
      <c r="BH314" s="76" t="s">
        <v>4311</v>
      </c>
      <c r="BI314" s="76" t="s">
        <v>4310</v>
      </c>
      <c r="BJ314" s="76" t="s">
        <v>1375</v>
      </c>
      <c r="BK314" s="76" t="s">
        <v>1344</v>
      </c>
      <c r="BL314" s="76" t="s">
        <v>3017</v>
      </c>
      <c r="BM314" s="76" t="s">
        <v>3251</v>
      </c>
      <c r="BN314" s="76" t="s">
        <v>3251</v>
      </c>
      <c r="BO314" s="76" t="s">
        <v>4317</v>
      </c>
      <c r="BP314" s="76" t="s">
        <v>4318</v>
      </c>
      <c r="BQ314" s="76" t="s">
        <v>4384</v>
      </c>
      <c r="BR314" s="76" t="s">
        <v>1624</v>
      </c>
      <c r="BS314" s="76" t="s">
        <v>4319</v>
      </c>
      <c r="BT314" s="76" t="s">
        <v>442</v>
      </c>
      <c r="BU314" s="119"/>
    </row>
    <row r="315" spans="1:73" s="119" customFormat="1" ht="28.5" customHeight="1">
      <c r="A315" s="95" t="s">
        <v>688</v>
      </c>
      <c r="B315" s="91" t="s">
        <v>5913</v>
      </c>
      <c r="C315" s="91" t="s">
        <v>5913</v>
      </c>
      <c r="D315" s="91" t="s">
        <v>39</v>
      </c>
      <c r="E315" s="91"/>
      <c r="F315" s="95" t="s">
        <v>688</v>
      </c>
      <c r="G315" s="94"/>
      <c r="H315" s="91" t="s">
        <v>3177</v>
      </c>
      <c r="I315" s="91" t="s">
        <v>3176</v>
      </c>
      <c r="J315" s="94" t="s">
        <v>1167</v>
      </c>
      <c r="K315" s="91" t="s">
        <v>2021</v>
      </c>
      <c r="L315" s="94"/>
      <c r="M315" s="91" t="s">
        <v>4162</v>
      </c>
      <c r="N315" s="91" t="s">
        <v>3028</v>
      </c>
      <c r="O315" s="94" t="s">
        <v>2775</v>
      </c>
      <c r="P315" s="91" t="s">
        <v>2767</v>
      </c>
      <c r="Q315" s="91" t="s">
        <v>3059</v>
      </c>
      <c r="R315" s="91" t="s">
        <v>3058</v>
      </c>
      <c r="S315" s="94" t="s">
        <v>1896</v>
      </c>
      <c r="T315" s="94"/>
      <c r="U315" s="94" t="s">
        <v>3835</v>
      </c>
      <c r="V315" s="94" t="s">
        <v>2498</v>
      </c>
      <c r="W315" s="94" t="s">
        <v>1700</v>
      </c>
      <c r="X315" s="94" t="s">
        <v>39</v>
      </c>
      <c r="Y315" s="91" t="s">
        <v>3718</v>
      </c>
      <c r="Z315" s="91" t="s">
        <v>4126</v>
      </c>
      <c r="AA315" s="91" t="s">
        <v>4125</v>
      </c>
      <c r="AB315" s="91" t="s">
        <v>4127</v>
      </c>
      <c r="AC315" s="91" t="s">
        <v>2953</v>
      </c>
      <c r="AD315" s="94" t="s">
        <v>4010</v>
      </c>
      <c r="AE315" s="91" t="s">
        <v>4011</v>
      </c>
      <c r="AF315" s="91" t="s">
        <v>4012</v>
      </c>
      <c r="AG315" s="91"/>
      <c r="AH315" s="91" t="s">
        <v>3686</v>
      </c>
      <c r="AI315" s="91" t="s">
        <v>2429</v>
      </c>
      <c r="AJ315" s="91" t="s">
        <v>2405</v>
      </c>
      <c r="AK315" s="91" t="s">
        <v>2361</v>
      </c>
      <c r="AL315" s="91" t="s">
        <v>2341</v>
      </c>
      <c r="AM315" s="91" t="s">
        <v>1156</v>
      </c>
      <c r="AN315" s="94"/>
      <c r="AO315" s="91" t="s">
        <v>3263</v>
      </c>
      <c r="AP315" s="91" t="s">
        <v>2527</v>
      </c>
      <c r="AQ315" s="94" t="s">
        <v>3264</v>
      </c>
      <c r="AR315" s="91" t="s">
        <v>3376</v>
      </c>
      <c r="AS315" s="91" t="s">
        <v>3378</v>
      </c>
      <c r="AT315" s="91" t="s">
        <v>3627</v>
      </c>
      <c r="AU315" s="91" t="s">
        <v>3628</v>
      </c>
      <c r="AV315" s="91" t="s">
        <v>3568</v>
      </c>
      <c r="AW315" s="91" t="s">
        <v>3569</v>
      </c>
      <c r="AX315" s="94"/>
      <c r="AY315" s="94"/>
      <c r="AZ315" s="94"/>
      <c r="BA315" s="94" t="s">
        <v>39</v>
      </c>
      <c r="BB315" s="94" t="s">
        <v>1472</v>
      </c>
      <c r="BC315" s="94"/>
      <c r="BD315" s="91" t="s">
        <v>2913</v>
      </c>
      <c r="BE315" s="94" t="s">
        <v>3390</v>
      </c>
      <c r="BF315" s="94" t="s">
        <v>2619</v>
      </c>
      <c r="BG315" s="91" t="s">
        <v>2862</v>
      </c>
      <c r="BH315" s="94"/>
      <c r="BI315" s="94"/>
      <c r="BJ315" s="91" t="s">
        <v>1376</v>
      </c>
      <c r="BK315" s="91" t="s">
        <v>1343</v>
      </c>
      <c r="BL315" s="91" t="s">
        <v>3016</v>
      </c>
      <c r="BM315" s="91" t="s">
        <v>3250</v>
      </c>
      <c r="BN315" s="91" t="s">
        <v>3250</v>
      </c>
      <c r="BO315" s="91" t="s">
        <v>3422</v>
      </c>
      <c r="BP315" s="91" t="s">
        <v>3423</v>
      </c>
      <c r="BQ315" s="91" t="s">
        <v>2226</v>
      </c>
      <c r="BR315" s="91" t="s">
        <v>1623</v>
      </c>
      <c r="BS315" s="91" t="s">
        <v>1622</v>
      </c>
      <c r="BT315" s="94"/>
      <c r="BU315" s="2"/>
    </row>
    <row r="316" spans="1:73" ht="243">
      <c r="A316" s="53" t="s">
        <v>5906</v>
      </c>
      <c r="B316" s="88" t="s">
        <v>5910</v>
      </c>
      <c r="C316" s="88" t="s">
        <v>5910</v>
      </c>
      <c r="D316" s="48" t="s">
        <v>39</v>
      </c>
      <c r="E316" s="88"/>
      <c r="F316" s="53" t="s">
        <v>2591</v>
      </c>
      <c r="G316" s="48" t="s">
        <v>39</v>
      </c>
      <c r="H316" s="48" t="s">
        <v>39</v>
      </c>
      <c r="I316" s="48"/>
      <c r="J316" s="48" t="s">
        <v>39</v>
      </c>
      <c r="K316" s="48" t="s">
        <v>39</v>
      </c>
      <c r="L316" s="48" t="s">
        <v>39</v>
      </c>
      <c r="M316" s="48" t="s">
        <v>39</v>
      </c>
      <c r="N316" s="48" t="s">
        <v>39</v>
      </c>
      <c r="O316" s="48" t="s">
        <v>39</v>
      </c>
      <c r="P316" s="48" t="s">
        <v>39</v>
      </c>
      <c r="Q316" s="48" t="s">
        <v>39</v>
      </c>
      <c r="R316" s="48" t="s">
        <v>39</v>
      </c>
      <c r="S316" s="48" t="s">
        <v>39</v>
      </c>
      <c r="T316" s="48" t="s">
        <v>39</v>
      </c>
      <c r="U316" s="48" t="s">
        <v>39</v>
      </c>
      <c r="V316" s="48" t="s">
        <v>39</v>
      </c>
      <c r="W316" s="48" t="s">
        <v>39</v>
      </c>
      <c r="X316" s="48" t="s">
        <v>39</v>
      </c>
      <c r="Y316" s="48" t="s">
        <v>39</v>
      </c>
      <c r="Z316" s="131" t="s">
        <v>39</v>
      </c>
      <c r="AA316" s="131" t="s">
        <v>39</v>
      </c>
      <c r="AB316" s="131" t="s">
        <v>39</v>
      </c>
      <c r="AC316" s="48" t="s">
        <v>39</v>
      </c>
      <c r="AD316" s="48" t="s">
        <v>39</v>
      </c>
      <c r="AE316" s="48" t="s">
        <v>39</v>
      </c>
      <c r="AF316" s="48" t="s">
        <v>39</v>
      </c>
      <c r="AG316" s="48"/>
      <c r="AH316" s="88" t="s">
        <v>3687</v>
      </c>
      <c r="AI316" s="48" t="s">
        <v>39</v>
      </c>
      <c r="AJ316" s="48" t="s">
        <v>39</v>
      </c>
      <c r="AK316" s="48" t="s">
        <v>39</v>
      </c>
      <c r="AL316" s="88" t="s">
        <v>2592</v>
      </c>
      <c r="AM316" s="48" t="s">
        <v>39</v>
      </c>
      <c r="AN316" s="48" t="s">
        <v>39</v>
      </c>
      <c r="AO316" s="48" t="s">
        <v>39</v>
      </c>
      <c r="AP316" s="88" t="s">
        <v>2593</v>
      </c>
      <c r="AQ316" s="48" t="s">
        <v>39</v>
      </c>
      <c r="AR316" s="48" t="s">
        <v>39</v>
      </c>
      <c r="AS316" s="88" t="s">
        <v>3377</v>
      </c>
      <c r="AT316" s="88" t="s">
        <v>3625</v>
      </c>
      <c r="AU316" s="88" t="s">
        <v>3626</v>
      </c>
      <c r="AV316" s="88" t="s">
        <v>3622</v>
      </c>
      <c r="AW316" s="88" t="s">
        <v>3621</v>
      </c>
      <c r="AX316" s="48" t="s">
        <v>39</v>
      </c>
      <c r="AY316" s="48" t="s">
        <v>39</v>
      </c>
      <c r="AZ316" s="48" t="s">
        <v>39</v>
      </c>
      <c r="BA316" s="48" t="s">
        <v>39</v>
      </c>
      <c r="BB316" s="48" t="s">
        <v>39</v>
      </c>
      <c r="BC316" s="48" t="s">
        <v>39</v>
      </c>
      <c r="BD316" s="48" t="s">
        <v>39</v>
      </c>
      <c r="BE316" s="48" t="s">
        <v>39</v>
      </c>
      <c r="BF316" s="48" t="s">
        <v>39</v>
      </c>
      <c r="BG316" s="48" t="s">
        <v>39</v>
      </c>
      <c r="BH316" s="48" t="s">
        <v>39</v>
      </c>
      <c r="BI316" s="48" t="s">
        <v>39</v>
      </c>
      <c r="BJ316" s="48" t="s">
        <v>39</v>
      </c>
      <c r="BK316" s="48" t="s">
        <v>39</v>
      </c>
      <c r="BL316" s="48" t="s">
        <v>39</v>
      </c>
      <c r="BM316" s="48" t="s">
        <v>39</v>
      </c>
      <c r="BN316" s="48" t="s">
        <v>39</v>
      </c>
      <c r="BO316" s="48" t="s">
        <v>39</v>
      </c>
      <c r="BP316" s="48" t="s">
        <v>39</v>
      </c>
      <c r="BQ316" s="48" t="s">
        <v>39</v>
      </c>
      <c r="BR316" s="48" t="s">
        <v>39</v>
      </c>
      <c r="BS316" s="48" t="s">
        <v>39</v>
      </c>
      <c r="BT316" s="48" t="s">
        <v>39</v>
      </c>
      <c r="BU316" s="14"/>
    </row>
    <row r="317" spans="1:73" s="119" customFormat="1" ht="28.5" customHeight="1">
      <c r="A317" s="95" t="s">
        <v>688</v>
      </c>
      <c r="B317" s="91" t="s">
        <v>5911</v>
      </c>
      <c r="C317" s="91" t="s">
        <v>5911</v>
      </c>
      <c r="D317" s="91" t="s">
        <v>39</v>
      </c>
      <c r="E317" s="91"/>
      <c r="F317" s="95" t="s">
        <v>688</v>
      </c>
      <c r="G317" s="94"/>
      <c r="H317" s="91" t="s">
        <v>3177</v>
      </c>
      <c r="I317" s="91" t="s">
        <v>3176</v>
      </c>
      <c r="J317" s="94" t="s">
        <v>1167</v>
      </c>
      <c r="K317" s="91" t="s">
        <v>2021</v>
      </c>
      <c r="L317" s="94"/>
      <c r="M317" s="91" t="s">
        <v>4162</v>
      </c>
      <c r="N317" s="91" t="s">
        <v>3028</v>
      </c>
      <c r="O317" s="94" t="s">
        <v>2775</v>
      </c>
      <c r="P317" s="91" t="s">
        <v>2767</v>
      </c>
      <c r="Q317" s="91" t="s">
        <v>3059</v>
      </c>
      <c r="R317" s="91" t="s">
        <v>3058</v>
      </c>
      <c r="S317" s="94" t="s">
        <v>1896</v>
      </c>
      <c r="T317" s="94"/>
      <c r="U317" s="94" t="s">
        <v>3835</v>
      </c>
      <c r="V317" s="94" t="s">
        <v>2498</v>
      </c>
      <c r="W317" s="94" t="s">
        <v>1700</v>
      </c>
      <c r="X317" s="94" t="s">
        <v>39</v>
      </c>
      <c r="Y317" s="91" t="s">
        <v>3718</v>
      </c>
      <c r="Z317" s="91" t="s">
        <v>4126</v>
      </c>
      <c r="AA317" s="91" t="s">
        <v>4125</v>
      </c>
      <c r="AB317" s="91" t="s">
        <v>4127</v>
      </c>
      <c r="AC317" s="91" t="s">
        <v>2953</v>
      </c>
      <c r="AD317" s="94" t="s">
        <v>4010</v>
      </c>
      <c r="AE317" s="91" t="s">
        <v>4011</v>
      </c>
      <c r="AF317" s="91" t="s">
        <v>4012</v>
      </c>
      <c r="AG317" s="91"/>
      <c r="AH317" s="91" t="s">
        <v>3686</v>
      </c>
      <c r="AI317" s="91" t="s">
        <v>2429</v>
      </c>
      <c r="AJ317" s="91" t="s">
        <v>2405</v>
      </c>
      <c r="AK317" s="91" t="s">
        <v>2361</v>
      </c>
      <c r="AL317" s="91" t="s">
        <v>2341</v>
      </c>
      <c r="AM317" s="91" t="s">
        <v>1156</v>
      </c>
      <c r="AN317" s="94"/>
      <c r="AO317" s="91" t="s">
        <v>3263</v>
      </c>
      <c r="AP317" s="91" t="s">
        <v>2527</v>
      </c>
      <c r="AQ317" s="94" t="s">
        <v>3264</v>
      </c>
      <c r="AR317" s="91" t="s">
        <v>3376</v>
      </c>
      <c r="AS317" s="91" t="s">
        <v>3378</v>
      </c>
      <c r="AT317" s="91" t="s">
        <v>3627</v>
      </c>
      <c r="AU317" s="91" t="s">
        <v>3628</v>
      </c>
      <c r="AV317" s="91" t="s">
        <v>3568</v>
      </c>
      <c r="AW317" s="91" t="s">
        <v>3569</v>
      </c>
      <c r="AX317" s="94"/>
      <c r="AY317" s="94"/>
      <c r="AZ317" s="94"/>
      <c r="BA317" s="94" t="s">
        <v>39</v>
      </c>
      <c r="BB317" s="94" t="s">
        <v>1472</v>
      </c>
      <c r="BC317" s="94"/>
      <c r="BD317" s="91" t="s">
        <v>2913</v>
      </c>
      <c r="BE317" s="94" t="s">
        <v>3390</v>
      </c>
      <c r="BF317" s="94" t="s">
        <v>2619</v>
      </c>
      <c r="BG317" s="91" t="s">
        <v>2862</v>
      </c>
      <c r="BH317" s="94"/>
      <c r="BI317" s="94"/>
      <c r="BJ317" s="91" t="s">
        <v>1376</v>
      </c>
      <c r="BK317" s="91" t="s">
        <v>1343</v>
      </c>
      <c r="BL317" s="91" t="s">
        <v>3016</v>
      </c>
      <c r="BM317" s="91" t="s">
        <v>3250</v>
      </c>
      <c r="BN317" s="91" t="s">
        <v>3250</v>
      </c>
      <c r="BO317" s="91" t="s">
        <v>3422</v>
      </c>
      <c r="BP317" s="91" t="s">
        <v>3423</v>
      </c>
      <c r="BQ317" s="91" t="s">
        <v>2226</v>
      </c>
      <c r="BR317" s="91" t="s">
        <v>1623</v>
      </c>
      <c r="BS317" s="91" t="s">
        <v>1622</v>
      </c>
      <c r="BT317" s="94"/>
      <c r="BU317" s="2"/>
    </row>
    <row r="318" spans="1:73" s="14" customFormat="1" ht="6.95" customHeight="1">
      <c r="A318"/>
      <c r="B318" s="205"/>
      <c r="C318" s="205"/>
      <c r="D318" s="205"/>
      <c r="E318" s="205"/>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row>
    <row r="319" spans="1:73" s="2" customFormat="1" ht="20.100000000000001" customHeight="1">
      <c r="A319" s="176" t="s">
        <v>155</v>
      </c>
      <c r="B319" s="202" t="str">
        <f>B1</f>
        <v xml:space="preserve">Interlloyd Premium Plus </v>
      </c>
      <c r="C319" s="202" t="str">
        <f>C1</f>
        <v xml:space="preserve">Interlloyd Premium Plus HB </v>
      </c>
      <c r="D319" s="202" t="str">
        <f>D1</f>
        <v>Interlloyd Protect</v>
      </c>
      <c r="E319" s="140"/>
      <c r="F319" s="50" t="s">
        <v>155</v>
      </c>
      <c r="G319" s="101" t="str">
        <f>G1</f>
        <v>Alte Leipziger XXL</v>
      </c>
      <c r="H319" s="101" t="str">
        <f t="shared" ref="H319:BS319" si="5">H1</f>
        <v>Ammerländer Excellent</v>
      </c>
      <c r="I319" s="101" t="str">
        <f t="shared" si="5"/>
        <v>Ammerländer Exclusiv</v>
      </c>
      <c r="J319" s="101" t="str">
        <f t="shared" si="5"/>
        <v>ARAG Komfort</v>
      </c>
      <c r="K319" s="101" t="str">
        <f t="shared" si="5"/>
        <v>ARAG Premium</v>
      </c>
      <c r="L319" s="101" t="str">
        <f t="shared" si="5"/>
        <v>AXA Komfort ohne BR</v>
      </c>
      <c r="M319" s="101" t="str">
        <f t="shared" si="5"/>
        <v>Baden Badener Top 2013</v>
      </c>
      <c r="N319" s="101" t="str">
        <f t="shared" si="5"/>
        <v>Basler UnfallProtect - Max</v>
      </c>
      <c r="O319" s="101" t="str">
        <f t="shared" si="5"/>
        <v>Condor Comfort</v>
      </c>
      <c r="P319" s="101" t="str">
        <f t="shared" si="5"/>
        <v>Condor Premium</v>
      </c>
      <c r="Q319" s="101" t="str">
        <f t="shared" si="5"/>
        <v>Cosmos Comfort-Schutz</v>
      </c>
      <c r="R319" s="101" t="str">
        <f t="shared" si="5"/>
        <v>Cosmos Comfort-Schutz Plus</v>
      </c>
      <c r="S319" s="101" t="str">
        <f t="shared" si="5"/>
        <v>Debeka</v>
      </c>
      <c r="T319" s="101" t="str">
        <f t="shared" si="5"/>
        <v>DEVK Komplett</v>
      </c>
      <c r="U319" s="101" t="str">
        <f t="shared" si="5"/>
        <v>die Bayerische Komfort</v>
      </c>
      <c r="V319" s="101" t="str">
        <f t="shared" si="5"/>
        <v>die Bayerische Standard</v>
      </c>
      <c r="W319" s="101" t="str">
        <f t="shared" si="5"/>
        <v>ERGO Unfallschutz Familie</v>
      </c>
      <c r="X319" s="101" t="str">
        <f t="shared" si="5"/>
        <v>GDV Musterbedingungen</v>
      </c>
      <c r="Y319" s="101" t="str">
        <f t="shared" si="5"/>
        <v>Generali Komfort Plus</v>
      </c>
      <c r="Z319" s="101" t="str">
        <f t="shared" si="5"/>
        <v>Gothaer Unfall 2014</v>
      </c>
      <c r="AA319" s="101" t="str">
        <f t="shared" si="5"/>
        <v>Gothaer UnfallTop 2014</v>
      </c>
      <c r="AB319" s="101" t="str">
        <f t="shared" si="5"/>
        <v>Gothaer UnfallTop 2014 Plus</v>
      </c>
      <c r="AC319" s="101" t="str">
        <f t="shared" si="5"/>
        <v>Häger Top</v>
      </c>
      <c r="AD319" s="101" t="str">
        <f t="shared" si="5"/>
        <v>HanseMerkur Grund-Schutz</v>
      </c>
      <c r="AE319" s="101" t="str">
        <f t="shared" si="5"/>
        <v>HanseMerkur Kompakt-Schutz</v>
      </c>
      <c r="AF319" s="101" t="str">
        <f t="shared" si="5"/>
        <v>HanseMerkur Top-Schutz</v>
      </c>
      <c r="AG319" s="101" t="str">
        <f t="shared" si="5"/>
        <v>HDI</v>
      </c>
      <c r="AH319" s="101" t="str">
        <f t="shared" si="5"/>
        <v>Helvetia Komfort</v>
      </c>
      <c r="AI319" s="101" t="str">
        <f t="shared" si="5"/>
        <v>HKD Basisschutz</v>
      </c>
      <c r="AJ319" s="101" t="str">
        <f t="shared" si="5"/>
        <v>HKD Komfortschutz</v>
      </c>
      <c r="AK319" s="101" t="str">
        <f t="shared" si="5"/>
        <v>HKD Komfortschutz Plus</v>
      </c>
      <c r="AL319" s="101" t="str">
        <f t="shared" si="5"/>
        <v>HKD Vollschutz</v>
      </c>
      <c r="AM319" s="101" t="str">
        <f t="shared" si="5"/>
        <v>Ideal Unfall Rente Exklusiv</v>
      </c>
      <c r="AN319" s="101" t="str">
        <f t="shared" si="5"/>
        <v>Interlloyd AUB 2000</v>
      </c>
      <c r="AO319" s="101" t="str">
        <f t="shared" si="5"/>
        <v>Interlloyd Premium</v>
      </c>
      <c r="AP319" s="101" t="str">
        <f t="shared" si="5"/>
        <v>Interlloyd Premium Plus</v>
      </c>
      <c r="AQ319" s="101" t="str">
        <f t="shared" si="5"/>
        <v>Interlloyd Protect</v>
      </c>
      <c r="AR319" s="101" t="str">
        <f t="shared" si="5"/>
        <v>Interrisk XL (Plus-Taxe)</v>
      </c>
      <c r="AS319" s="101" t="str">
        <f t="shared" si="5"/>
        <v>Interrisk XXL (Maxi-Taxe)</v>
      </c>
      <c r="AT319" s="101" t="str">
        <f t="shared" si="5"/>
        <v>Janitos Balance</v>
      </c>
      <c r="AU319" s="101" t="str">
        <f t="shared" si="5"/>
        <v>Janitos Balance Plus</v>
      </c>
      <c r="AV319" s="101" t="str">
        <f t="shared" si="5"/>
        <v>Janitos Best Selection</v>
      </c>
      <c r="AW319" s="101" t="str">
        <f t="shared" si="5"/>
        <v>Janitos Best Selection Plus</v>
      </c>
      <c r="AX319" s="101" t="str">
        <f t="shared" si="5"/>
        <v>Keine</v>
      </c>
      <c r="AY319" s="101" t="str">
        <f t="shared" si="5"/>
        <v>KRAVAG Familien-UV 2011</v>
      </c>
      <c r="AZ319" s="101" t="str">
        <f t="shared" si="5"/>
        <v>KRAVAG Gruppen-UV 2011</v>
      </c>
      <c r="BA319" s="101" t="str">
        <f t="shared" si="5"/>
        <v>nationale suisse Komfort</v>
      </c>
      <c r="BB319" s="101" t="str">
        <f t="shared" si="5"/>
        <v>nationale suisse Premium</v>
      </c>
      <c r="BC319" s="101" t="str">
        <f t="shared" si="5"/>
        <v>Nürnberger</v>
      </c>
      <c r="BD319" s="101" t="str">
        <f t="shared" si="5"/>
        <v>Öffentliche Braunschweig Spezial</v>
      </c>
      <c r="BE319" s="101" t="str">
        <f t="shared" si="5"/>
        <v>Prokundo Unfall</v>
      </c>
      <c r="BF319" s="101" t="str">
        <f t="shared" si="5"/>
        <v>Provinzial Rundumschutz</v>
      </c>
      <c r="BG319" s="101" t="str">
        <f t="shared" si="5"/>
        <v>R+V PrivatPolice Comfort</v>
      </c>
      <c r="BH319" s="101" t="str">
        <f t="shared" si="5"/>
        <v>Signal Iduna Exklusiv</v>
      </c>
      <c r="BI319" s="101" t="str">
        <f t="shared" si="5"/>
        <v>Signal Iduna Exklusiv (ÖD)
z.B. PVAG, VÖDAG</v>
      </c>
      <c r="BJ319" s="101" t="str">
        <f t="shared" si="5"/>
        <v>SLP Primus</v>
      </c>
      <c r="BK319" s="101" t="str">
        <f t="shared" si="5"/>
        <v>SLP Primus Plus</v>
      </c>
      <c r="BL319" s="101" t="str">
        <f t="shared" si="5"/>
        <v>Stuttgarter 1000Plus</v>
      </c>
      <c r="BM319" s="101" t="str">
        <f t="shared" si="5"/>
        <v>VdVA Classic</v>
      </c>
      <c r="BN319" s="101" t="str">
        <f t="shared" si="5"/>
        <v>VdVA Exclusiv</v>
      </c>
      <c r="BO319" s="101" t="str">
        <f>BO1</f>
        <v>VHV Klassik Garant 
2017-06</v>
      </c>
      <c r="BP319" s="101" t="str">
        <f>BP1</f>
        <v>VHV Klassik Garant Exklusiv
2017-06</v>
      </c>
      <c r="BQ319" s="101" t="str">
        <f t="shared" si="5"/>
        <v>WÜBA Unfall AKTIV Premium</v>
      </c>
      <c r="BR319" s="101" t="str">
        <f t="shared" si="5"/>
        <v>Württembergische Platinum</v>
      </c>
      <c r="BS319" s="101" t="str">
        <f t="shared" si="5"/>
        <v>Württembergische Premium</v>
      </c>
      <c r="BT319" s="101" t="str">
        <f t="shared" ref="BT319" si="6">BT1</f>
        <v>Zurich Makler Top-Schutz</v>
      </c>
      <c r="BU319"/>
    </row>
    <row r="320" spans="1:73" ht="27">
      <c r="A320" s="178" t="s">
        <v>6104</v>
      </c>
      <c r="B320" s="54" t="s">
        <v>6108</v>
      </c>
      <c r="C320" s="54" t="s">
        <v>6109</v>
      </c>
      <c r="D320" s="54" t="s">
        <v>622</v>
      </c>
      <c r="E320" s="54"/>
      <c r="F320" s="178" t="s">
        <v>6104</v>
      </c>
      <c r="G320" s="54" t="s">
        <v>270</v>
      </c>
      <c r="H320" s="54" t="s">
        <v>2936</v>
      </c>
      <c r="I320" s="54" t="s">
        <v>2936</v>
      </c>
      <c r="J320" s="54" t="s">
        <v>4138</v>
      </c>
      <c r="K320" s="54" t="s">
        <v>4138</v>
      </c>
      <c r="L320" s="54" t="s">
        <v>633</v>
      </c>
      <c r="M320" s="123" t="s">
        <v>4166</v>
      </c>
      <c r="N320" s="54" t="s">
        <v>4141</v>
      </c>
      <c r="O320" s="54" t="s">
        <v>2736</v>
      </c>
      <c r="P320" s="54" t="s">
        <v>2736</v>
      </c>
      <c r="Q320" s="54" t="s">
        <v>4143</v>
      </c>
      <c r="R320" s="54" t="s">
        <v>4143</v>
      </c>
      <c r="S320" s="54" t="s">
        <v>1882</v>
      </c>
      <c r="T320" s="54" t="s">
        <v>2620</v>
      </c>
      <c r="U320" s="54" t="s">
        <v>4145</v>
      </c>
      <c r="V320" s="54" t="s">
        <v>4146</v>
      </c>
      <c r="W320" s="54" t="s">
        <v>3268</v>
      </c>
      <c r="X320" s="54" t="s">
        <v>1380</v>
      </c>
      <c r="Y320" s="54" t="s">
        <v>4138</v>
      </c>
      <c r="Z320" s="123" t="s">
        <v>4079</v>
      </c>
      <c r="AA320" s="123" t="s">
        <v>4079</v>
      </c>
      <c r="AB320" s="123" t="s">
        <v>4079</v>
      </c>
      <c r="AC320" s="54" t="s">
        <v>2937</v>
      </c>
      <c r="AD320" s="49" t="s">
        <v>4013</v>
      </c>
      <c r="AE320" s="49" t="s">
        <v>4014</v>
      </c>
      <c r="AF320" s="49" t="s">
        <v>4015</v>
      </c>
      <c r="AG320" s="49" t="s">
        <v>4265</v>
      </c>
      <c r="AH320" s="54" t="s">
        <v>3650</v>
      </c>
      <c r="AI320" s="54" t="s">
        <v>4130</v>
      </c>
      <c r="AJ320" s="54" t="s">
        <v>4130</v>
      </c>
      <c r="AK320" s="54" t="s">
        <v>4130</v>
      </c>
      <c r="AL320" s="54" t="s">
        <v>4130</v>
      </c>
      <c r="AM320" s="54" t="s">
        <v>1134</v>
      </c>
      <c r="AN320" s="73" t="s">
        <v>170</v>
      </c>
      <c r="AO320" s="54" t="s">
        <v>2453</v>
      </c>
      <c r="AP320" s="54" t="s">
        <v>2452</v>
      </c>
      <c r="AQ320" s="54" t="s">
        <v>622</v>
      </c>
      <c r="AR320" s="54" t="s">
        <v>4149</v>
      </c>
      <c r="AS320" s="54" t="s">
        <v>4150</v>
      </c>
      <c r="AT320" s="54" t="s">
        <v>3483</v>
      </c>
      <c r="AU320" s="54" t="s">
        <v>3483</v>
      </c>
      <c r="AV320" s="54" t="s">
        <v>3483</v>
      </c>
      <c r="AW320" s="54" t="s">
        <v>3483</v>
      </c>
      <c r="AX320" s="73" t="s">
        <v>39</v>
      </c>
      <c r="AY320" s="54" t="s">
        <v>507</v>
      </c>
      <c r="AZ320" s="54" t="s">
        <v>507</v>
      </c>
      <c r="BA320" s="54" t="s">
        <v>1429</v>
      </c>
      <c r="BB320" s="54" t="s">
        <v>1428</v>
      </c>
      <c r="BC320" s="54" t="s">
        <v>320</v>
      </c>
      <c r="BD320" s="54" t="s">
        <v>2874</v>
      </c>
      <c r="BE320" s="54" t="s">
        <v>3382</v>
      </c>
      <c r="BF320" s="54" t="s">
        <v>4151</v>
      </c>
      <c r="BG320" s="54" t="s">
        <v>4153</v>
      </c>
      <c r="BH320" s="54" t="s">
        <v>2936</v>
      </c>
      <c r="BI320" s="54" t="s">
        <v>2936</v>
      </c>
      <c r="BJ320" s="54" t="s">
        <v>3395</v>
      </c>
      <c r="BK320" s="54" t="s">
        <v>3396</v>
      </c>
      <c r="BL320" s="54" t="s">
        <v>2972</v>
      </c>
      <c r="BM320" s="54" t="s">
        <v>3193</v>
      </c>
      <c r="BN320" s="54" t="s">
        <v>3192</v>
      </c>
      <c r="BO320" s="54" t="s">
        <v>2874</v>
      </c>
      <c r="BP320" s="54" t="s">
        <v>2874</v>
      </c>
      <c r="BQ320" s="54" t="s">
        <v>2167</v>
      </c>
      <c r="BR320" s="54" t="s">
        <v>1575</v>
      </c>
      <c r="BS320" s="54" t="s">
        <v>1575</v>
      </c>
      <c r="BT320" s="54" t="s">
        <v>4155</v>
      </c>
      <c r="BU320" s="117"/>
    </row>
    <row r="321" spans="1:73" s="117" customFormat="1" ht="27">
      <c r="A321" s="178" t="s">
        <v>6103</v>
      </c>
      <c r="B321" s="123" t="s">
        <v>5166</v>
      </c>
      <c r="C321" s="123" t="s">
        <v>5166</v>
      </c>
      <c r="D321" s="123" t="s">
        <v>5166</v>
      </c>
      <c r="E321" s="123"/>
      <c r="F321" s="178" t="s">
        <v>4812</v>
      </c>
      <c r="G321" s="123" t="s">
        <v>4390</v>
      </c>
      <c r="H321" s="123" t="s">
        <v>4136</v>
      </c>
      <c r="I321" s="123" t="s">
        <v>4136</v>
      </c>
      <c r="J321" s="123" t="s">
        <v>4136</v>
      </c>
      <c r="K321" s="123" t="s">
        <v>4136</v>
      </c>
      <c r="L321" s="123" t="s">
        <v>4136</v>
      </c>
      <c r="M321" s="123" t="s">
        <v>4165</v>
      </c>
      <c r="N321" s="123" t="s">
        <v>4136</v>
      </c>
      <c r="O321" s="123" t="s">
        <v>4136</v>
      </c>
      <c r="P321" s="123" t="s">
        <v>4136</v>
      </c>
      <c r="Q321" s="123" t="s">
        <v>4136</v>
      </c>
      <c r="R321" s="123" t="s">
        <v>4136</v>
      </c>
      <c r="S321" s="123" t="s">
        <v>4136</v>
      </c>
      <c r="T321" s="133" t="s">
        <v>4139</v>
      </c>
      <c r="U321" s="123" t="s">
        <v>4136</v>
      </c>
      <c r="V321" s="123" t="s">
        <v>4136</v>
      </c>
      <c r="W321" s="123" t="s">
        <v>4136</v>
      </c>
      <c r="X321" s="123" t="s">
        <v>4136</v>
      </c>
      <c r="Y321" s="123" t="s">
        <v>4136</v>
      </c>
      <c r="Z321" s="123" t="s">
        <v>4389</v>
      </c>
      <c r="AA321" s="123" t="s">
        <v>4389</v>
      </c>
      <c r="AB321" s="123" t="s">
        <v>4389</v>
      </c>
      <c r="AC321" s="123" t="s">
        <v>4389</v>
      </c>
      <c r="AD321" s="123" t="s">
        <v>4389</v>
      </c>
      <c r="AE321" s="123" t="s">
        <v>4389</v>
      </c>
      <c r="AF321" s="123" t="s">
        <v>4389</v>
      </c>
      <c r="AG321" s="123" t="s">
        <v>4266</v>
      </c>
      <c r="AH321" s="123" t="s">
        <v>4389</v>
      </c>
      <c r="AI321" s="123" t="s">
        <v>4389</v>
      </c>
      <c r="AJ321" s="123" t="s">
        <v>4389</v>
      </c>
      <c r="AK321" s="123" t="s">
        <v>4389</v>
      </c>
      <c r="AL321" s="123" t="s">
        <v>4389</v>
      </c>
      <c r="AM321" s="123" t="s">
        <v>4389</v>
      </c>
      <c r="AN321" s="81" t="s">
        <v>1124</v>
      </c>
      <c r="AO321" s="123" t="s">
        <v>4390</v>
      </c>
      <c r="AP321" s="123" t="s">
        <v>4390</v>
      </c>
      <c r="AQ321" s="123" t="s">
        <v>4390</v>
      </c>
      <c r="AR321" s="123" t="s">
        <v>4390</v>
      </c>
      <c r="AS321" s="123" t="s">
        <v>4390</v>
      </c>
      <c r="AT321" s="123" t="s">
        <v>4390</v>
      </c>
      <c r="AU321" s="123" t="s">
        <v>4390</v>
      </c>
      <c r="AV321" s="123" t="s">
        <v>4390</v>
      </c>
      <c r="AW321" s="123" t="s">
        <v>4390</v>
      </c>
      <c r="AX321" s="81" t="s">
        <v>39</v>
      </c>
      <c r="AY321" s="123" t="s">
        <v>4391</v>
      </c>
      <c r="AZ321" s="123" t="s">
        <v>4389</v>
      </c>
      <c r="BA321" s="123" t="s">
        <v>4389</v>
      </c>
      <c r="BB321" s="123" t="s">
        <v>4389</v>
      </c>
      <c r="BC321" s="123" t="s">
        <v>4389</v>
      </c>
      <c r="BD321" s="123" t="s">
        <v>4389</v>
      </c>
      <c r="BE321" s="123" t="s">
        <v>4389</v>
      </c>
      <c r="BF321" s="123" t="s">
        <v>4389</v>
      </c>
      <c r="BG321" s="123" t="s">
        <v>4389</v>
      </c>
      <c r="BH321" s="123" t="s">
        <v>4389</v>
      </c>
      <c r="BI321" s="123" t="s">
        <v>4389</v>
      </c>
      <c r="BJ321" s="123" t="s">
        <v>4389</v>
      </c>
      <c r="BK321" s="123" t="s">
        <v>4389</v>
      </c>
      <c r="BL321" s="123" t="s">
        <v>4389</v>
      </c>
      <c r="BM321" s="123" t="s">
        <v>4389</v>
      </c>
      <c r="BN321" s="123" t="s">
        <v>4389</v>
      </c>
      <c r="BO321" s="123" t="s">
        <v>5556</v>
      </c>
      <c r="BP321" s="123" t="s">
        <v>5556</v>
      </c>
      <c r="BQ321" s="123" t="s">
        <v>4389</v>
      </c>
      <c r="BR321" s="123" t="s">
        <v>4389</v>
      </c>
      <c r="BS321" s="123" t="s">
        <v>4389</v>
      </c>
      <c r="BT321" s="123" t="s">
        <v>4389</v>
      </c>
      <c r="BU321"/>
    </row>
    <row r="322" spans="1:73">
      <c r="A322" s="218" t="s">
        <v>4813</v>
      </c>
      <c r="B322" s="54" t="s">
        <v>4924</v>
      </c>
      <c r="C322" s="54" t="s">
        <v>4924</v>
      </c>
      <c r="D322" s="54" t="s">
        <v>4924</v>
      </c>
      <c r="E322" s="129"/>
      <c r="G322" s="38"/>
      <c r="H322" s="38"/>
      <c r="I322" s="38"/>
      <c r="J322" s="38" t="s">
        <v>4137</v>
      </c>
      <c r="K322" s="38" t="s">
        <v>4137</v>
      </c>
      <c r="L322" s="38"/>
      <c r="M322" s="38"/>
      <c r="N322" s="38" t="s">
        <v>3265</v>
      </c>
      <c r="O322" s="38"/>
      <c r="P322" s="38"/>
      <c r="Q322" s="38" t="s">
        <v>4142</v>
      </c>
      <c r="R322" s="38" t="s">
        <v>4142</v>
      </c>
      <c r="S322" s="38"/>
      <c r="T322" s="38"/>
      <c r="U322" s="38"/>
      <c r="V322" s="38"/>
      <c r="W322" s="38" t="s">
        <v>3267</v>
      </c>
      <c r="X322" s="38"/>
      <c r="Y322" s="38" t="s">
        <v>4147</v>
      </c>
      <c r="Z322" s="38"/>
      <c r="AA322" s="38"/>
      <c r="AB322" s="38"/>
      <c r="AC322" s="38"/>
      <c r="AD322" s="38"/>
      <c r="AE322" s="38"/>
      <c r="AF322" s="38"/>
      <c r="AG322" s="38"/>
      <c r="AH322" s="38"/>
      <c r="AI322" s="38" t="s">
        <v>4129</v>
      </c>
      <c r="AJ322" s="38" t="s">
        <v>4129</v>
      </c>
      <c r="AK322" s="38" t="s">
        <v>4129</v>
      </c>
      <c r="AL322" s="38" t="s">
        <v>4129</v>
      </c>
      <c r="AM322" s="38"/>
      <c r="AN322" s="38"/>
      <c r="AO322" s="38"/>
      <c r="AP322" s="38"/>
      <c r="AQ322" s="38"/>
      <c r="AR322" s="38" t="s">
        <v>4148</v>
      </c>
      <c r="AS322" s="38" t="s">
        <v>4148</v>
      </c>
      <c r="AT322" s="38"/>
      <c r="AU322" s="38"/>
      <c r="AV322" s="38"/>
      <c r="AW322" s="38"/>
      <c r="AX322" s="38"/>
      <c r="AY322" s="38"/>
      <c r="AZ322" s="38"/>
      <c r="BA322" s="38"/>
      <c r="BB322" s="38"/>
      <c r="BC322" s="38"/>
      <c r="BD322" s="38"/>
      <c r="BE322" s="38"/>
      <c r="BF322" s="38" t="s">
        <v>3265</v>
      </c>
      <c r="BG322" s="38" t="s">
        <v>4152</v>
      </c>
      <c r="BH322" s="38"/>
      <c r="BI322" s="38"/>
      <c r="BJ322" s="38"/>
      <c r="BK322" s="38"/>
      <c r="BL322" s="38"/>
      <c r="BM322" s="38"/>
      <c r="BN322" s="38"/>
      <c r="BO322" s="54"/>
      <c r="BP322" s="54"/>
      <c r="BQ322" s="38"/>
      <c r="BR322" s="38"/>
      <c r="BS322" s="38"/>
      <c r="BT322" s="38" t="s">
        <v>4154</v>
      </c>
    </row>
    <row r="323" spans="1:73">
      <c r="A323" s="220"/>
      <c r="B323" s="68"/>
      <c r="C323" s="68"/>
      <c r="D323" s="68"/>
      <c r="E323" s="68"/>
      <c r="F323" s="179" t="s">
        <v>4813</v>
      </c>
    </row>
    <row r="324" spans="1:73" ht="171">
      <c r="A324" s="221" t="s">
        <v>5102</v>
      </c>
      <c r="B324" s="217" t="s">
        <v>6013</v>
      </c>
      <c r="C324" s="217" t="s">
        <v>6013</v>
      </c>
      <c r="D324" s="68"/>
      <c r="E324" s="217"/>
    </row>
    <row r="325" spans="1:73">
      <c r="A325" s="220"/>
      <c r="B325" s="68"/>
      <c r="C325" s="68"/>
      <c r="D325" s="68"/>
      <c r="E325" s="68"/>
    </row>
    <row r="326" spans="1:73">
      <c r="A326" s="222" t="s">
        <v>1136</v>
      </c>
      <c r="B326" s="68"/>
      <c r="C326" s="68"/>
      <c r="D326" s="68"/>
      <c r="E326" s="68"/>
    </row>
    <row r="327" spans="1:73">
      <c r="A327" s="222"/>
      <c r="B327" s="68"/>
      <c r="C327" s="68"/>
      <c r="D327" s="68"/>
      <c r="E327" s="68"/>
    </row>
    <row r="328" spans="1:73" ht="18">
      <c r="A328" s="220" t="s">
        <v>5109</v>
      </c>
      <c r="B328" s="223" t="s">
        <v>5110</v>
      </c>
      <c r="C328" s="223" t="s">
        <v>5110</v>
      </c>
      <c r="D328" s="68"/>
      <c r="E328" s="223"/>
    </row>
    <row r="329" spans="1:73">
      <c r="A329" s="220"/>
      <c r="B329" s="68"/>
      <c r="C329" s="68"/>
      <c r="D329" s="68"/>
      <c r="E329" s="68"/>
    </row>
    <row r="330" spans="1:73" ht="369">
      <c r="A330" s="220" t="s">
        <v>5142</v>
      </c>
      <c r="B330" s="217" t="s">
        <v>5143</v>
      </c>
      <c r="C330" s="217" t="s">
        <v>5143</v>
      </c>
      <c r="D330" s="217" t="s">
        <v>5143</v>
      </c>
      <c r="E330" s="217"/>
    </row>
    <row r="331" spans="1:73" ht="288">
      <c r="A331" s="221" t="s">
        <v>5394</v>
      </c>
      <c r="B331" s="217" t="s">
        <v>5614</v>
      </c>
      <c r="C331" s="217" t="s">
        <v>5614</v>
      </c>
      <c r="D331" s="217" t="s">
        <v>5614</v>
      </c>
      <c r="E331" s="217"/>
    </row>
    <row r="332" spans="1:73" ht="135">
      <c r="A332" s="221" t="s">
        <v>5395</v>
      </c>
      <c r="B332" s="217" t="s">
        <v>5393</v>
      </c>
      <c r="C332" s="217" t="s">
        <v>5393</v>
      </c>
      <c r="D332" s="217" t="s">
        <v>5393</v>
      </c>
      <c r="E332" s="217"/>
    </row>
    <row r="333" spans="1:73">
      <c r="A333" s="220" t="s">
        <v>5145</v>
      </c>
      <c r="B333" s="68"/>
      <c r="C333" s="68"/>
      <c r="D333" s="68"/>
      <c r="E333" s="68"/>
    </row>
    <row r="334" spans="1:73">
      <c r="A334" s="220" t="s">
        <v>5144</v>
      </c>
      <c r="B334" s="224">
        <v>800000</v>
      </c>
      <c r="C334" s="224">
        <v>800000</v>
      </c>
      <c r="D334" s="224">
        <v>800000</v>
      </c>
      <c r="E334" s="224"/>
    </row>
    <row r="335" spans="1:73">
      <c r="A335" s="220" t="s">
        <v>5148</v>
      </c>
      <c r="B335" s="224"/>
      <c r="C335" s="224"/>
      <c r="D335" s="224"/>
      <c r="E335" s="224"/>
    </row>
    <row r="336" spans="1:73" ht="18">
      <c r="A336" s="221" t="s">
        <v>5998</v>
      </c>
      <c r="B336" s="217" t="s">
        <v>5150</v>
      </c>
      <c r="C336" s="217" t="s">
        <v>5150</v>
      </c>
      <c r="D336" s="217" t="s">
        <v>5150</v>
      </c>
      <c r="E336" s="217"/>
    </row>
    <row r="337" spans="1:5" ht="18">
      <c r="A337" s="220" t="s">
        <v>5146</v>
      </c>
      <c r="B337" s="225" t="s">
        <v>5149</v>
      </c>
      <c r="C337" s="225" t="s">
        <v>5149</v>
      </c>
      <c r="D337" s="225" t="s">
        <v>5149</v>
      </c>
      <c r="E337" s="225"/>
    </row>
    <row r="338" spans="1:5">
      <c r="A338" s="220" t="s">
        <v>5147</v>
      </c>
      <c r="B338" s="224">
        <v>50000</v>
      </c>
      <c r="C338" s="224">
        <v>50000</v>
      </c>
      <c r="D338" s="224">
        <v>50000</v>
      </c>
      <c r="E338" s="224"/>
    </row>
    <row r="339" spans="1:5" ht="18">
      <c r="A339" s="221" t="s">
        <v>5999</v>
      </c>
      <c r="B339" s="217" t="s">
        <v>5151</v>
      </c>
      <c r="C339" s="217" t="s">
        <v>5151</v>
      </c>
      <c r="D339" s="217" t="s">
        <v>5151</v>
      </c>
      <c r="E339" s="217"/>
    </row>
    <row r="340" spans="1:5">
      <c r="A340" s="220" t="s">
        <v>5383</v>
      </c>
      <c r="B340" s="217"/>
      <c r="C340" s="217"/>
      <c r="D340" s="217"/>
      <c r="E340" s="217"/>
    </row>
    <row r="341" spans="1:5">
      <c r="A341" s="220" t="s">
        <v>5380</v>
      </c>
      <c r="B341" s="68" t="s">
        <v>5152</v>
      </c>
      <c r="C341" s="68" t="s">
        <v>5152</v>
      </c>
      <c r="D341" s="68" t="s">
        <v>5152</v>
      </c>
      <c r="E341" s="68"/>
    </row>
    <row r="342" spans="1:5">
      <c r="A342" s="220" t="s">
        <v>5381</v>
      </c>
      <c r="B342" s="68" t="s">
        <v>39</v>
      </c>
      <c r="C342" s="68" t="s">
        <v>39</v>
      </c>
      <c r="D342" s="68" t="s">
        <v>39</v>
      </c>
      <c r="E342" s="68"/>
    </row>
    <row r="343" spans="1:5">
      <c r="A343" s="220" t="s">
        <v>6334</v>
      </c>
      <c r="B343" s="68" t="s">
        <v>39</v>
      </c>
      <c r="C343" s="68" t="s">
        <v>39</v>
      </c>
      <c r="D343" s="68" t="s">
        <v>39</v>
      </c>
      <c r="E343" s="68"/>
    </row>
    <row r="344" spans="1:5">
      <c r="A344" s="220"/>
      <c r="B344" s="68"/>
      <c r="C344" s="68"/>
      <c r="D344" s="68"/>
      <c r="E344" s="68"/>
    </row>
    <row r="345" spans="1:5" ht="18">
      <c r="A345" s="245" t="s">
        <v>5356</v>
      </c>
      <c r="B345" s="68"/>
      <c r="C345" s="68"/>
      <c r="D345" s="68"/>
      <c r="E345" s="68"/>
    </row>
    <row r="346" spans="1:5" ht="36">
      <c r="A346" s="221" t="s">
        <v>5364</v>
      </c>
      <c r="B346" s="217" t="s">
        <v>5362</v>
      </c>
      <c r="C346" s="217" t="s">
        <v>5362</v>
      </c>
      <c r="D346" s="217" t="s">
        <v>5359</v>
      </c>
      <c r="E346" s="217"/>
    </row>
    <row r="347" spans="1:5" ht="18">
      <c r="A347" s="221" t="s">
        <v>5365</v>
      </c>
      <c r="B347" s="68"/>
      <c r="C347" s="68"/>
      <c r="D347" s="68"/>
      <c r="E347" s="68"/>
    </row>
    <row r="348" spans="1:5" ht="18">
      <c r="A348" s="221" t="s">
        <v>5366</v>
      </c>
      <c r="B348" s="68"/>
      <c r="C348" s="68"/>
      <c r="D348" s="68"/>
      <c r="E348" s="68"/>
    </row>
    <row r="349" spans="1:5">
      <c r="A349" s="220"/>
      <c r="B349" s="68"/>
      <c r="C349" s="68"/>
      <c r="D349" s="68"/>
      <c r="E349" s="68"/>
    </row>
    <row r="350" spans="1:5">
      <c r="A350" s="220" t="s">
        <v>5537</v>
      </c>
      <c r="B350" s="68"/>
      <c r="C350" s="68"/>
      <c r="D350" s="68"/>
      <c r="E350" s="68"/>
    </row>
    <row r="351" spans="1:5">
      <c r="A351" s="220"/>
      <c r="B351" s="68"/>
      <c r="C351" s="68"/>
      <c r="D351" s="68"/>
      <c r="E351" s="68"/>
    </row>
    <row r="352" spans="1:5">
      <c r="A352" s="220"/>
      <c r="B352" s="68"/>
      <c r="C352" s="68"/>
      <c r="D352" s="68"/>
      <c r="E352" s="68"/>
    </row>
    <row r="353" spans="1:5">
      <c r="A353" s="220" t="s">
        <v>5547</v>
      </c>
      <c r="B353" s="68"/>
      <c r="C353" s="68"/>
      <c r="D353" s="68"/>
      <c r="E353" s="68"/>
    </row>
    <row r="354" spans="1:5" ht="18">
      <c r="A354" s="221" t="s">
        <v>5546</v>
      </c>
      <c r="B354" s="68"/>
      <c r="C354" s="68"/>
      <c r="D354" s="68"/>
      <c r="E354" s="68"/>
    </row>
    <row r="355" spans="1:5">
      <c r="A355" s="220" t="s">
        <v>5544</v>
      </c>
      <c r="B355" s="68"/>
      <c r="C355" s="68"/>
      <c r="D355" s="68"/>
      <c r="E355" s="68"/>
    </row>
    <row r="356" spans="1:5" ht="18">
      <c r="A356" s="221" t="s">
        <v>5545</v>
      </c>
      <c r="B356" s="68"/>
      <c r="C356" s="68"/>
      <c r="D356" s="68"/>
      <c r="E356" s="68"/>
    </row>
    <row r="357" spans="1:5">
      <c r="A357" s="220"/>
      <c r="B357" s="68"/>
      <c r="C357" s="68"/>
      <c r="D357" s="68"/>
      <c r="E357" s="68"/>
    </row>
    <row r="358" spans="1:5" ht="18">
      <c r="A358" s="245" t="s">
        <v>6018</v>
      </c>
      <c r="B358" s="68"/>
      <c r="C358" s="68"/>
      <c r="D358" s="68"/>
      <c r="E358" s="68"/>
    </row>
    <row r="359" spans="1:5">
      <c r="A359" s="221" t="s">
        <v>6020</v>
      </c>
      <c r="B359" s="220"/>
      <c r="C359" s="220"/>
      <c r="D359" s="220"/>
      <c r="E359" s="220"/>
    </row>
    <row r="360" spans="1:5">
      <c r="A360" s="220" t="s">
        <v>6021</v>
      </c>
      <c r="B360" s="220"/>
      <c r="C360" s="220"/>
      <c r="D360" s="220"/>
      <c r="E360" s="220"/>
    </row>
    <row r="361" spans="1:5">
      <c r="A361" s="220" t="s">
        <v>6022</v>
      </c>
      <c r="B361" s="220"/>
      <c r="C361" s="220"/>
      <c r="D361" s="220"/>
      <c r="E361" s="220"/>
    </row>
    <row r="362" spans="1:5">
      <c r="A362" s="220" t="s">
        <v>6024</v>
      </c>
      <c r="B362" s="220"/>
      <c r="C362" s="220"/>
      <c r="D362" s="220"/>
      <c r="E362" s="220"/>
    </row>
    <row r="363" spans="1:5">
      <c r="A363" s="220"/>
      <c r="B363" s="220"/>
      <c r="C363" s="220"/>
      <c r="D363" s="220"/>
      <c r="E363" s="220"/>
    </row>
    <row r="364" spans="1:5">
      <c r="A364" s="220"/>
      <c r="B364" s="220"/>
      <c r="C364" s="220"/>
      <c r="D364" s="220"/>
      <c r="E364" s="220"/>
    </row>
    <row r="365" spans="1:5">
      <c r="A365" s="220"/>
      <c r="B365" s="220"/>
      <c r="C365" s="220"/>
      <c r="D365" s="220"/>
      <c r="E365" s="220"/>
    </row>
    <row r="366" spans="1:5">
      <c r="A366" s="220"/>
      <c r="B366" s="220"/>
      <c r="C366" s="220"/>
      <c r="D366" s="220"/>
      <c r="E366" s="220"/>
    </row>
    <row r="367" spans="1:5">
      <c r="A367" s="220"/>
      <c r="B367" s="220"/>
      <c r="C367" s="220"/>
      <c r="D367" s="220"/>
      <c r="E367" s="220"/>
    </row>
    <row r="368" spans="1:5">
      <c r="A368" s="220"/>
      <c r="B368" s="220"/>
      <c r="C368" s="220"/>
      <c r="D368" s="220"/>
      <c r="E368" s="220"/>
    </row>
    <row r="369" spans="1:5">
      <c r="A369" s="220"/>
      <c r="B369" s="220"/>
      <c r="C369" s="220"/>
      <c r="D369" s="220"/>
      <c r="E369" s="220"/>
    </row>
  </sheetData>
  <conditionalFormatting sqref="G12:BN12 BQ12:BT12">
    <cfRule type="cellIs" dxfId="371" priority="176" stopIfTrue="1" operator="equal">
      <formula>#REF!</formula>
    </cfRule>
  </conditionalFormatting>
  <conditionalFormatting sqref="G12:BN12 BQ12:BT12 BQ14:BT14 BQ18:BT18 BQ24:BT24 BQ26:BT26 BQ28:BT28 BQ30:BT30 BQ32:BT32 BQ34:BT34 BQ38:BT38 BQ40:BT40 BQ42:BT42 BQ46:BT46 BQ58:BT58 BQ54:BT54 BQ52:BT52 BQ20:BT20 BQ70:BT70 BQ74:BT74 BQ78:BT78 BQ118:BT118 BQ120:BT120 BQ92:BT92 BQ96:BT96 BQ98:BT98 BQ100:BT100 BQ102:BT102 BQ106:BT106 BQ108:BT108 BQ110:BT110 BQ112:BT112 BQ122:BT122 BQ204:BT204 BQ208:BT208 BQ206 BQ212:BT212 BQ130:BT130 BQ134:BT134 BQ140:BT140 BQ138:BT138 BQ144:BT144 BQ142:BT142 BQ146:BT146 BQ148:BT148 BQ216:BT216 BQ170:BT170 BQ214:BT214 BQ174:BT174 BQ176:BT176 BQ178:BT178 BQ180:BT180 BQ182:BT182 BQ184:BT184 BQ188:BT188 BQ186:BT186 BQ198:BT198 BQ200:BT200 BQ220:BT220 BQ222:BT222 BQ226:BT226 BQ230:BT230 BQ238:BT238 BQ236:BT236 BQ234:BT234 BQ246:BT246 BQ240:BT240 BQ244:BT244 BQ242:BT242 BQ256:BT256 BQ254:BT254 BQ252:BT252 BQ250:BT250 BQ260:BT260 BQ258:BT258 BQ248:BT248 BQ262:BT262 BQ270:BT270 BQ268:BT268 BQ266:BT266 BQ264:BT264 BQ276:BT276 BQ274:BT274 BQ272:BT272 BQ284:BT284 BQ282:BT282 BQ280:BT280 BQ278:BT278 BQ316:BT316 BQ320:BT320 BQ296:BT296 BQ8:BT8 BQ298:BT298 BQ116:BT116 BQ304:BT304 BQ306:BT306">
    <cfRule type="containsBlanks" dxfId="370" priority="175" stopIfTrue="1">
      <formula>LEN(TRIM(G8))=0</formula>
    </cfRule>
  </conditionalFormatting>
  <conditionalFormatting sqref="G14:BN14 BQ14:BT14 BQ18:BT18 BQ24:BT24 BQ26:BT26 BQ28:BT28 BQ30:BT30 BQ32:BT32 BQ34:BT34 BQ38:BT38 BQ40:BT40 BQ42:BT42 BQ46:BT46 BQ58:BT58 BQ54:BT54 BQ52:BT52 BQ20:BT20 BQ70:BT70 BQ74:BT74 BQ78:BT78 BQ118:BT118 BQ120:BT120 BQ92:BT92 BQ96:BT96 BQ98:BT98 BQ100:BT100 BQ102:BT102 BQ106:BT106 BQ108:BT108 BQ110:BT110 BQ112:BT112 BQ122:BT122 BQ204:BT204 BQ208:BT208 BQ206 BQ212:BT212 BQ130:BT130 BQ134:BT134 BQ140:BT140 BQ138:BT138 BQ144:BT144 BQ142:BT142 BQ146:BT146 BQ148:BT148 BQ216:BT216 BQ170:BT170 BQ214:BT214 BQ174:BT174 BQ176:BT176 BQ178:BT178 BQ180:BT180 BQ182:BT182 BQ184:BT184 BQ188:BT188 BQ186:BT186 BQ198:BT198 BQ200:BT200 BQ220:BT220 BQ222:BT222 BQ226:BT226 BQ230:BT230 BQ238:BT238 BQ236:BT236 BQ234:BT234 BQ246:BT246 BQ240:BT240 BQ244:BT244 BQ242:BT242 BQ256:BT256 BQ254:BT254 BQ252:BT252 BQ250:BT250 BQ260:BT260 BQ258:BT258 BQ248:BT248 BQ262:BT262 BQ270:BT270 BQ268:BT268 BQ266:BT266 BQ264:BT264 BQ276:BT276 BQ274:BT274 BQ272:BT272 BQ284:BT284 BQ282:BT282 BQ280:BT280 BQ278:BT278 BQ316:BT316 BQ296:BT296 BQ8:BT8 BQ298:BT298 BQ116:BT116 BQ306:BT306">
    <cfRule type="cellIs" dxfId="369" priority="174" stopIfTrue="1" operator="equal">
      <formula>#REF!</formula>
    </cfRule>
  </conditionalFormatting>
  <conditionalFormatting sqref="G14:BN14">
    <cfRule type="containsBlanks" dxfId="368" priority="173" stopIfTrue="1">
      <formula>LEN(TRIM(G14))=0</formula>
    </cfRule>
  </conditionalFormatting>
  <conditionalFormatting sqref="G18:BN18">
    <cfRule type="cellIs" dxfId="367" priority="172" stopIfTrue="1" operator="equal">
      <formula>#REF!</formula>
    </cfRule>
  </conditionalFormatting>
  <conditionalFormatting sqref="G18:BN18">
    <cfRule type="containsBlanks" dxfId="366" priority="171" stopIfTrue="1">
      <formula>LEN(TRIM(G18))=0</formula>
    </cfRule>
  </conditionalFormatting>
  <conditionalFormatting sqref="G24:BN24">
    <cfRule type="cellIs" dxfId="365" priority="170" stopIfTrue="1" operator="equal">
      <formula>#REF!</formula>
    </cfRule>
  </conditionalFormatting>
  <conditionalFormatting sqref="G24:BN24">
    <cfRule type="containsBlanks" dxfId="364" priority="169" stopIfTrue="1">
      <formula>LEN(TRIM(G24))=0</formula>
    </cfRule>
  </conditionalFormatting>
  <conditionalFormatting sqref="G26:BN26">
    <cfRule type="cellIs" dxfId="363" priority="168" stopIfTrue="1" operator="equal">
      <formula>#REF!</formula>
    </cfRule>
  </conditionalFormatting>
  <conditionalFormatting sqref="G26:BN26">
    <cfRule type="containsBlanks" dxfId="362" priority="167" stopIfTrue="1">
      <formula>LEN(TRIM(G26))=0</formula>
    </cfRule>
  </conditionalFormatting>
  <conditionalFormatting sqref="G28:BN28">
    <cfRule type="cellIs" dxfId="361" priority="166" stopIfTrue="1" operator="equal">
      <formula>#REF!</formula>
    </cfRule>
  </conditionalFormatting>
  <conditionalFormatting sqref="G28:BN28">
    <cfRule type="containsBlanks" dxfId="360" priority="165" stopIfTrue="1">
      <formula>LEN(TRIM(G28))=0</formula>
    </cfRule>
  </conditionalFormatting>
  <conditionalFormatting sqref="G30:BN30">
    <cfRule type="cellIs" dxfId="359" priority="164" stopIfTrue="1" operator="equal">
      <formula>#REF!</formula>
    </cfRule>
  </conditionalFormatting>
  <conditionalFormatting sqref="G30:BN30">
    <cfRule type="containsBlanks" dxfId="358" priority="163" stopIfTrue="1">
      <formula>LEN(TRIM(G30))=0</formula>
    </cfRule>
  </conditionalFormatting>
  <conditionalFormatting sqref="G32:BN32">
    <cfRule type="cellIs" dxfId="357" priority="162" stopIfTrue="1" operator="equal">
      <formula>#REF!</formula>
    </cfRule>
  </conditionalFormatting>
  <conditionalFormatting sqref="G32:BN32">
    <cfRule type="containsBlanks" dxfId="356" priority="161" stopIfTrue="1">
      <formula>LEN(TRIM(G32))=0</formula>
    </cfRule>
  </conditionalFormatting>
  <conditionalFormatting sqref="G34:BN34">
    <cfRule type="cellIs" dxfId="355" priority="160" stopIfTrue="1" operator="equal">
      <formula>#REF!</formula>
    </cfRule>
  </conditionalFormatting>
  <conditionalFormatting sqref="G34:BN34">
    <cfRule type="containsBlanks" dxfId="354" priority="159" stopIfTrue="1">
      <formula>LEN(TRIM(G34))=0</formula>
    </cfRule>
  </conditionalFormatting>
  <conditionalFormatting sqref="G38:BN38">
    <cfRule type="cellIs" dxfId="353" priority="158" stopIfTrue="1" operator="equal">
      <formula>#REF!</formula>
    </cfRule>
  </conditionalFormatting>
  <conditionalFormatting sqref="G38:BN38">
    <cfRule type="containsBlanks" dxfId="352" priority="157" stopIfTrue="1">
      <formula>LEN(TRIM(G38))=0</formula>
    </cfRule>
  </conditionalFormatting>
  <conditionalFormatting sqref="G40:BN40">
    <cfRule type="cellIs" dxfId="351" priority="156" stopIfTrue="1" operator="equal">
      <formula>#REF!</formula>
    </cfRule>
  </conditionalFormatting>
  <conditionalFormatting sqref="G40:BN40">
    <cfRule type="containsBlanks" dxfId="350" priority="155" stopIfTrue="1">
      <formula>LEN(TRIM(G40))=0</formula>
    </cfRule>
  </conditionalFormatting>
  <conditionalFormatting sqref="G42:BN42">
    <cfRule type="cellIs" dxfId="349" priority="154" stopIfTrue="1" operator="equal">
      <formula>#REF!</formula>
    </cfRule>
  </conditionalFormatting>
  <conditionalFormatting sqref="G42:BN42">
    <cfRule type="containsBlanks" dxfId="348" priority="153" stopIfTrue="1">
      <formula>LEN(TRIM(G42))=0</formula>
    </cfRule>
  </conditionalFormatting>
  <conditionalFormatting sqref="G46:BN46">
    <cfRule type="cellIs" dxfId="347" priority="152" stopIfTrue="1" operator="equal">
      <formula>#REF!</formula>
    </cfRule>
  </conditionalFormatting>
  <conditionalFormatting sqref="G46:BN46">
    <cfRule type="containsBlanks" dxfId="346" priority="151" stopIfTrue="1">
      <formula>LEN(TRIM(G46))=0</formula>
    </cfRule>
  </conditionalFormatting>
  <conditionalFormatting sqref="G58:BN58">
    <cfRule type="cellIs" dxfId="345" priority="150" stopIfTrue="1" operator="equal">
      <formula>#REF!</formula>
    </cfRule>
  </conditionalFormatting>
  <conditionalFormatting sqref="G58:BN58">
    <cfRule type="containsBlanks" dxfId="344" priority="149" stopIfTrue="1">
      <formula>LEN(TRIM(G58))=0</formula>
    </cfRule>
  </conditionalFormatting>
  <conditionalFormatting sqref="G54:BN54">
    <cfRule type="cellIs" dxfId="343" priority="148" stopIfTrue="1" operator="equal">
      <formula>#REF!</formula>
    </cfRule>
  </conditionalFormatting>
  <conditionalFormatting sqref="G54:BN54">
    <cfRule type="containsBlanks" dxfId="342" priority="147" stopIfTrue="1">
      <formula>LEN(TRIM(G54))=0</formula>
    </cfRule>
  </conditionalFormatting>
  <conditionalFormatting sqref="G52:X52 AA52:BN52">
    <cfRule type="cellIs" dxfId="341" priority="146" stopIfTrue="1" operator="equal">
      <formula>#REF!</formula>
    </cfRule>
  </conditionalFormatting>
  <conditionalFormatting sqref="G52:X52 AA52:BN52">
    <cfRule type="containsBlanks" dxfId="340" priority="145" stopIfTrue="1">
      <formula>LEN(TRIM(G52))=0</formula>
    </cfRule>
  </conditionalFormatting>
  <conditionalFormatting sqref="G20:BN20">
    <cfRule type="cellIs" dxfId="339" priority="144" stopIfTrue="1" operator="equal">
      <formula>#REF!</formula>
    </cfRule>
  </conditionalFormatting>
  <conditionalFormatting sqref="G20:BN20">
    <cfRule type="containsBlanks" dxfId="338" priority="143" stopIfTrue="1">
      <formula>LEN(TRIM(G20))=0</formula>
    </cfRule>
  </conditionalFormatting>
  <conditionalFormatting sqref="G70:BN70">
    <cfRule type="cellIs" dxfId="337" priority="142" stopIfTrue="1" operator="equal">
      <formula>#REF!</formula>
    </cfRule>
  </conditionalFormatting>
  <conditionalFormatting sqref="G70:BN70">
    <cfRule type="containsBlanks" dxfId="336" priority="141" stopIfTrue="1">
      <formula>LEN(TRIM(G70))=0</formula>
    </cfRule>
  </conditionalFormatting>
  <conditionalFormatting sqref="G74:BN74">
    <cfRule type="cellIs" dxfId="335" priority="140" stopIfTrue="1" operator="equal">
      <formula>#REF!</formula>
    </cfRule>
  </conditionalFormatting>
  <conditionalFormatting sqref="G74:BN74">
    <cfRule type="containsBlanks" dxfId="334" priority="139" stopIfTrue="1">
      <formula>LEN(TRIM(G74))=0</formula>
    </cfRule>
  </conditionalFormatting>
  <conditionalFormatting sqref="G78:BN78">
    <cfRule type="cellIs" dxfId="333" priority="138" stopIfTrue="1" operator="equal">
      <formula>#REF!</formula>
    </cfRule>
  </conditionalFormatting>
  <conditionalFormatting sqref="G78:BN78">
    <cfRule type="containsBlanks" dxfId="332" priority="137" stopIfTrue="1">
      <formula>LEN(TRIM(G78))=0</formula>
    </cfRule>
  </conditionalFormatting>
  <conditionalFormatting sqref="G118:BN118">
    <cfRule type="cellIs" dxfId="331" priority="136" stopIfTrue="1" operator="equal">
      <formula>#REF!</formula>
    </cfRule>
  </conditionalFormatting>
  <conditionalFormatting sqref="G118:BN118">
    <cfRule type="containsBlanks" dxfId="330" priority="135" stopIfTrue="1">
      <formula>LEN(TRIM(G118))=0</formula>
    </cfRule>
  </conditionalFormatting>
  <conditionalFormatting sqref="G120:BN120">
    <cfRule type="cellIs" dxfId="329" priority="134" stopIfTrue="1" operator="equal">
      <formula>#REF!</formula>
    </cfRule>
  </conditionalFormatting>
  <conditionalFormatting sqref="G120:BN120">
    <cfRule type="containsBlanks" dxfId="328" priority="133" stopIfTrue="1">
      <formula>LEN(TRIM(G120))=0</formula>
    </cfRule>
  </conditionalFormatting>
  <conditionalFormatting sqref="G92:BN92">
    <cfRule type="cellIs" dxfId="327" priority="132" stopIfTrue="1" operator="equal">
      <formula>#REF!</formula>
    </cfRule>
  </conditionalFormatting>
  <conditionalFormatting sqref="G92:BN92">
    <cfRule type="containsBlanks" dxfId="326" priority="131" stopIfTrue="1">
      <formula>LEN(TRIM(G92))=0</formula>
    </cfRule>
  </conditionalFormatting>
  <conditionalFormatting sqref="G96:BN96">
    <cfRule type="cellIs" dxfId="325" priority="130" stopIfTrue="1" operator="equal">
      <formula>#REF!</formula>
    </cfRule>
  </conditionalFormatting>
  <conditionalFormatting sqref="G96:BN96">
    <cfRule type="containsBlanks" dxfId="324" priority="129" stopIfTrue="1">
      <formula>LEN(TRIM(G96))=0</formula>
    </cfRule>
  </conditionalFormatting>
  <conditionalFormatting sqref="G98:BN98">
    <cfRule type="cellIs" dxfId="323" priority="128" stopIfTrue="1" operator="equal">
      <formula>#REF!</formula>
    </cfRule>
  </conditionalFormatting>
  <conditionalFormatting sqref="G98:BN98">
    <cfRule type="containsBlanks" dxfId="322" priority="127" stopIfTrue="1">
      <formula>LEN(TRIM(G98))=0</formula>
    </cfRule>
  </conditionalFormatting>
  <conditionalFormatting sqref="G102:BN102 G100:BN100">
    <cfRule type="cellIs" dxfId="321" priority="126" stopIfTrue="1" operator="equal">
      <formula>#REF!</formula>
    </cfRule>
  </conditionalFormatting>
  <conditionalFormatting sqref="G102:BN102 G100:BN100">
    <cfRule type="containsBlanks" dxfId="320" priority="125" stopIfTrue="1">
      <formula>LEN(TRIM(G100))=0</formula>
    </cfRule>
  </conditionalFormatting>
  <conditionalFormatting sqref="G106:BN106">
    <cfRule type="cellIs" dxfId="319" priority="124" stopIfTrue="1" operator="equal">
      <formula>#REF!</formula>
    </cfRule>
  </conditionalFormatting>
  <conditionalFormatting sqref="G106:BN106">
    <cfRule type="containsBlanks" dxfId="318" priority="123" stopIfTrue="1">
      <formula>LEN(TRIM(G106))=0</formula>
    </cfRule>
  </conditionalFormatting>
  <conditionalFormatting sqref="G108:BN108">
    <cfRule type="cellIs" dxfId="317" priority="122" stopIfTrue="1" operator="equal">
      <formula>#REF!</formula>
    </cfRule>
  </conditionalFormatting>
  <conditionalFormatting sqref="G108:BN108">
    <cfRule type="containsBlanks" dxfId="316" priority="121" stopIfTrue="1">
      <formula>LEN(TRIM(G108))=0</formula>
    </cfRule>
  </conditionalFormatting>
  <conditionalFormatting sqref="G110:BN110">
    <cfRule type="cellIs" dxfId="315" priority="120" stopIfTrue="1" operator="equal">
      <formula>#REF!</formula>
    </cfRule>
  </conditionalFormatting>
  <conditionalFormatting sqref="G110:BN110">
    <cfRule type="containsBlanks" dxfId="314" priority="119" stopIfTrue="1">
      <formula>LEN(TRIM(G110))=0</formula>
    </cfRule>
  </conditionalFormatting>
  <conditionalFormatting sqref="G112:BN112">
    <cfRule type="cellIs" dxfId="313" priority="118" stopIfTrue="1" operator="equal">
      <formula>#REF!</formula>
    </cfRule>
  </conditionalFormatting>
  <conditionalFormatting sqref="G112:BN112">
    <cfRule type="containsBlanks" dxfId="312" priority="117" stopIfTrue="1">
      <formula>LEN(TRIM(G112))=0</formula>
    </cfRule>
  </conditionalFormatting>
  <conditionalFormatting sqref="G122:BN122">
    <cfRule type="cellIs" dxfId="311" priority="116" stopIfTrue="1" operator="equal">
      <formula>#REF!</formula>
    </cfRule>
  </conditionalFormatting>
  <conditionalFormatting sqref="G122:BN122">
    <cfRule type="containsBlanks" dxfId="310" priority="115" stopIfTrue="1">
      <formula>LEN(TRIM(G122))=0</formula>
    </cfRule>
  </conditionalFormatting>
  <conditionalFormatting sqref="G204:BN204">
    <cfRule type="cellIs" dxfId="309" priority="114" stopIfTrue="1" operator="equal">
      <formula>#REF!</formula>
    </cfRule>
  </conditionalFormatting>
  <conditionalFormatting sqref="G204:BN204">
    <cfRule type="containsBlanks" dxfId="308" priority="113" stopIfTrue="1">
      <formula>LEN(TRIM(G204))=0</formula>
    </cfRule>
  </conditionalFormatting>
  <conditionalFormatting sqref="G206:M206 G208:BN208 O206:AG206 AI206:BE206 BG206:BK206 BM206:BN206">
    <cfRule type="cellIs" dxfId="307" priority="112" stopIfTrue="1" operator="equal">
      <formula>#REF!</formula>
    </cfRule>
  </conditionalFormatting>
  <conditionalFormatting sqref="G206:M206 G208:BN208 O206:AG206 AI206:BE206 BG206:BK206 BM206:BN206">
    <cfRule type="containsBlanks" dxfId="306" priority="111" stopIfTrue="1">
      <formula>LEN(TRIM(G206))=0</formula>
    </cfRule>
  </conditionalFormatting>
  <conditionalFormatting sqref="G212:BN212">
    <cfRule type="cellIs" dxfId="305" priority="110" stopIfTrue="1" operator="equal">
      <formula>#REF!</formula>
    </cfRule>
  </conditionalFormatting>
  <conditionalFormatting sqref="G212:BN212">
    <cfRule type="containsBlanks" dxfId="304" priority="109" stopIfTrue="1">
      <formula>LEN(TRIM(G212))=0</formula>
    </cfRule>
  </conditionalFormatting>
  <conditionalFormatting sqref="G130:BN130">
    <cfRule type="cellIs" dxfId="303" priority="108" stopIfTrue="1" operator="equal">
      <formula>#REF!</formula>
    </cfRule>
  </conditionalFormatting>
  <conditionalFormatting sqref="G130:BN130">
    <cfRule type="containsBlanks" dxfId="302" priority="107" stopIfTrue="1">
      <formula>LEN(TRIM(G130))=0</formula>
    </cfRule>
  </conditionalFormatting>
  <conditionalFormatting sqref="G134:BN134">
    <cfRule type="cellIs" dxfId="301" priority="106" stopIfTrue="1" operator="equal">
      <formula>#REF!</formula>
    </cfRule>
  </conditionalFormatting>
  <conditionalFormatting sqref="G134:BN134">
    <cfRule type="containsBlanks" dxfId="300" priority="105" stopIfTrue="1">
      <formula>LEN(TRIM(G134))=0</formula>
    </cfRule>
  </conditionalFormatting>
  <conditionalFormatting sqref="G140:BN140">
    <cfRule type="cellIs" dxfId="299" priority="104" stopIfTrue="1" operator="equal">
      <formula>#REF!</formula>
    </cfRule>
  </conditionalFormatting>
  <conditionalFormatting sqref="G140:BN140">
    <cfRule type="containsBlanks" dxfId="298" priority="103" stopIfTrue="1">
      <formula>LEN(TRIM(G140))=0</formula>
    </cfRule>
  </conditionalFormatting>
  <conditionalFormatting sqref="G138:BN138">
    <cfRule type="cellIs" dxfId="297" priority="102" stopIfTrue="1" operator="equal">
      <formula>#REF!</formula>
    </cfRule>
  </conditionalFormatting>
  <conditionalFormatting sqref="G138:BN138">
    <cfRule type="containsBlanks" dxfId="296" priority="101" stopIfTrue="1">
      <formula>LEN(TRIM(G138))=0</formula>
    </cfRule>
  </conditionalFormatting>
  <conditionalFormatting sqref="G142:BN142 G144:BN144">
    <cfRule type="cellIs" dxfId="295" priority="100" stopIfTrue="1" operator="equal">
      <formula>#REF!</formula>
    </cfRule>
  </conditionalFormatting>
  <conditionalFormatting sqref="G142:BN142 G144:BN144">
    <cfRule type="containsBlanks" dxfId="294" priority="99" stopIfTrue="1">
      <formula>LEN(TRIM(G142))=0</formula>
    </cfRule>
  </conditionalFormatting>
  <conditionalFormatting sqref="G148:BN148 G146:BN146">
    <cfRule type="cellIs" dxfId="293" priority="98" stopIfTrue="1" operator="equal">
      <formula>#REF!</formula>
    </cfRule>
  </conditionalFormatting>
  <conditionalFormatting sqref="G148:BN148 G146:BN146">
    <cfRule type="containsBlanks" dxfId="292" priority="97" stopIfTrue="1">
      <formula>LEN(TRIM(G146))=0</formula>
    </cfRule>
  </conditionalFormatting>
  <conditionalFormatting sqref="G216:BN216">
    <cfRule type="cellIs" dxfId="291" priority="96" stopIfTrue="1" operator="equal">
      <formula>#REF!</formula>
    </cfRule>
  </conditionalFormatting>
  <conditionalFormatting sqref="G216:BN216">
    <cfRule type="containsBlanks" dxfId="290" priority="95" stopIfTrue="1">
      <formula>LEN(TRIM(G216))=0</formula>
    </cfRule>
  </conditionalFormatting>
  <conditionalFormatting sqref="G170:BN170">
    <cfRule type="cellIs" dxfId="289" priority="94" stopIfTrue="1" operator="equal">
      <formula>#REF!</formula>
    </cfRule>
  </conditionalFormatting>
  <conditionalFormatting sqref="G170:BN170">
    <cfRule type="containsBlanks" dxfId="288" priority="93" stopIfTrue="1">
      <formula>LEN(TRIM(G170))=0</formula>
    </cfRule>
  </conditionalFormatting>
  <conditionalFormatting sqref="G214:BN214">
    <cfRule type="cellIs" dxfId="287" priority="92" stopIfTrue="1" operator="equal">
      <formula>#REF!</formula>
    </cfRule>
  </conditionalFormatting>
  <conditionalFormatting sqref="G214:BN214">
    <cfRule type="containsBlanks" dxfId="286" priority="91" stopIfTrue="1">
      <formula>LEN(TRIM(G214))=0</formula>
    </cfRule>
  </conditionalFormatting>
  <conditionalFormatting sqref="G174:BN174">
    <cfRule type="cellIs" dxfId="285" priority="90" stopIfTrue="1" operator="equal">
      <formula>#REF!</formula>
    </cfRule>
  </conditionalFormatting>
  <conditionalFormatting sqref="G174:BN174">
    <cfRule type="containsBlanks" dxfId="284" priority="89" stopIfTrue="1">
      <formula>LEN(TRIM(G174))=0</formula>
    </cfRule>
  </conditionalFormatting>
  <conditionalFormatting sqref="G176:BN176">
    <cfRule type="cellIs" dxfId="283" priority="88" stopIfTrue="1" operator="equal">
      <formula>#REF!</formula>
    </cfRule>
  </conditionalFormatting>
  <conditionalFormatting sqref="G176:BN176">
    <cfRule type="containsBlanks" dxfId="282" priority="87" stopIfTrue="1">
      <formula>LEN(TRIM(G176))=0</formula>
    </cfRule>
  </conditionalFormatting>
  <conditionalFormatting sqref="G178:BN178">
    <cfRule type="cellIs" dxfId="281" priority="86" stopIfTrue="1" operator="equal">
      <formula>#REF!</formula>
    </cfRule>
  </conditionalFormatting>
  <conditionalFormatting sqref="G178:BN178">
    <cfRule type="containsBlanks" dxfId="280" priority="85" stopIfTrue="1">
      <formula>LEN(TRIM(G178))=0</formula>
    </cfRule>
  </conditionalFormatting>
  <conditionalFormatting sqref="G180:BN180">
    <cfRule type="cellIs" dxfId="279" priority="84" stopIfTrue="1" operator="equal">
      <formula>#REF!</formula>
    </cfRule>
  </conditionalFormatting>
  <conditionalFormatting sqref="G180:BN180">
    <cfRule type="containsBlanks" dxfId="278" priority="83" stopIfTrue="1">
      <formula>LEN(TRIM(G180))=0</formula>
    </cfRule>
  </conditionalFormatting>
  <conditionalFormatting sqref="G182:BN182">
    <cfRule type="cellIs" dxfId="277" priority="82" stopIfTrue="1" operator="equal">
      <formula>#REF!</formula>
    </cfRule>
  </conditionalFormatting>
  <conditionalFormatting sqref="G182:BN182">
    <cfRule type="containsBlanks" dxfId="276" priority="81" stopIfTrue="1">
      <formula>LEN(TRIM(G182))=0</formula>
    </cfRule>
  </conditionalFormatting>
  <conditionalFormatting sqref="G184:BN184">
    <cfRule type="cellIs" dxfId="275" priority="80" stopIfTrue="1" operator="equal">
      <formula>#REF!</formula>
    </cfRule>
  </conditionalFormatting>
  <conditionalFormatting sqref="G184:BN184">
    <cfRule type="containsBlanks" dxfId="274" priority="79" stopIfTrue="1">
      <formula>LEN(TRIM(G184))=0</formula>
    </cfRule>
  </conditionalFormatting>
  <conditionalFormatting sqref="AT186:BN186 G186:AR186 G188:BN188">
    <cfRule type="cellIs" dxfId="273" priority="78" stopIfTrue="1" operator="equal">
      <formula>#REF!</formula>
    </cfRule>
  </conditionalFormatting>
  <conditionalFormatting sqref="AT186:BN186 G186:AR186 G188:BN188">
    <cfRule type="containsBlanks" dxfId="272" priority="77" stopIfTrue="1">
      <formula>LEN(TRIM(G186))=0</formula>
    </cfRule>
  </conditionalFormatting>
  <conditionalFormatting sqref="G198:BN198">
    <cfRule type="cellIs" dxfId="271" priority="76" stopIfTrue="1" operator="equal">
      <formula>#REF!</formula>
    </cfRule>
  </conditionalFormatting>
  <conditionalFormatting sqref="G198:BN198">
    <cfRule type="containsBlanks" dxfId="270" priority="75" stopIfTrue="1">
      <formula>LEN(TRIM(G198))=0</formula>
    </cfRule>
  </conditionalFormatting>
  <conditionalFormatting sqref="G200:BN200">
    <cfRule type="cellIs" dxfId="269" priority="74" stopIfTrue="1" operator="equal">
      <formula>#REF!</formula>
    </cfRule>
  </conditionalFormatting>
  <conditionalFormatting sqref="G200:BN200">
    <cfRule type="containsBlanks" dxfId="268" priority="73" stopIfTrue="1">
      <formula>LEN(TRIM(G200))=0</formula>
    </cfRule>
  </conditionalFormatting>
  <conditionalFormatting sqref="G220:BN220">
    <cfRule type="cellIs" dxfId="267" priority="72" stopIfTrue="1" operator="equal">
      <formula>#REF!</formula>
    </cfRule>
  </conditionalFormatting>
  <conditionalFormatting sqref="G220:BN220">
    <cfRule type="containsBlanks" dxfId="266" priority="71" stopIfTrue="1">
      <formula>LEN(TRIM(G220))=0</formula>
    </cfRule>
  </conditionalFormatting>
  <conditionalFormatting sqref="G222:BN222">
    <cfRule type="cellIs" dxfId="265" priority="70" stopIfTrue="1" operator="equal">
      <formula>#REF!</formula>
    </cfRule>
  </conditionalFormatting>
  <conditionalFormatting sqref="G222:BN222">
    <cfRule type="containsBlanks" dxfId="264" priority="69" stopIfTrue="1">
      <formula>LEN(TRIM(G222))=0</formula>
    </cfRule>
  </conditionalFormatting>
  <conditionalFormatting sqref="G226:BN226">
    <cfRule type="cellIs" dxfId="263" priority="68" stopIfTrue="1" operator="equal">
      <formula>#REF!</formula>
    </cfRule>
  </conditionalFormatting>
  <conditionalFormatting sqref="G226:BN226">
    <cfRule type="containsBlanks" dxfId="262" priority="67" stopIfTrue="1">
      <formula>LEN(TRIM(G226))=0</formula>
    </cfRule>
  </conditionalFormatting>
  <conditionalFormatting sqref="G230:BN230">
    <cfRule type="cellIs" dxfId="261" priority="66" stopIfTrue="1" operator="equal">
      <formula>#REF!</formula>
    </cfRule>
  </conditionalFormatting>
  <conditionalFormatting sqref="G230:BN230">
    <cfRule type="containsBlanks" dxfId="260" priority="65" stopIfTrue="1">
      <formula>LEN(TRIM(G230))=0</formula>
    </cfRule>
  </conditionalFormatting>
  <conditionalFormatting sqref="G234:BN234 G236:BN236 G238:BN238">
    <cfRule type="cellIs" dxfId="259" priority="64" stopIfTrue="1" operator="equal">
      <formula>#REF!</formula>
    </cfRule>
  </conditionalFormatting>
  <conditionalFormatting sqref="G234:BN234 G236:BN236 G238:BN238">
    <cfRule type="containsBlanks" dxfId="258" priority="63" stopIfTrue="1">
      <formula>LEN(TRIM(G234))=0</formula>
    </cfRule>
  </conditionalFormatting>
  <conditionalFormatting sqref="G242:BN242 G244:BN244 G240:BN240 G246:BN246">
    <cfRule type="cellIs" dxfId="257" priority="62" stopIfTrue="1" operator="equal">
      <formula>#REF!</formula>
    </cfRule>
  </conditionalFormatting>
  <conditionalFormatting sqref="G242:BN242 G244:BN244 G240:BN240 G246:BN246">
    <cfRule type="containsBlanks" dxfId="256" priority="61" stopIfTrue="1">
      <formula>LEN(TRIM(G240))=0</formula>
    </cfRule>
  </conditionalFormatting>
  <conditionalFormatting sqref="G248:BN248 G258:BN258 G260:BN260 G250:BN250 G252:BN252 G254:BN254 G256:BN256">
    <cfRule type="cellIs" dxfId="255" priority="60" stopIfTrue="1" operator="equal">
      <formula>#REF!</formula>
    </cfRule>
  </conditionalFormatting>
  <conditionalFormatting sqref="G248:BN248 G258:BN258 G260:BN260 G250:BN250 G252:BN252 G254:BN254 G256:BN256">
    <cfRule type="containsBlanks" dxfId="254" priority="59" stopIfTrue="1">
      <formula>LEN(TRIM(G248))=0</formula>
    </cfRule>
  </conditionalFormatting>
  <conditionalFormatting sqref="G262:BN262">
    <cfRule type="cellIs" dxfId="253" priority="58" stopIfTrue="1" operator="equal">
      <formula>#REF!</formula>
    </cfRule>
  </conditionalFormatting>
  <conditionalFormatting sqref="G262:BN262">
    <cfRule type="containsBlanks" dxfId="252" priority="57" stopIfTrue="1">
      <formula>LEN(TRIM(G262))=0</formula>
    </cfRule>
  </conditionalFormatting>
  <conditionalFormatting sqref="G264:BN264 G266:BN266 G268:BN268 G270:BN270">
    <cfRule type="cellIs" dxfId="251" priority="56" stopIfTrue="1" operator="equal">
      <formula>#REF!</formula>
    </cfRule>
  </conditionalFormatting>
  <conditionalFormatting sqref="G264:BN264 G266:BN266 G268:BN268 G270:BN270">
    <cfRule type="containsBlanks" dxfId="250" priority="55" stopIfTrue="1">
      <formula>LEN(TRIM(G264))=0</formula>
    </cfRule>
  </conditionalFormatting>
  <conditionalFormatting sqref="G272:BN272 G274:BN274 G276:BN276">
    <cfRule type="cellIs" dxfId="249" priority="54" stopIfTrue="1" operator="equal">
      <formula>#REF!</formula>
    </cfRule>
  </conditionalFormatting>
  <conditionalFormatting sqref="G272:BN272 G274:BN274 G276:BN276">
    <cfRule type="containsBlanks" dxfId="248" priority="53" stopIfTrue="1">
      <formula>LEN(TRIM(G272))=0</formula>
    </cfRule>
  </conditionalFormatting>
  <conditionalFormatting sqref="G278:BN278 G280:BN280 G282:BN282 G284:BN284">
    <cfRule type="cellIs" dxfId="247" priority="52" stopIfTrue="1" operator="equal">
      <formula>#REF!</formula>
    </cfRule>
  </conditionalFormatting>
  <conditionalFormatting sqref="G278:BN278 G280:BN280 G282:BN282 G284:BN284">
    <cfRule type="containsBlanks" dxfId="246" priority="51" stopIfTrue="1">
      <formula>LEN(TRIM(G278))=0</formula>
    </cfRule>
  </conditionalFormatting>
  <conditionalFormatting sqref="AR314 G314:L314 O314:W314 AD314">
    <cfRule type="cellIs" dxfId="245" priority="50" stopIfTrue="1" operator="equal">
      <formula>#REF!</formula>
    </cfRule>
  </conditionalFormatting>
  <conditionalFormatting sqref="BT314 BH314:BN314 BC314:BD314 AR314 G314:L314 N314:X314 AB314:AM314">
    <cfRule type="containsBlanks" dxfId="244" priority="49" stopIfTrue="1">
      <formula>LEN(TRIM(G314))=0</formula>
    </cfRule>
  </conditionalFormatting>
  <conditionalFormatting sqref="AH316:BN316 U317:V317 AC316:AG317 G316:AB316">
    <cfRule type="cellIs" dxfId="243" priority="48" stopIfTrue="1" operator="equal">
      <formula>#REF!</formula>
    </cfRule>
  </conditionalFormatting>
  <conditionalFormatting sqref="AH316:BN316 U317:V317 AC316:AG317 G316:AB316">
    <cfRule type="containsBlanks" dxfId="242" priority="47" stopIfTrue="1">
      <formula>LEN(TRIM(G316))=0</formula>
    </cfRule>
  </conditionalFormatting>
  <conditionalFormatting sqref="BG320 S320 AD320:AG320 G320:L320">
    <cfRule type="cellIs" dxfId="241" priority="46" stopIfTrue="1" operator="equal">
      <formula>#REF!</formula>
    </cfRule>
  </conditionalFormatting>
  <conditionalFormatting sqref="G320:BN320">
    <cfRule type="containsBlanks" dxfId="240" priority="45" stopIfTrue="1">
      <formula>LEN(TRIM(G320))=0</formula>
    </cfRule>
  </conditionalFormatting>
  <conditionalFormatting sqref="G296:BN296">
    <cfRule type="cellIs" dxfId="239" priority="44" stopIfTrue="1" operator="equal">
      <formula>#REF!</formula>
    </cfRule>
  </conditionalFormatting>
  <conditionalFormatting sqref="G296:BN296">
    <cfRule type="containsBlanks" dxfId="238" priority="43" stopIfTrue="1">
      <formula>LEN(TRIM(G296))=0</formula>
    </cfRule>
  </conditionalFormatting>
  <conditionalFormatting sqref="G8:BN8">
    <cfRule type="cellIs" dxfId="237" priority="42" stopIfTrue="1" operator="equal">
      <formula>#REF!</formula>
    </cfRule>
  </conditionalFormatting>
  <conditionalFormatting sqref="G8:BN8">
    <cfRule type="containsBlanks" dxfId="236" priority="41" stopIfTrue="1">
      <formula>LEN(TRIM(G8))=0</formula>
    </cfRule>
  </conditionalFormatting>
  <conditionalFormatting sqref="G298:BN298">
    <cfRule type="cellIs" dxfId="235" priority="40" stopIfTrue="1" operator="equal">
      <formula>#REF!</formula>
    </cfRule>
  </conditionalFormatting>
  <conditionalFormatting sqref="G298:BN298">
    <cfRule type="containsBlanks" dxfId="234" priority="39" stopIfTrue="1">
      <formula>LEN(TRIM(G298))=0</formula>
    </cfRule>
  </conditionalFormatting>
  <conditionalFormatting sqref="G116:BN116">
    <cfRule type="cellIs" dxfId="233" priority="38" stopIfTrue="1" operator="equal">
      <formula>#REF!</formula>
    </cfRule>
  </conditionalFormatting>
  <conditionalFormatting sqref="G116:BN116">
    <cfRule type="containsBlanks" dxfId="232" priority="37" stopIfTrue="1">
      <formula>LEN(TRIM(G116))=0</formula>
    </cfRule>
  </conditionalFormatting>
  <conditionalFormatting sqref="H104:J104">
    <cfRule type="containsBlanks" dxfId="231" priority="33" stopIfTrue="1">
      <formula>LEN(TRIM(H102))=0</formula>
    </cfRule>
  </conditionalFormatting>
  <conditionalFormatting sqref="M104">
    <cfRule type="containsBlanks" dxfId="230" priority="34" stopIfTrue="1">
      <formula>LEN(TRIM(I102))=0</formula>
    </cfRule>
  </conditionalFormatting>
  <conditionalFormatting sqref="L104">
    <cfRule type="containsBlanks" dxfId="229" priority="35" stopIfTrue="1">
      <formula>LEN(TRIM(I102))=0</formula>
    </cfRule>
  </conditionalFormatting>
  <conditionalFormatting sqref="K104">
    <cfRule type="containsBlanks" dxfId="228" priority="36" stopIfTrue="1">
      <formula>LEN(TRIM(I102))=0</formula>
    </cfRule>
  </conditionalFormatting>
  <conditionalFormatting sqref="L104:M104">
    <cfRule type="cellIs" dxfId="227" priority="32" stopIfTrue="1" operator="equal">
      <formula>#REF!</formula>
    </cfRule>
  </conditionalFormatting>
  <conditionalFormatting sqref="K104">
    <cfRule type="cellIs" dxfId="226" priority="31" stopIfTrue="1" operator="equal">
      <formula>#REF!</formula>
    </cfRule>
  </conditionalFormatting>
  <conditionalFormatting sqref="H104 BQ304:BT304">
    <cfRule type="cellIs" dxfId="225" priority="30" stopIfTrue="1" operator="equal">
      <formula>#REF!</formula>
    </cfRule>
  </conditionalFormatting>
  <conditionalFormatting sqref="I104:J104">
    <cfRule type="cellIs" dxfId="224" priority="29" stopIfTrue="1" operator="equal">
      <formula>#REF!</formula>
    </cfRule>
  </conditionalFormatting>
  <conditionalFormatting sqref="G304:BN304">
    <cfRule type="cellIs" dxfId="223" priority="28" stopIfTrue="1" operator="equal">
      <formula>#REF!</formula>
    </cfRule>
  </conditionalFormatting>
  <conditionalFormatting sqref="G304:BN304">
    <cfRule type="containsBlanks" dxfId="222" priority="27" stopIfTrue="1">
      <formula>LEN(TRIM(G304))=0</formula>
    </cfRule>
  </conditionalFormatting>
  <conditionalFormatting sqref="G306:BN306">
    <cfRule type="cellIs" dxfId="221" priority="26" stopIfTrue="1" operator="equal">
      <formula>#REF!</formula>
    </cfRule>
  </conditionalFormatting>
  <conditionalFormatting sqref="G306:BN306">
    <cfRule type="containsBlanks" dxfId="220" priority="25" stopIfTrue="1">
      <formula>LEN(TRIM(G306))=0</formula>
    </cfRule>
  </conditionalFormatting>
  <conditionalFormatting sqref="U315:V315 AC315:AG315">
    <cfRule type="cellIs" dxfId="219" priority="24" stopIfTrue="1" operator="equal">
      <formula>#REF!</formula>
    </cfRule>
  </conditionalFormatting>
  <conditionalFormatting sqref="U315:V315 AC315:AG315">
    <cfRule type="containsBlanks" dxfId="218" priority="23" stopIfTrue="1">
      <formula>LEN(TRIM(U315))=0</formula>
    </cfRule>
  </conditionalFormatting>
  <conditionalFormatting sqref="N228:Q228">
    <cfRule type="cellIs" dxfId="217" priority="22" stopIfTrue="1" operator="equal">
      <formula>#REF!</formula>
    </cfRule>
  </conditionalFormatting>
  <conditionalFormatting sqref="N228:Q228">
    <cfRule type="containsBlanks" dxfId="216" priority="21" stopIfTrue="1">
      <formula>LEN(TRIM(K230))=0</formula>
    </cfRule>
  </conditionalFormatting>
  <conditionalFormatting sqref="J210">
    <cfRule type="cellIs" dxfId="215" priority="20" stopIfTrue="1" operator="equal">
      <formula>#REF!</formula>
    </cfRule>
  </conditionalFormatting>
  <conditionalFormatting sqref="J210">
    <cfRule type="containsBlanks" dxfId="214" priority="19" stopIfTrue="1">
      <formula>LEN(TRIM(J210))=0</formula>
    </cfRule>
  </conditionalFormatting>
  <conditionalFormatting sqref="K210">
    <cfRule type="cellIs" dxfId="213" priority="18" stopIfTrue="1" operator="equal">
      <formula>#REF!</formula>
    </cfRule>
  </conditionalFormatting>
  <conditionalFormatting sqref="K210">
    <cfRule type="containsBlanks" dxfId="212" priority="17" stopIfTrue="1">
      <formula>LEN(TRIM(K210))=0</formula>
    </cfRule>
  </conditionalFormatting>
  <conditionalFormatting sqref="M210">
    <cfRule type="cellIs" dxfId="211" priority="16" stopIfTrue="1" operator="equal">
      <formula>#REF!</formula>
    </cfRule>
  </conditionalFormatting>
  <conditionalFormatting sqref="M210">
    <cfRule type="containsBlanks" dxfId="210" priority="15" stopIfTrue="1">
      <formula>LEN(TRIM(M210))=0</formula>
    </cfRule>
  </conditionalFormatting>
  <conditionalFormatting sqref="N206">
    <cfRule type="cellIs" dxfId="209" priority="14" stopIfTrue="1" operator="equal">
      <formula>#REF!</formula>
    </cfRule>
  </conditionalFormatting>
  <conditionalFormatting sqref="N206">
    <cfRule type="containsBlanks" dxfId="208" priority="13" stopIfTrue="1">
      <formula>LEN(TRIM(N206))=0</formula>
    </cfRule>
  </conditionalFormatting>
  <conditionalFormatting sqref="T210">
    <cfRule type="cellIs" dxfId="207" priority="12" stopIfTrue="1" operator="equal">
      <formula>#REF!</formula>
    </cfRule>
  </conditionalFormatting>
  <conditionalFormatting sqref="T210">
    <cfRule type="containsBlanks" dxfId="206" priority="11" stopIfTrue="1">
      <formula>LEN(TRIM(T210))=0</formula>
    </cfRule>
  </conditionalFormatting>
  <conditionalFormatting sqref="Y210">
    <cfRule type="cellIs" dxfId="205" priority="10" stopIfTrue="1" operator="equal">
      <formula>#REF!</formula>
    </cfRule>
  </conditionalFormatting>
  <conditionalFormatting sqref="Y210">
    <cfRule type="containsBlanks" dxfId="204" priority="9" stopIfTrue="1">
      <formula>LEN(TRIM(Y210))=0</formula>
    </cfRule>
  </conditionalFormatting>
  <conditionalFormatting sqref="AH206">
    <cfRule type="cellIs" dxfId="203" priority="8" stopIfTrue="1" operator="equal">
      <formula>#REF!</formula>
    </cfRule>
  </conditionalFormatting>
  <conditionalFormatting sqref="AH206">
    <cfRule type="containsBlanks" dxfId="202" priority="7" stopIfTrue="1">
      <formula>LEN(TRIM(AH206))=0</formula>
    </cfRule>
  </conditionalFormatting>
  <conditionalFormatting sqref="BF206">
    <cfRule type="cellIs" dxfId="201" priority="6" stopIfTrue="1" operator="equal">
      <formula>#REF!</formula>
    </cfRule>
  </conditionalFormatting>
  <conditionalFormatting sqref="BF206">
    <cfRule type="containsBlanks" dxfId="200" priority="5" stopIfTrue="1">
      <formula>LEN(TRIM(BF206))=0</formula>
    </cfRule>
  </conditionalFormatting>
  <conditionalFormatting sqref="BL206">
    <cfRule type="cellIs" dxfId="199" priority="4" stopIfTrue="1" operator="equal">
      <formula>#REF!</formula>
    </cfRule>
  </conditionalFormatting>
  <conditionalFormatting sqref="BL206">
    <cfRule type="containsBlanks" dxfId="198" priority="3" stopIfTrue="1">
      <formula>LEN(TRIM(BL206))=0</formula>
    </cfRule>
  </conditionalFormatting>
  <conditionalFormatting sqref="BR206:BT206">
    <cfRule type="containsBlanks" dxfId="197" priority="2" stopIfTrue="1">
      <formula>LEN(TRIM(BR206))=0</formula>
    </cfRule>
  </conditionalFormatting>
  <conditionalFormatting sqref="BR206:BT206">
    <cfRule type="cellIs" dxfId="196" priority="1" stopIfTrue="1" operator="equal">
      <formula>#REF!</formula>
    </cfRule>
  </conditionalFormatting>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25"/>
  <sheetViews>
    <sheetView topLeftCell="AA1" zoomScaleNormal="100" workbookViewId="0">
      <selection activeCell="AL2" sqref="AL2"/>
    </sheetView>
  </sheetViews>
  <sheetFormatPr baseColWidth="10" defaultColWidth="11.42578125" defaultRowHeight="12.75"/>
  <cols>
    <col min="1" max="1" width="44.85546875" customWidth="1"/>
    <col min="2" max="2" width="29.5703125" customWidth="1"/>
    <col min="3" max="3" width="25.28515625" customWidth="1"/>
    <col min="4" max="4" width="24.85546875" customWidth="1"/>
    <col min="5" max="5" width="26.140625" customWidth="1"/>
    <col min="6" max="6" width="29.42578125" customWidth="1"/>
    <col min="7" max="7" width="21.7109375" style="38" customWidth="1"/>
    <col min="8" max="10" width="21.7109375" customWidth="1"/>
    <col min="11" max="12" width="21.7109375" style="38" customWidth="1"/>
    <col min="13" max="13" width="31.28515625" customWidth="1"/>
    <col min="14" max="15" width="21.7109375" customWidth="1"/>
    <col min="16" max="16" width="21.7109375" style="38" customWidth="1"/>
    <col min="17" max="20" width="21.7109375" customWidth="1"/>
    <col min="21" max="26" width="21.7109375" style="38" customWidth="1"/>
    <col min="27" max="37" width="21.7109375" customWidth="1"/>
    <col min="38" max="38" width="21.7109375" style="38" customWidth="1"/>
    <col min="39" max="43" width="21.7109375" customWidth="1"/>
    <col min="44" max="49" width="21.7109375" style="38" customWidth="1"/>
    <col min="50" max="58" width="21.7109375" customWidth="1"/>
    <col min="59" max="59" width="21.7109375" style="38" customWidth="1"/>
    <col min="60" max="16384" width="11.42578125" style="38"/>
  </cols>
  <sheetData>
    <row r="1" spans="1:59" ht="27.75" customHeight="1">
      <c r="A1" s="50" t="s">
        <v>68</v>
      </c>
      <c r="B1" s="89" t="s">
        <v>498</v>
      </c>
      <c r="C1" s="51" t="s">
        <v>4413</v>
      </c>
      <c r="D1" s="51" t="s">
        <v>4414</v>
      </c>
      <c r="E1" s="85" t="s">
        <v>4489</v>
      </c>
      <c r="F1" s="101" t="s">
        <v>3083</v>
      </c>
      <c r="G1" s="86" t="s">
        <v>628</v>
      </c>
      <c r="H1" s="85" t="s">
        <v>2105</v>
      </c>
      <c r="I1" s="85" t="s">
        <v>2628</v>
      </c>
      <c r="J1" s="85" t="s">
        <v>4140</v>
      </c>
      <c r="K1" s="85" t="s">
        <v>1516</v>
      </c>
      <c r="L1" s="85" t="s">
        <v>2677</v>
      </c>
      <c r="M1" s="51" t="s">
        <v>1061</v>
      </c>
      <c r="N1" s="85" t="s">
        <v>2678</v>
      </c>
      <c r="O1" s="86" t="s">
        <v>1892</v>
      </c>
      <c r="P1" s="85" t="s">
        <v>2680</v>
      </c>
      <c r="Q1" s="85" t="s">
        <v>2679</v>
      </c>
      <c r="R1" s="85" t="s">
        <v>4144</v>
      </c>
      <c r="S1" s="109" t="s">
        <v>1650</v>
      </c>
      <c r="T1" s="85" t="s">
        <v>3699</v>
      </c>
      <c r="U1" s="85" t="s">
        <v>4021</v>
      </c>
      <c r="V1" s="102" t="s">
        <v>4133</v>
      </c>
      <c r="W1" s="102" t="s">
        <v>4134</v>
      </c>
      <c r="X1" s="102" t="s">
        <v>4135</v>
      </c>
      <c r="Y1" s="86" t="s">
        <v>2237</v>
      </c>
      <c r="Z1" s="51" t="s">
        <v>1064</v>
      </c>
      <c r="AA1" s="86" t="s">
        <v>623</v>
      </c>
      <c r="AB1" s="85" t="s">
        <v>2450</v>
      </c>
      <c r="AC1" s="85" t="s">
        <v>3270</v>
      </c>
      <c r="AD1" s="85" t="s">
        <v>3271</v>
      </c>
      <c r="AE1" s="85" t="s">
        <v>3746</v>
      </c>
      <c r="AF1" s="86" t="s">
        <v>3272</v>
      </c>
      <c r="AG1" s="86" t="s">
        <v>624</v>
      </c>
      <c r="AH1" s="57" t="s">
        <v>625</v>
      </c>
      <c r="AI1" s="85" t="s">
        <v>1423</v>
      </c>
      <c r="AJ1" s="85" t="s">
        <v>1424</v>
      </c>
      <c r="AK1" s="86" t="s">
        <v>1886</v>
      </c>
      <c r="AL1" s="140" t="s">
        <v>4642</v>
      </c>
      <c r="AM1" s="86" t="s">
        <v>1887</v>
      </c>
      <c r="AN1" s="86" t="s">
        <v>3273</v>
      </c>
      <c r="AO1" s="86" t="s">
        <v>3274</v>
      </c>
      <c r="AP1" s="86" t="s">
        <v>2594</v>
      </c>
      <c r="AQ1" s="87" t="s">
        <v>626</v>
      </c>
      <c r="AR1" s="86" t="s">
        <v>1702</v>
      </c>
      <c r="AS1" s="86" t="s">
        <v>2855</v>
      </c>
      <c r="AT1" s="85" t="s">
        <v>627</v>
      </c>
      <c r="AU1" s="86" t="s">
        <v>838</v>
      </c>
      <c r="AV1" s="86" t="s">
        <v>2683</v>
      </c>
      <c r="AW1" s="102" t="s">
        <v>2684</v>
      </c>
      <c r="AX1" s="87" t="s">
        <v>1262</v>
      </c>
      <c r="AY1" s="87" t="s">
        <v>1263</v>
      </c>
      <c r="AZ1" s="108" t="s">
        <v>3275</v>
      </c>
      <c r="BA1" s="108" t="s">
        <v>3276</v>
      </c>
      <c r="BB1" s="87" t="s">
        <v>629</v>
      </c>
      <c r="BC1" s="85" t="s">
        <v>3068</v>
      </c>
      <c r="BD1" s="85" t="s">
        <v>2106</v>
      </c>
      <c r="BE1" s="108" t="s">
        <v>1518</v>
      </c>
      <c r="BF1" s="102" t="s">
        <v>1519</v>
      </c>
      <c r="BG1" s="85" t="s">
        <v>1883</v>
      </c>
    </row>
    <row r="2" spans="1:59" s="55" customFormat="1" ht="22.5" customHeight="1">
      <c r="A2" s="53" t="s">
        <v>3745</v>
      </c>
      <c r="B2" s="54" t="s">
        <v>249</v>
      </c>
      <c r="C2" s="54" t="s">
        <v>4432</v>
      </c>
      <c r="D2" s="137" t="s">
        <v>4431</v>
      </c>
      <c r="E2" s="54" t="s">
        <v>4493</v>
      </c>
      <c r="F2" s="54" t="s">
        <v>4494</v>
      </c>
      <c r="G2" s="49" t="s">
        <v>41</v>
      </c>
      <c r="H2" s="54" t="s">
        <v>2049</v>
      </c>
      <c r="I2" s="54" t="s">
        <v>2049</v>
      </c>
      <c r="J2" s="54" t="s">
        <v>2629</v>
      </c>
      <c r="K2" s="49" t="s">
        <v>297</v>
      </c>
      <c r="L2" s="54" t="s">
        <v>1536</v>
      </c>
      <c r="M2" s="54" t="s">
        <v>230</v>
      </c>
      <c r="N2" s="54" t="s">
        <v>249</v>
      </c>
      <c r="O2" s="54" t="s">
        <v>387</v>
      </c>
      <c r="P2" s="54" t="s">
        <v>329</v>
      </c>
      <c r="Q2" s="54" t="s">
        <v>661</v>
      </c>
      <c r="R2" s="54" t="s">
        <v>2818</v>
      </c>
      <c r="S2" s="54" t="s">
        <v>230</v>
      </c>
      <c r="T2" s="54" t="s">
        <v>1752</v>
      </c>
      <c r="U2" s="54" t="s">
        <v>41</v>
      </c>
      <c r="V2" s="54" t="s">
        <v>39</v>
      </c>
      <c r="W2" s="54" t="s">
        <v>39</v>
      </c>
      <c r="X2" s="54" t="s">
        <v>41</v>
      </c>
      <c r="Y2" s="54" t="s">
        <v>690</v>
      </c>
      <c r="Z2" s="54" t="s">
        <v>690</v>
      </c>
      <c r="AA2" s="15" t="s">
        <v>39</v>
      </c>
      <c r="AB2" s="54" t="s">
        <v>1765</v>
      </c>
      <c r="AC2" s="54" t="s">
        <v>2140</v>
      </c>
      <c r="AD2" s="54" t="s">
        <v>2140</v>
      </c>
      <c r="AE2" s="54" t="s">
        <v>3751</v>
      </c>
      <c r="AF2" s="54" t="s">
        <v>41</v>
      </c>
      <c r="AG2" s="49" t="s">
        <v>41</v>
      </c>
      <c r="AH2" s="49" t="s">
        <v>41</v>
      </c>
      <c r="AI2" s="54" t="s">
        <v>39</v>
      </c>
      <c r="AJ2" s="54" t="s">
        <v>531</v>
      </c>
      <c r="AK2" s="54" t="s">
        <v>690</v>
      </c>
      <c r="AL2" s="54" t="s">
        <v>39</v>
      </c>
      <c r="AM2" s="54" t="s">
        <v>1264</v>
      </c>
      <c r="AN2" s="54" t="s">
        <v>690</v>
      </c>
      <c r="AO2" s="54" t="s">
        <v>1264</v>
      </c>
      <c r="AP2" s="54" t="s">
        <v>683</v>
      </c>
      <c r="AQ2" s="54" t="s">
        <v>41</v>
      </c>
      <c r="AR2" s="49" t="s">
        <v>387</v>
      </c>
      <c r="AS2" s="54" t="s">
        <v>1717</v>
      </c>
      <c r="AT2" s="49" t="s">
        <v>459</v>
      </c>
      <c r="AU2" s="49" t="s">
        <v>405</v>
      </c>
      <c r="AV2" s="54" t="s">
        <v>883</v>
      </c>
      <c r="AW2" s="54" t="s">
        <v>883</v>
      </c>
      <c r="AX2" s="54" t="s">
        <v>549</v>
      </c>
      <c r="AY2" s="54" t="s">
        <v>549</v>
      </c>
      <c r="AZ2" s="54" t="s">
        <v>1303</v>
      </c>
      <c r="BA2" s="54" t="s">
        <v>1303</v>
      </c>
      <c r="BB2" s="54" t="s">
        <v>573</v>
      </c>
      <c r="BC2" s="54" t="s">
        <v>3078</v>
      </c>
      <c r="BD2" s="54" t="s">
        <v>1765</v>
      </c>
      <c r="BE2" s="54" t="s">
        <v>938</v>
      </c>
      <c r="BF2" s="54" t="s">
        <v>938</v>
      </c>
      <c r="BG2" s="54" t="s">
        <v>41</v>
      </c>
    </row>
    <row r="3" spans="1:59" s="55" customFormat="1" ht="11.25" customHeight="1">
      <c r="A3" s="95" t="s">
        <v>688</v>
      </c>
      <c r="B3" s="94"/>
      <c r="C3" s="94" t="s">
        <v>4433</v>
      </c>
      <c r="D3" s="94" t="s">
        <v>4428</v>
      </c>
      <c r="E3" s="94" t="s">
        <v>4495</v>
      </c>
      <c r="F3" s="94" t="s">
        <v>4496</v>
      </c>
      <c r="G3" s="91"/>
      <c r="H3" s="94" t="s">
        <v>2048</v>
      </c>
      <c r="I3" s="94"/>
      <c r="J3" s="94" t="s">
        <v>2651</v>
      </c>
      <c r="K3" s="94"/>
      <c r="L3" s="94" t="s">
        <v>1535</v>
      </c>
      <c r="M3" s="94" t="s">
        <v>1052</v>
      </c>
      <c r="N3" s="94"/>
      <c r="O3" s="94" t="s">
        <v>1409</v>
      </c>
      <c r="P3" s="94"/>
      <c r="Q3" s="94"/>
      <c r="R3" s="94" t="s">
        <v>2814</v>
      </c>
      <c r="S3" s="94"/>
      <c r="T3" s="94"/>
      <c r="U3" s="94"/>
      <c r="V3" s="94" t="s">
        <v>1875</v>
      </c>
      <c r="W3" s="94" t="s">
        <v>1875</v>
      </c>
      <c r="X3" s="94" t="s">
        <v>1811</v>
      </c>
      <c r="Y3" s="94" t="s">
        <v>691</v>
      </c>
      <c r="Z3" s="94" t="s">
        <v>1075</v>
      </c>
      <c r="AA3" s="91"/>
      <c r="AB3" s="94"/>
      <c r="AC3" s="94"/>
      <c r="AD3" s="94"/>
      <c r="AE3" s="94" t="s">
        <v>3750</v>
      </c>
      <c r="AF3" s="94"/>
      <c r="AG3" s="91"/>
      <c r="AH3" s="91"/>
      <c r="AI3" s="94"/>
      <c r="AJ3" s="94"/>
      <c r="AK3" s="94" t="s">
        <v>1211</v>
      </c>
      <c r="AL3" s="91" t="s">
        <v>39</v>
      </c>
      <c r="AM3" s="94" t="s">
        <v>1259</v>
      </c>
      <c r="AN3" s="94" t="s">
        <v>1211</v>
      </c>
      <c r="AO3" s="94" t="s">
        <v>1259</v>
      </c>
      <c r="AP3" s="94"/>
      <c r="AQ3" s="91"/>
      <c r="AR3" s="94"/>
      <c r="AS3" s="94" t="s">
        <v>1716</v>
      </c>
      <c r="AT3" s="91"/>
      <c r="AU3" s="94"/>
      <c r="AV3" s="94" t="s">
        <v>884</v>
      </c>
      <c r="AW3" s="94" t="s">
        <v>884</v>
      </c>
      <c r="AX3" s="94"/>
      <c r="AY3" s="94"/>
      <c r="AZ3" s="94" t="s">
        <v>1300</v>
      </c>
      <c r="BA3" s="94" t="s">
        <v>1300</v>
      </c>
      <c r="BB3" s="91"/>
      <c r="BC3" s="94" t="s">
        <v>3077</v>
      </c>
      <c r="BD3" s="94"/>
      <c r="BE3" s="94" t="s">
        <v>939</v>
      </c>
      <c r="BF3" s="94" t="s">
        <v>939</v>
      </c>
      <c r="BG3" s="94"/>
    </row>
    <row r="4" spans="1:59" s="55" customFormat="1" ht="153">
      <c r="A4" s="53" t="s">
        <v>644</v>
      </c>
      <c r="B4" s="54" t="s">
        <v>530</v>
      </c>
      <c r="C4" s="54" t="s">
        <v>530</v>
      </c>
      <c r="D4" s="54" t="s">
        <v>4430</v>
      </c>
      <c r="E4" s="54" t="s">
        <v>4492</v>
      </c>
      <c r="F4" s="54" t="s">
        <v>4499</v>
      </c>
      <c r="G4" s="49" t="s">
        <v>41</v>
      </c>
      <c r="H4" s="54" t="s">
        <v>2052</v>
      </c>
      <c r="I4" s="54" t="s">
        <v>2052</v>
      </c>
      <c r="J4" s="54" t="s">
        <v>2648</v>
      </c>
      <c r="K4" s="49" t="s">
        <v>284</v>
      </c>
      <c r="L4" s="54" t="s">
        <v>1564</v>
      </c>
      <c r="M4" s="54" t="s">
        <v>530</v>
      </c>
      <c r="N4" s="54" t="s">
        <v>530</v>
      </c>
      <c r="O4" s="54" t="s">
        <v>530</v>
      </c>
      <c r="P4" s="54" t="s">
        <v>329</v>
      </c>
      <c r="Q4" s="54" t="s">
        <v>661</v>
      </c>
      <c r="R4" s="54" t="s">
        <v>2817</v>
      </c>
      <c r="S4" s="54" t="s">
        <v>530</v>
      </c>
      <c r="T4" s="54" t="s">
        <v>1753</v>
      </c>
      <c r="U4" s="54" t="s">
        <v>41</v>
      </c>
      <c r="V4" s="54" t="s">
        <v>530</v>
      </c>
      <c r="W4" s="54" t="s">
        <v>530</v>
      </c>
      <c r="X4" s="54" t="s">
        <v>1810</v>
      </c>
      <c r="Y4" s="54" t="s">
        <v>41</v>
      </c>
      <c r="Z4" s="54" t="s">
        <v>41</v>
      </c>
      <c r="AA4" s="15" t="s">
        <v>39</v>
      </c>
      <c r="AB4" s="54" t="s">
        <v>1766</v>
      </c>
      <c r="AC4" s="54" t="s">
        <v>530</v>
      </c>
      <c r="AD4" s="54" t="s">
        <v>1770</v>
      </c>
      <c r="AE4" s="54" t="s">
        <v>530</v>
      </c>
      <c r="AF4" s="54" t="s">
        <v>530</v>
      </c>
      <c r="AG4" s="54" t="s">
        <v>484</v>
      </c>
      <c r="AH4" s="54" t="s">
        <v>484</v>
      </c>
      <c r="AI4" s="54" t="s">
        <v>530</v>
      </c>
      <c r="AJ4" s="54" t="s">
        <v>532</v>
      </c>
      <c r="AK4" s="54" t="s">
        <v>41</v>
      </c>
      <c r="AL4" s="54" t="s">
        <v>4643</v>
      </c>
      <c r="AM4" s="54" t="s">
        <v>1258</v>
      </c>
      <c r="AN4" s="54" t="s">
        <v>41</v>
      </c>
      <c r="AO4" s="54" t="s">
        <v>1258</v>
      </c>
      <c r="AP4" s="54" t="s">
        <v>681</v>
      </c>
      <c r="AQ4" s="54" t="s">
        <v>41</v>
      </c>
      <c r="AR4" s="54" t="s">
        <v>39</v>
      </c>
      <c r="AS4" s="54" t="s">
        <v>530</v>
      </c>
      <c r="AT4" s="54" t="s">
        <v>461</v>
      </c>
      <c r="AU4" s="69" t="s">
        <v>407</v>
      </c>
      <c r="AV4" s="54" t="s">
        <v>863</v>
      </c>
      <c r="AW4" s="54" t="s">
        <v>863</v>
      </c>
      <c r="AX4" s="54" t="s">
        <v>41</v>
      </c>
      <c r="AY4" s="54" t="s">
        <v>41</v>
      </c>
      <c r="AZ4" s="54" t="s">
        <v>1362</v>
      </c>
      <c r="BA4" s="54" t="s">
        <v>1301</v>
      </c>
      <c r="BB4" s="54" t="s">
        <v>530</v>
      </c>
      <c r="BC4" s="54" t="s">
        <v>942</v>
      </c>
      <c r="BD4" s="54" t="s">
        <v>2138</v>
      </c>
      <c r="BE4" s="54" t="s">
        <v>942</v>
      </c>
      <c r="BF4" s="54" t="s">
        <v>907</v>
      </c>
      <c r="BG4" s="54" t="s">
        <v>41</v>
      </c>
    </row>
    <row r="5" spans="1:59" s="55" customFormat="1" ht="11.25" customHeight="1">
      <c r="A5" s="95" t="s">
        <v>688</v>
      </c>
      <c r="B5" s="94"/>
      <c r="C5" s="94" t="s">
        <v>4416</v>
      </c>
      <c r="D5" s="94" t="s">
        <v>4429</v>
      </c>
      <c r="E5" s="94" t="s">
        <v>4491</v>
      </c>
      <c r="F5" s="94" t="s">
        <v>4500</v>
      </c>
      <c r="G5" s="91"/>
      <c r="H5" s="94" t="s">
        <v>2048</v>
      </c>
      <c r="I5" s="94"/>
      <c r="J5" s="94" t="s">
        <v>2649</v>
      </c>
      <c r="K5" s="94"/>
      <c r="L5" s="94" t="s">
        <v>1565</v>
      </c>
      <c r="M5" s="94" t="s">
        <v>1052</v>
      </c>
      <c r="N5" s="94"/>
      <c r="O5" s="94" t="s">
        <v>1257</v>
      </c>
      <c r="P5" s="94"/>
      <c r="Q5" s="94"/>
      <c r="R5" s="94" t="s">
        <v>2813</v>
      </c>
      <c r="S5" s="94"/>
      <c r="T5" s="94"/>
      <c r="U5" s="94"/>
      <c r="V5" s="94" t="s">
        <v>1257</v>
      </c>
      <c r="W5" s="94" t="s">
        <v>1257</v>
      </c>
      <c r="X5" s="94" t="s">
        <v>1813</v>
      </c>
      <c r="Y5" s="94" t="s">
        <v>692</v>
      </c>
      <c r="Z5" s="94" t="s">
        <v>1073</v>
      </c>
      <c r="AA5" s="91"/>
      <c r="AB5" s="94"/>
      <c r="AC5" s="94"/>
      <c r="AD5" s="94"/>
      <c r="AE5" s="94" t="s">
        <v>3749</v>
      </c>
      <c r="AF5" s="94"/>
      <c r="AG5" s="91"/>
      <c r="AH5" s="91"/>
      <c r="AI5" s="94"/>
      <c r="AJ5" s="94"/>
      <c r="AK5" s="94" t="s">
        <v>1172</v>
      </c>
      <c r="AL5" s="91" t="s">
        <v>4644</v>
      </c>
      <c r="AM5" s="94" t="s">
        <v>1257</v>
      </c>
      <c r="AN5" s="94" t="s">
        <v>1172</v>
      </c>
      <c r="AO5" s="94" t="s">
        <v>1257</v>
      </c>
      <c r="AP5" s="94"/>
      <c r="AQ5" s="91"/>
      <c r="AR5" s="94"/>
      <c r="AS5" s="94" t="s">
        <v>1734</v>
      </c>
      <c r="AT5" s="91"/>
      <c r="AU5" s="94"/>
      <c r="AV5" s="94" t="s">
        <v>864</v>
      </c>
      <c r="AW5" s="94" t="s">
        <v>864</v>
      </c>
      <c r="AX5" s="94"/>
      <c r="AY5" s="94"/>
      <c r="AZ5" s="94" t="s">
        <v>1302</v>
      </c>
      <c r="BA5" s="94" t="s">
        <v>1361</v>
      </c>
      <c r="BB5" s="91"/>
      <c r="BC5" s="94" t="s">
        <v>1257</v>
      </c>
      <c r="BD5" s="94"/>
      <c r="BE5" s="94" t="s">
        <v>939</v>
      </c>
      <c r="BF5" s="94" t="s">
        <v>908</v>
      </c>
      <c r="BG5" s="94"/>
    </row>
    <row r="6" spans="1:59" s="55" customFormat="1" ht="22.5" customHeight="1">
      <c r="A6" s="53" t="s">
        <v>31</v>
      </c>
      <c r="B6" s="54" t="s">
        <v>41</v>
      </c>
      <c r="C6" s="54" t="s">
        <v>4424</v>
      </c>
      <c r="D6" s="54" t="s">
        <v>438</v>
      </c>
      <c r="E6" s="54" t="s">
        <v>4497</v>
      </c>
      <c r="F6" s="54" t="s">
        <v>4497</v>
      </c>
      <c r="G6" s="49" t="s">
        <v>271</v>
      </c>
      <c r="H6" s="54" t="s">
        <v>2098</v>
      </c>
      <c r="I6" s="54" t="s">
        <v>2098</v>
      </c>
      <c r="J6" s="54" t="s">
        <v>271</v>
      </c>
      <c r="K6" s="49" t="s">
        <v>271</v>
      </c>
      <c r="L6" s="54" t="s">
        <v>271</v>
      </c>
      <c r="M6" s="54" t="s">
        <v>1053</v>
      </c>
      <c r="N6" s="54" t="s">
        <v>483</v>
      </c>
      <c r="O6" s="54" t="s">
        <v>1683</v>
      </c>
      <c r="P6" s="54" t="s">
        <v>41</v>
      </c>
      <c r="Q6" s="54" t="s">
        <v>661</v>
      </c>
      <c r="R6" s="54" t="s">
        <v>2819</v>
      </c>
      <c r="S6" s="54" t="s">
        <v>39</v>
      </c>
      <c r="T6" s="54" t="s">
        <v>1754</v>
      </c>
      <c r="U6" s="54" t="s">
        <v>41</v>
      </c>
      <c r="V6" s="54" t="s">
        <v>1683</v>
      </c>
      <c r="W6" s="54" t="s">
        <v>1683</v>
      </c>
      <c r="X6" s="54" t="s">
        <v>1074</v>
      </c>
      <c r="Y6" s="54" t="s">
        <v>41</v>
      </c>
      <c r="Z6" s="54" t="s">
        <v>1074</v>
      </c>
      <c r="AA6" s="15" t="s">
        <v>39</v>
      </c>
      <c r="AB6" s="54" t="s">
        <v>1767</v>
      </c>
      <c r="AC6" s="54" t="s">
        <v>3373</v>
      </c>
      <c r="AD6" s="54" t="s">
        <v>1767</v>
      </c>
      <c r="AE6" s="54" t="s">
        <v>3748</v>
      </c>
      <c r="AF6" s="54" t="s">
        <v>41</v>
      </c>
      <c r="AG6" s="54" t="s">
        <v>39</v>
      </c>
      <c r="AH6" s="54" t="s">
        <v>39</v>
      </c>
      <c r="AI6" s="49" t="s">
        <v>39</v>
      </c>
      <c r="AJ6" s="49" t="s">
        <v>39</v>
      </c>
      <c r="AK6" s="54" t="s">
        <v>1171</v>
      </c>
      <c r="AL6" s="54" t="s">
        <v>39</v>
      </c>
      <c r="AM6" s="54" t="s">
        <v>1227</v>
      </c>
      <c r="AN6" s="54" t="s">
        <v>1171</v>
      </c>
      <c r="AO6" s="54" t="s">
        <v>1227</v>
      </c>
      <c r="AP6" s="54" t="s">
        <v>39</v>
      </c>
      <c r="AQ6" s="54" t="s">
        <v>41</v>
      </c>
      <c r="AR6" s="69" t="s">
        <v>39</v>
      </c>
      <c r="AS6" s="54" t="s">
        <v>1683</v>
      </c>
      <c r="AT6" s="73" t="s">
        <v>39</v>
      </c>
      <c r="AU6" s="69" t="s">
        <v>39</v>
      </c>
      <c r="AV6" s="54" t="s">
        <v>39</v>
      </c>
      <c r="AW6" s="54" t="s">
        <v>39</v>
      </c>
      <c r="AX6" s="54" t="s">
        <v>41</v>
      </c>
      <c r="AY6" s="54" t="s">
        <v>41</v>
      </c>
      <c r="AZ6" s="54" t="s">
        <v>1299</v>
      </c>
      <c r="BA6" s="54" t="s">
        <v>1299</v>
      </c>
      <c r="BB6" s="54" t="s">
        <v>41</v>
      </c>
      <c r="BC6" s="54" t="s">
        <v>940</v>
      </c>
      <c r="BD6" s="54" t="s">
        <v>2139</v>
      </c>
      <c r="BE6" s="54" t="s">
        <v>940</v>
      </c>
      <c r="BF6" s="54" t="s">
        <v>1299</v>
      </c>
      <c r="BG6" s="54" t="s">
        <v>438</v>
      </c>
    </row>
    <row r="7" spans="1:59" s="55" customFormat="1" ht="11.25" customHeight="1">
      <c r="A7" s="95" t="s">
        <v>688</v>
      </c>
      <c r="B7" s="94"/>
      <c r="C7" s="94"/>
      <c r="D7" s="94" t="s">
        <v>4427</v>
      </c>
      <c r="E7" s="94" t="s">
        <v>4498</v>
      </c>
      <c r="F7" s="94" t="s">
        <v>4498</v>
      </c>
      <c r="G7" s="94"/>
      <c r="H7" s="94" t="s">
        <v>2085</v>
      </c>
      <c r="I7" s="94"/>
      <c r="J7" s="94" t="s">
        <v>2650</v>
      </c>
      <c r="K7" s="94"/>
      <c r="L7" s="94" t="s">
        <v>1533</v>
      </c>
      <c r="M7" s="94" t="s">
        <v>1054</v>
      </c>
      <c r="N7" s="94"/>
      <c r="O7" s="94" t="s">
        <v>1390</v>
      </c>
      <c r="P7" s="94"/>
      <c r="Q7" s="94"/>
      <c r="R7" s="94" t="s">
        <v>2812</v>
      </c>
      <c r="S7" s="94"/>
      <c r="T7" s="94"/>
      <c r="U7" s="94"/>
      <c r="V7" s="94" t="s">
        <v>1390</v>
      </c>
      <c r="W7" s="94" t="s">
        <v>1390</v>
      </c>
      <c r="X7" s="94" t="s">
        <v>1812</v>
      </c>
      <c r="Y7" s="94" t="s">
        <v>693</v>
      </c>
      <c r="Z7" s="94" t="s">
        <v>1073</v>
      </c>
      <c r="AA7" s="94"/>
      <c r="AB7" s="94"/>
      <c r="AC7" s="94"/>
      <c r="AD7" s="94"/>
      <c r="AE7" s="94" t="s">
        <v>3747</v>
      </c>
      <c r="AF7" s="94"/>
      <c r="AG7" s="94"/>
      <c r="AH7" s="94"/>
      <c r="AI7" s="94"/>
      <c r="AJ7" s="94"/>
      <c r="AK7" s="94" t="s">
        <v>1172</v>
      </c>
      <c r="AL7" s="91" t="s">
        <v>39</v>
      </c>
      <c r="AM7" s="94"/>
      <c r="AN7" s="94" t="s">
        <v>1172</v>
      </c>
      <c r="AO7" s="94"/>
      <c r="AP7" s="94"/>
      <c r="AQ7" s="94"/>
      <c r="AR7" s="94"/>
      <c r="AS7" s="94" t="s">
        <v>1735</v>
      </c>
      <c r="AT7" s="94"/>
      <c r="AU7" s="94"/>
      <c r="AV7" s="94" t="s">
        <v>39</v>
      </c>
      <c r="AW7" s="94" t="s">
        <v>39</v>
      </c>
      <c r="AX7" s="94"/>
      <c r="AY7" s="94"/>
      <c r="AZ7" s="94" t="s">
        <v>1298</v>
      </c>
      <c r="BA7" s="94" t="s">
        <v>1298</v>
      </c>
      <c r="BB7" s="94"/>
      <c r="BC7" s="94" t="s">
        <v>1390</v>
      </c>
      <c r="BD7" s="94"/>
      <c r="BE7" s="94" t="s">
        <v>941</v>
      </c>
      <c r="BF7" s="94" t="s">
        <v>909</v>
      </c>
      <c r="BG7" s="94"/>
    </row>
    <row r="8" spans="1:59" s="55" customFormat="1" ht="22.5" customHeight="1">
      <c r="A8" s="53" t="s">
        <v>3188</v>
      </c>
      <c r="B8" s="69" t="s">
        <v>39</v>
      </c>
      <c r="C8" s="54" t="s">
        <v>4417</v>
      </c>
      <c r="D8" s="54" t="s">
        <v>4417</v>
      </c>
      <c r="E8" s="54" t="s">
        <v>4502</v>
      </c>
      <c r="F8" s="54" t="s">
        <v>4502</v>
      </c>
      <c r="G8" s="49" t="s">
        <v>41</v>
      </c>
      <c r="H8" s="54" t="s">
        <v>41</v>
      </c>
      <c r="I8" s="54" t="s">
        <v>41</v>
      </c>
      <c r="J8" s="54" t="s">
        <v>901</v>
      </c>
      <c r="K8" s="49" t="s">
        <v>41</v>
      </c>
      <c r="L8" s="54" t="s">
        <v>41</v>
      </c>
      <c r="M8" s="54" t="s">
        <v>41</v>
      </c>
      <c r="N8" s="54" t="s">
        <v>41</v>
      </c>
      <c r="O8" s="54" t="s">
        <v>41</v>
      </c>
      <c r="P8" s="54" t="s">
        <v>41</v>
      </c>
      <c r="Q8" s="54" t="s">
        <v>661</v>
      </c>
      <c r="R8" s="54" t="s">
        <v>2820</v>
      </c>
      <c r="S8" s="54" t="s">
        <v>39</v>
      </c>
      <c r="T8" s="54" t="s">
        <v>41</v>
      </c>
      <c r="U8" s="54" t="s">
        <v>41</v>
      </c>
      <c r="V8" s="54" t="s">
        <v>39</v>
      </c>
      <c r="W8" s="54" t="s">
        <v>1786</v>
      </c>
      <c r="X8" s="54" t="s">
        <v>1786</v>
      </c>
      <c r="Y8" s="54" t="s">
        <v>694</v>
      </c>
      <c r="Z8" s="54" t="s">
        <v>41</v>
      </c>
      <c r="AA8" s="15" t="s">
        <v>41</v>
      </c>
      <c r="AB8" s="54" t="s">
        <v>41</v>
      </c>
      <c r="AC8" s="54" t="s">
        <v>3286</v>
      </c>
      <c r="AD8" s="54" t="s">
        <v>3286</v>
      </c>
      <c r="AE8" s="54" t="s">
        <v>1786</v>
      </c>
      <c r="AF8" s="54" t="s">
        <v>41</v>
      </c>
      <c r="AG8" s="49" t="s">
        <v>41</v>
      </c>
      <c r="AH8" s="49" t="s">
        <v>41</v>
      </c>
      <c r="AI8" s="54" t="s">
        <v>41</v>
      </c>
      <c r="AJ8" s="54" t="s">
        <v>41</v>
      </c>
      <c r="AK8" s="54" t="s">
        <v>901</v>
      </c>
      <c r="AL8" s="54" t="s">
        <v>39</v>
      </c>
      <c r="AM8" s="54" t="s">
        <v>901</v>
      </c>
      <c r="AN8" s="54" t="s">
        <v>901</v>
      </c>
      <c r="AO8" s="54" t="s">
        <v>901</v>
      </c>
      <c r="AP8" s="54" t="s">
        <v>41</v>
      </c>
      <c r="AQ8" s="49" t="s">
        <v>41</v>
      </c>
      <c r="AR8" s="49" t="s">
        <v>381</v>
      </c>
      <c r="AS8" s="54" t="s">
        <v>1707</v>
      </c>
      <c r="AT8" s="49" t="s">
        <v>455</v>
      </c>
      <c r="AU8" s="49" t="s">
        <v>408</v>
      </c>
      <c r="AV8" s="54" t="s">
        <v>41</v>
      </c>
      <c r="AW8" s="54" t="s">
        <v>41</v>
      </c>
      <c r="AX8" s="54" t="s">
        <v>41</v>
      </c>
      <c r="AY8" s="54" t="s">
        <v>41</v>
      </c>
      <c r="AZ8" s="54" t="s">
        <v>1292</v>
      </c>
      <c r="BA8" s="54" t="s">
        <v>1292</v>
      </c>
      <c r="BB8" s="54" t="s">
        <v>39</v>
      </c>
      <c r="BC8" s="54" t="s">
        <v>3070</v>
      </c>
      <c r="BD8" s="54" t="s">
        <v>1292</v>
      </c>
      <c r="BE8" s="54" t="s">
        <v>39</v>
      </c>
      <c r="BF8" s="54" t="s">
        <v>901</v>
      </c>
      <c r="BG8" s="54" t="s">
        <v>420</v>
      </c>
    </row>
    <row r="9" spans="1:59" s="55" customFormat="1" ht="11.25" customHeight="1">
      <c r="A9" s="95" t="s">
        <v>688</v>
      </c>
      <c r="B9" s="94"/>
      <c r="C9" s="94" t="s">
        <v>4418</v>
      </c>
      <c r="D9" s="94" t="s">
        <v>4418</v>
      </c>
      <c r="E9" s="94" t="s">
        <v>4501</v>
      </c>
      <c r="F9" s="94" t="s">
        <v>4501</v>
      </c>
      <c r="G9" s="94"/>
      <c r="H9" s="94" t="s">
        <v>2065</v>
      </c>
      <c r="I9" s="94"/>
      <c r="J9" s="94" t="s">
        <v>2065</v>
      </c>
      <c r="K9" s="94"/>
      <c r="L9" s="94" t="s">
        <v>1523</v>
      </c>
      <c r="M9" s="94" t="s">
        <v>1006</v>
      </c>
      <c r="N9" s="94"/>
      <c r="O9" s="94" t="s">
        <v>1404</v>
      </c>
      <c r="P9" s="94"/>
      <c r="Q9" s="94"/>
      <c r="R9" s="94" t="s">
        <v>2815</v>
      </c>
      <c r="S9" s="94"/>
      <c r="T9" s="94"/>
      <c r="U9" s="94"/>
      <c r="V9" s="94" t="s">
        <v>39</v>
      </c>
      <c r="W9" s="94" t="s">
        <v>1785</v>
      </c>
      <c r="X9" s="94" t="s">
        <v>1785</v>
      </c>
      <c r="Y9" s="94" t="s">
        <v>695</v>
      </c>
      <c r="Z9" s="94" t="s">
        <v>1067</v>
      </c>
      <c r="AA9" s="94"/>
      <c r="AB9" s="94"/>
      <c r="AC9" s="94"/>
      <c r="AD9" s="94"/>
      <c r="AE9" s="94" t="s">
        <v>1183</v>
      </c>
      <c r="AF9" s="94"/>
      <c r="AG9" s="94"/>
      <c r="AH9" s="94"/>
      <c r="AI9" s="94"/>
      <c r="AJ9" s="94"/>
      <c r="AK9" s="94" t="s">
        <v>1214</v>
      </c>
      <c r="AL9" s="91" t="s">
        <v>39</v>
      </c>
      <c r="AM9" s="94" t="s">
        <v>1214</v>
      </c>
      <c r="AN9" s="94" t="s">
        <v>1214</v>
      </c>
      <c r="AO9" s="94" t="s">
        <v>1214</v>
      </c>
      <c r="AP9" s="94"/>
      <c r="AQ9" s="94"/>
      <c r="AR9" s="94"/>
      <c r="AS9" s="94" t="s">
        <v>1706</v>
      </c>
      <c r="AT9" s="94"/>
      <c r="AU9" s="94"/>
      <c r="AV9" s="94" t="s">
        <v>875</v>
      </c>
      <c r="AW9" s="94" t="s">
        <v>875</v>
      </c>
      <c r="AX9" s="94"/>
      <c r="AY9" s="94"/>
      <c r="AZ9" s="94" t="s">
        <v>1291</v>
      </c>
      <c r="BA9" s="94" t="s">
        <v>1291</v>
      </c>
      <c r="BB9" s="94"/>
      <c r="BC9" s="94" t="s">
        <v>2597</v>
      </c>
      <c r="BD9" s="94"/>
      <c r="BE9" s="94" t="s">
        <v>39</v>
      </c>
      <c r="BF9" s="94" t="s">
        <v>902</v>
      </c>
      <c r="BG9" s="94"/>
    </row>
    <row r="10" spans="1:59" s="55" customFormat="1" ht="22.5" customHeight="1">
      <c r="A10" s="53" t="s">
        <v>123</v>
      </c>
      <c r="B10" s="69" t="s">
        <v>39</v>
      </c>
      <c r="C10" s="54" t="s">
        <v>41</v>
      </c>
      <c r="D10" s="54" t="s">
        <v>41</v>
      </c>
      <c r="E10" s="54" t="s">
        <v>4415</v>
      </c>
      <c r="F10" s="54" t="s">
        <v>4415</v>
      </c>
      <c r="G10" s="49" t="s">
        <v>41</v>
      </c>
      <c r="H10" s="54" t="s">
        <v>41</v>
      </c>
      <c r="I10" s="54" t="s">
        <v>41</v>
      </c>
      <c r="J10" s="54" t="s">
        <v>41</v>
      </c>
      <c r="K10" s="49" t="s">
        <v>41</v>
      </c>
      <c r="L10" s="54" t="s">
        <v>41</v>
      </c>
      <c r="M10" s="54" t="s">
        <v>41</v>
      </c>
      <c r="N10" s="54" t="s">
        <v>41</v>
      </c>
      <c r="O10" s="54" t="s">
        <v>41</v>
      </c>
      <c r="P10" s="54" t="s">
        <v>41</v>
      </c>
      <c r="Q10" s="54" t="s">
        <v>39</v>
      </c>
      <c r="R10" s="54" t="s">
        <v>39</v>
      </c>
      <c r="S10" s="54" t="s">
        <v>41</v>
      </c>
      <c r="T10" s="54" t="s">
        <v>41</v>
      </c>
      <c r="U10" s="54" t="s">
        <v>41</v>
      </c>
      <c r="V10" s="54" t="s">
        <v>39</v>
      </c>
      <c r="W10" s="54" t="s">
        <v>41</v>
      </c>
      <c r="X10" s="54" t="s">
        <v>41</v>
      </c>
      <c r="Y10" s="54" t="s">
        <v>41</v>
      </c>
      <c r="Z10" s="54" t="s">
        <v>41</v>
      </c>
      <c r="AA10" s="23" t="s">
        <v>41</v>
      </c>
      <c r="AB10" s="54" t="s">
        <v>41</v>
      </c>
      <c r="AC10" s="54" t="s">
        <v>41</v>
      </c>
      <c r="AD10" s="54" t="s">
        <v>41</v>
      </c>
      <c r="AE10" s="54" t="s">
        <v>41</v>
      </c>
      <c r="AF10" s="54" t="s">
        <v>41</v>
      </c>
      <c r="AG10" s="49" t="s">
        <v>41</v>
      </c>
      <c r="AH10" s="54" t="s">
        <v>41</v>
      </c>
      <c r="AI10" s="49" t="s">
        <v>39</v>
      </c>
      <c r="AJ10" s="49" t="s">
        <v>39</v>
      </c>
      <c r="AK10" s="54" t="s">
        <v>41</v>
      </c>
      <c r="AL10" s="54" t="s">
        <v>39</v>
      </c>
      <c r="AM10" s="54" t="s">
        <v>41</v>
      </c>
      <c r="AN10" s="54" t="s">
        <v>41</v>
      </c>
      <c r="AO10" s="54" t="s">
        <v>41</v>
      </c>
      <c r="AP10" s="54" t="s">
        <v>41</v>
      </c>
      <c r="AQ10" s="49" t="s">
        <v>41</v>
      </c>
      <c r="AR10" s="49" t="s">
        <v>41</v>
      </c>
      <c r="AS10" s="54" t="s">
        <v>41</v>
      </c>
      <c r="AT10" s="65" t="s">
        <v>41</v>
      </c>
      <c r="AU10" s="49" t="s">
        <v>41</v>
      </c>
      <c r="AV10" s="54" t="s">
        <v>41</v>
      </c>
      <c r="AW10" s="54" t="s">
        <v>41</v>
      </c>
      <c r="AX10" s="54" t="s">
        <v>41</v>
      </c>
      <c r="AY10" s="54" t="s">
        <v>41</v>
      </c>
      <c r="AZ10" s="54" t="s">
        <v>41</v>
      </c>
      <c r="BA10" s="54" t="s">
        <v>41</v>
      </c>
      <c r="BB10" s="54" t="s">
        <v>41</v>
      </c>
      <c r="BC10" s="54" t="s">
        <v>41</v>
      </c>
      <c r="BD10" s="54" t="s">
        <v>41</v>
      </c>
      <c r="BE10" s="54" t="s">
        <v>41</v>
      </c>
      <c r="BF10" s="54" t="s">
        <v>41</v>
      </c>
      <c r="BG10" s="54" t="s">
        <v>41</v>
      </c>
    </row>
    <row r="11" spans="1:59" s="55" customFormat="1" ht="11.25" customHeight="1">
      <c r="A11" s="95" t="s">
        <v>688</v>
      </c>
      <c r="B11" s="94"/>
      <c r="C11" s="94" t="s">
        <v>4419</v>
      </c>
      <c r="D11" s="94" t="s">
        <v>4419</v>
      </c>
      <c r="E11" s="94" t="s">
        <v>4503</v>
      </c>
      <c r="F11" s="94" t="s">
        <v>4503</v>
      </c>
      <c r="G11" s="94"/>
      <c r="H11" s="94" t="s">
        <v>2068</v>
      </c>
      <c r="I11" s="94"/>
      <c r="J11" s="94" t="s">
        <v>2068</v>
      </c>
      <c r="K11" s="94"/>
      <c r="L11" s="94" t="s">
        <v>1548</v>
      </c>
      <c r="M11" s="94" t="s">
        <v>1007</v>
      </c>
      <c r="N11" s="94"/>
      <c r="O11" s="94" t="s">
        <v>1400</v>
      </c>
      <c r="P11" s="94"/>
      <c r="Q11" s="94"/>
      <c r="R11" s="94" t="s">
        <v>39</v>
      </c>
      <c r="S11" s="94"/>
      <c r="T11" s="94"/>
      <c r="U11" s="94"/>
      <c r="V11" s="94" t="s">
        <v>39</v>
      </c>
      <c r="W11" s="94" t="s">
        <v>1788</v>
      </c>
      <c r="X11" s="94" t="s">
        <v>1788</v>
      </c>
      <c r="Y11" s="94" t="s">
        <v>696</v>
      </c>
      <c r="Z11" s="94" t="s">
        <v>1070</v>
      </c>
      <c r="AA11" s="94"/>
      <c r="AB11" s="94"/>
      <c r="AC11" s="94"/>
      <c r="AD11" s="94"/>
      <c r="AE11" s="94" t="s">
        <v>1186</v>
      </c>
      <c r="AF11" s="94"/>
      <c r="AG11" s="94"/>
      <c r="AH11" s="94"/>
      <c r="AI11" s="94"/>
      <c r="AJ11" s="94"/>
      <c r="AK11" s="94" t="s">
        <v>1169</v>
      </c>
      <c r="AL11" s="91"/>
      <c r="AM11" s="94" t="s">
        <v>1206</v>
      </c>
      <c r="AN11" s="94" t="s">
        <v>1169</v>
      </c>
      <c r="AO11" s="94" t="s">
        <v>1206</v>
      </c>
      <c r="AP11" s="94"/>
      <c r="AQ11" s="94"/>
      <c r="AR11" s="94"/>
      <c r="AS11" s="94" t="s">
        <v>1708</v>
      </c>
      <c r="AT11" s="94"/>
      <c r="AU11" s="94"/>
      <c r="AV11" s="94" t="s">
        <v>876</v>
      </c>
      <c r="AW11" s="94" t="s">
        <v>876</v>
      </c>
      <c r="AX11" s="94"/>
      <c r="AY11" s="94"/>
      <c r="AZ11" s="94" t="s">
        <v>1363</v>
      </c>
      <c r="BA11" s="94" t="s">
        <v>1305</v>
      </c>
      <c r="BB11" s="94"/>
      <c r="BC11" s="94" t="s">
        <v>2599</v>
      </c>
      <c r="BD11" s="94"/>
      <c r="BE11" s="94" t="s">
        <v>915</v>
      </c>
      <c r="BF11" s="94" t="s">
        <v>915</v>
      </c>
      <c r="BG11" s="94"/>
    </row>
    <row r="12" spans="1:59" s="55" customFormat="1" ht="22.5" customHeight="1">
      <c r="A12" s="53" t="s">
        <v>67</v>
      </c>
      <c r="B12" s="69" t="s">
        <v>39</v>
      </c>
      <c r="C12" s="54" t="s">
        <v>4424</v>
      </c>
      <c r="D12" s="54" t="s">
        <v>41</v>
      </c>
      <c r="E12" s="54" t="s">
        <v>4415</v>
      </c>
      <c r="F12" s="54" t="s">
        <v>4415</v>
      </c>
      <c r="G12" s="69" t="s">
        <v>39</v>
      </c>
      <c r="H12" s="54" t="s">
        <v>41</v>
      </c>
      <c r="I12" s="54" t="s">
        <v>41</v>
      </c>
      <c r="J12" s="54" t="s">
        <v>41</v>
      </c>
      <c r="K12" s="49" t="s">
        <v>41</v>
      </c>
      <c r="L12" s="54" t="s">
        <v>41</v>
      </c>
      <c r="M12" s="54" t="s">
        <v>1011</v>
      </c>
      <c r="N12" s="54" t="s">
        <v>39</v>
      </c>
      <c r="O12" s="54" t="s">
        <v>41</v>
      </c>
      <c r="P12" s="54" t="s">
        <v>41</v>
      </c>
      <c r="Q12" s="54" t="s">
        <v>39</v>
      </c>
      <c r="R12" s="54" t="s">
        <v>39</v>
      </c>
      <c r="S12" s="54" t="s">
        <v>39</v>
      </c>
      <c r="T12" s="54" t="s">
        <v>39</v>
      </c>
      <c r="U12" s="54" t="s">
        <v>41</v>
      </c>
      <c r="V12" s="54" t="s">
        <v>39</v>
      </c>
      <c r="W12" s="54" t="s">
        <v>41</v>
      </c>
      <c r="X12" s="54" t="s">
        <v>41</v>
      </c>
      <c r="Y12" s="54" t="s">
        <v>41</v>
      </c>
      <c r="Z12" s="54" t="s">
        <v>41</v>
      </c>
      <c r="AA12" s="15" t="s">
        <v>39</v>
      </c>
      <c r="AB12" s="54" t="s">
        <v>41</v>
      </c>
      <c r="AC12" s="54" t="s">
        <v>41</v>
      </c>
      <c r="AD12" s="54" t="s">
        <v>41</v>
      </c>
      <c r="AE12" s="54" t="s">
        <v>41</v>
      </c>
      <c r="AF12" s="54" t="s">
        <v>41</v>
      </c>
      <c r="AG12" s="49" t="s">
        <v>41</v>
      </c>
      <c r="AH12" s="49" t="s">
        <v>41</v>
      </c>
      <c r="AI12" s="49" t="s">
        <v>39</v>
      </c>
      <c r="AJ12" s="49" t="s">
        <v>39</v>
      </c>
      <c r="AK12" s="54" t="s">
        <v>41</v>
      </c>
      <c r="AL12" s="54" t="s">
        <v>39</v>
      </c>
      <c r="AM12" s="54" t="s">
        <v>41</v>
      </c>
      <c r="AN12" s="54" t="s">
        <v>41</v>
      </c>
      <c r="AO12" s="54" t="s">
        <v>41</v>
      </c>
      <c r="AP12" s="54" t="s">
        <v>41</v>
      </c>
      <c r="AQ12" s="49" t="s">
        <v>41</v>
      </c>
      <c r="AR12" s="49" t="s">
        <v>39</v>
      </c>
      <c r="AS12" s="54" t="s">
        <v>41</v>
      </c>
      <c r="AT12" s="65" t="s">
        <v>41</v>
      </c>
      <c r="AU12" s="49" t="s">
        <v>41</v>
      </c>
      <c r="AV12" s="54" t="s">
        <v>41</v>
      </c>
      <c r="AW12" s="54" t="s">
        <v>41</v>
      </c>
      <c r="AX12" s="54" t="s">
        <v>41</v>
      </c>
      <c r="AY12" s="54" t="s">
        <v>41</v>
      </c>
      <c r="AZ12" s="54" t="s">
        <v>41</v>
      </c>
      <c r="BA12" s="54" t="s">
        <v>41</v>
      </c>
      <c r="BB12" s="54" t="s">
        <v>41</v>
      </c>
      <c r="BC12" s="54" t="s">
        <v>41</v>
      </c>
      <c r="BD12" s="54" t="s">
        <v>41</v>
      </c>
      <c r="BE12" s="54" t="s">
        <v>39</v>
      </c>
      <c r="BF12" s="54" t="s">
        <v>39</v>
      </c>
      <c r="BG12" s="54" t="s">
        <v>41</v>
      </c>
    </row>
    <row r="13" spans="1:59" s="55" customFormat="1" ht="11.25" customHeight="1">
      <c r="A13" s="95" t="s">
        <v>688</v>
      </c>
      <c r="B13" s="94"/>
      <c r="C13" s="94"/>
      <c r="D13" s="94" t="s">
        <v>4434</v>
      </c>
      <c r="E13" s="94" t="s">
        <v>4504</v>
      </c>
      <c r="F13" s="94" t="s">
        <v>4504</v>
      </c>
      <c r="G13" s="94"/>
      <c r="H13" s="94" t="s">
        <v>2069</v>
      </c>
      <c r="I13" s="94"/>
      <c r="J13" s="94" t="s">
        <v>2069</v>
      </c>
      <c r="K13" s="94"/>
      <c r="L13" s="94" t="s">
        <v>1524</v>
      </c>
      <c r="M13" s="94" t="s">
        <v>1010</v>
      </c>
      <c r="N13" s="94"/>
      <c r="O13" s="94" t="s">
        <v>1401</v>
      </c>
      <c r="P13" s="94"/>
      <c r="Q13" s="94"/>
      <c r="R13" s="94" t="s">
        <v>39</v>
      </c>
      <c r="S13" s="94"/>
      <c r="T13" s="94"/>
      <c r="U13" s="94"/>
      <c r="V13" s="94" t="s">
        <v>39</v>
      </c>
      <c r="W13" s="94" t="s">
        <v>1788</v>
      </c>
      <c r="X13" s="94" t="s">
        <v>1788</v>
      </c>
      <c r="Y13" s="94" t="s">
        <v>697</v>
      </c>
      <c r="Z13" s="94" t="s">
        <v>1072</v>
      </c>
      <c r="AA13" s="94"/>
      <c r="AB13" s="94"/>
      <c r="AC13" s="94"/>
      <c r="AD13" s="94"/>
      <c r="AE13" s="94" t="s">
        <v>1188</v>
      </c>
      <c r="AF13" s="94"/>
      <c r="AG13" s="94"/>
      <c r="AH13" s="94"/>
      <c r="AI13" s="94"/>
      <c r="AJ13" s="94"/>
      <c r="AK13" s="94" t="s">
        <v>1169</v>
      </c>
      <c r="AL13" s="91" t="s">
        <v>39</v>
      </c>
      <c r="AM13" s="94" t="s">
        <v>1236</v>
      </c>
      <c r="AN13" s="94" t="s">
        <v>1169</v>
      </c>
      <c r="AO13" s="94" t="s">
        <v>1236</v>
      </c>
      <c r="AP13" s="94"/>
      <c r="AQ13" s="94"/>
      <c r="AR13" s="94"/>
      <c r="AS13" s="94" t="s">
        <v>1710</v>
      </c>
      <c r="AT13" s="94"/>
      <c r="AU13" s="94"/>
      <c r="AV13" s="94" t="s">
        <v>877</v>
      </c>
      <c r="AW13" s="94" t="s">
        <v>877</v>
      </c>
      <c r="AX13" s="94"/>
      <c r="AY13" s="94"/>
      <c r="AZ13" s="94" t="s">
        <v>1369</v>
      </c>
      <c r="BA13" s="94" t="s">
        <v>1314</v>
      </c>
      <c r="BB13" s="94"/>
      <c r="BC13" s="94" t="s">
        <v>2730</v>
      </c>
      <c r="BD13" s="94"/>
      <c r="BE13" s="94" t="s">
        <v>39</v>
      </c>
      <c r="BF13" s="94" t="s">
        <v>39</v>
      </c>
      <c r="BG13" s="94"/>
    </row>
    <row r="14" spans="1:59" s="55" customFormat="1" ht="22.5" customHeight="1">
      <c r="A14" s="53" t="s">
        <v>122</v>
      </c>
      <c r="B14" s="69" t="s">
        <v>39</v>
      </c>
      <c r="C14" s="54" t="s">
        <v>4424</v>
      </c>
      <c r="D14" s="54" t="s">
        <v>41</v>
      </c>
      <c r="E14" s="54" t="s">
        <v>4415</v>
      </c>
      <c r="F14" s="54" t="s">
        <v>4415</v>
      </c>
      <c r="G14" s="69" t="s">
        <v>39</v>
      </c>
      <c r="H14" s="54" t="s">
        <v>41</v>
      </c>
      <c r="I14" s="54" t="s">
        <v>41</v>
      </c>
      <c r="J14" s="54" t="s">
        <v>41</v>
      </c>
      <c r="K14" s="54" t="s">
        <v>39</v>
      </c>
      <c r="L14" s="54" t="s">
        <v>39</v>
      </c>
      <c r="M14" s="54" t="s">
        <v>39</v>
      </c>
      <c r="N14" s="54" t="s">
        <v>39</v>
      </c>
      <c r="O14" s="54" t="s">
        <v>39</v>
      </c>
      <c r="P14" s="54" t="s">
        <v>41</v>
      </c>
      <c r="Q14" s="54" t="s">
        <v>39</v>
      </c>
      <c r="R14" s="54" t="s">
        <v>39</v>
      </c>
      <c r="S14" s="54" t="s">
        <v>39</v>
      </c>
      <c r="T14" s="54" t="s">
        <v>39</v>
      </c>
      <c r="U14" s="54" t="s">
        <v>39</v>
      </c>
      <c r="V14" s="54" t="s">
        <v>39</v>
      </c>
      <c r="W14" s="54" t="s">
        <v>39</v>
      </c>
      <c r="X14" s="54" t="s">
        <v>39</v>
      </c>
      <c r="Y14" s="54" t="s">
        <v>41</v>
      </c>
      <c r="Z14" s="54" t="s">
        <v>41</v>
      </c>
      <c r="AA14" s="23" t="s">
        <v>39</v>
      </c>
      <c r="AB14" s="54" t="s">
        <v>41</v>
      </c>
      <c r="AC14" s="54" t="s">
        <v>41</v>
      </c>
      <c r="AD14" s="54" t="s">
        <v>41</v>
      </c>
      <c r="AE14" s="54" t="s">
        <v>41</v>
      </c>
      <c r="AF14" s="54" t="s">
        <v>41</v>
      </c>
      <c r="AG14" s="54" t="s">
        <v>39</v>
      </c>
      <c r="AH14" s="54" t="s">
        <v>39</v>
      </c>
      <c r="AI14" s="49" t="s">
        <v>39</v>
      </c>
      <c r="AJ14" s="49" t="s">
        <v>39</v>
      </c>
      <c r="AK14" s="54" t="s">
        <v>41</v>
      </c>
      <c r="AL14" s="54" t="s">
        <v>39</v>
      </c>
      <c r="AM14" s="54" t="s">
        <v>39</v>
      </c>
      <c r="AN14" s="54" t="s">
        <v>41</v>
      </c>
      <c r="AO14" s="54" t="s">
        <v>39</v>
      </c>
      <c r="AP14" s="54" t="s">
        <v>39</v>
      </c>
      <c r="AQ14" s="49" t="s">
        <v>41</v>
      </c>
      <c r="AR14" s="49" t="s">
        <v>39</v>
      </c>
      <c r="AS14" s="54" t="s">
        <v>39</v>
      </c>
      <c r="AT14" s="65" t="s">
        <v>39</v>
      </c>
      <c r="AU14" s="49" t="s">
        <v>39</v>
      </c>
      <c r="AV14" s="54" t="s">
        <v>41</v>
      </c>
      <c r="AW14" s="54" t="s">
        <v>41</v>
      </c>
      <c r="AX14" s="54" t="s">
        <v>41</v>
      </c>
      <c r="AY14" s="54" t="s">
        <v>41</v>
      </c>
      <c r="AZ14" s="54" t="s">
        <v>41</v>
      </c>
      <c r="BA14" s="54" t="s">
        <v>41</v>
      </c>
      <c r="BB14" s="54" t="s">
        <v>39</v>
      </c>
      <c r="BC14" s="54" t="s">
        <v>39</v>
      </c>
      <c r="BD14" s="54" t="s">
        <v>41</v>
      </c>
      <c r="BE14" s="54" t="s">
        <v>39</v>
      </c>
      <c r="BF14" s="54" t="s">
        <v>39</v>
      </c>
      <c r="BG14" s="54" t="s">
        <v>39</v>
      </c>
    </row>
    <row r="15" spans="1:59" s="55" customFormat="1" ht="11.25" customHeight="1">
      <c r="A15" s="95" t="s">
        <v>688</v>
      </c>
      <c r="B15" s="94"/>
      <c r="C15" s="94"/>
      <c r="D15" s="94" t="s">
        <v>4426</v>
      </c>
      <c r="E15" s="94" t="s">
        <v>4505</v>
      </c>
      <c r="F15" s="94" t="s">
        <v>4505</v>
      </c>
      <c r="G15" s="94"/>
      <c r="H15" s="94" t="s">
        <v>2070</v>
      </c>
      <c r="I15" s="94"/>
      <c r="J15" s="94" t="s">
        <v>2070</v>
      </c>
      <c r="K15" s="94"/>
      <c r="L15" s="94" t="s">
        <v>39</v>
      </c>
      <c r="M15" s="94" t="s">
        <v>39</v>
      </c>
      <c r="N15" s="94"/>
      <c r="O15" s="94" t="s">
        <v>39</v>
      </c>
      <c r="P15" s="94"/>
      <c r="Q15" s="94"/>
      <c r="R15" s="94" t="s">
        <v>39</v>
      </c>
      <c r="S15" s="94"/>
      <c r="T15" s="94"/>
      <c r="U15" s="94"/>
      <c r="V15" s="94" t="s">
        <v>39</v>
      </c>
      <c r="W15" s="94" t="s">
        <v>39</v>
      </c>
      <c r="X15" s="94" t="s">
        <v>39</v>
      </c>
      <c r="Y15" s="94" t="s">
        <v>698</v>
      </c>
      <c r="Z15" s="94" t="s">
        <v>1071</v>
      </c>
      <c r="AA15" s="94"/>
      <c r="AB15" s="94"/>
      <c r="AC15" s="94"/>
      <c r="AD15" s="94"/>
      <c r="AE15" s="94" t="s">
        <v>3787</v>
      </c>
      <c r="AF15" s="94"/>
      <c r="AG15" s="94"/>
      <c r="AH15" s="94"/>
      <c r="AI15" s="94"/>
      <c r="AJ15" s="94"/>
      <c r="AK15" s="94" t="s">
        <v>1169</v>
      </c>
      <c r="AL15" s="91" t="s">
        <v>39</v>
      </c>
      <c r="AM15" s="94" t="s">
        <v>39</v>
      </c>
      <c r="AN15" s="94" t="s">
        <v>1169</v>
      </c>
      <c r="AO15" s="94" t="s">
        <v>39</v>
      </c>
      <c r="AP15" s="94"/>
      <c r="AQ15" s="94"/>
      <c r="AR15" s="94"/>
      <c r="AS15" s="94" t="s">
        <v>39</v>
      </c>
      <c r="AT15" s="94"/>
      <c r="AU15" s="94"/>
      <c r="AV15" s="94" t="s">
        <v>878</v>
      </c>
      <c r="AW15" s="94" t="s">
        <v>878</v>
      </c>
      <c r="AX15" s="94"/>
      <c r="AY15" s="94"/>
      <c r="AZ15" s="94" t="s">
        <v>1306</v>
      </c>
      <c r="BA15" s="94" t="s">
        <v>1307</v>
      </c>
      <c r="BB15" s="94"/>
      <c r="BC15" s="94" t="s">
        <v>39</v>
      </c>
      <c r="BD15" s="94"/>
      <c r="BE15" s="94" t="s">
        <v>39</v>
      </c>
      <c r="BF15" s="94" t="s">
        <v>39</v>
      </c>
      <c r="BG15" s="94"/>
    </row>
    <row r="16" spans="1:59" s="55" customFormat="1" ht="22.5" customHeight="1">
      <c r="A16" s="53" t="s">
        <v>1</v>
      </c>
      <c r="B16" s="69" t="s">
        <v>39</v>
      </c>
      <c r="C16" s="54" t="s">
        <v>41</v>
      </c>
      <c r="D16" s="54" t="s">
        <v>41</v>
      </c>
      <c r="E16" s="54" t="s">
        <v>4507</v>
      </c>
      <c r="F16" s="54" t="s">
        <v>4507</v>
      </c>
      <c r="G16" s="49" t="s">
        <v>41</v>
      </c>
      <c r="H16" s="54" t="s">
        <v>41</v>
      </c>
      <c r="I16" s="54" t="s">
        <v>41</v>
      </c>
      <c r="J16" s="54" t="s">
        <v>41</v>
      </c>
      <c r="K16" s="49" t="s">
        <v>41</v>
      </c>
      <c r="L16" s="54" t="s">
        <v>41</v>
      </c>
      <c r="M16" s="54" t="s">
        <v>41</v>
      </c>
      <c r="N16" s="54" t="s">
        <v>41</v>
      </c>
      <c r="O16" s="54" t="s">
        <v>41</v>
      </c>
      <c r="P16" s="54" t="s">
        <v>41</v>
      </c>
      <c r="Q16" s="54" t="s">
        <v>662</v>
      </c>
      <c r="R16" s="54" t="s">
        <v>662</v>
      </c>
      <c r="S16" s="54" t="s">
        <v>41</v>
      </c>
      <c r="T16" s="54" t="s">
        <v>41</v>
      </c>
      <c r="U16" s="54" t="s">
        <v>41</v>
      </c>
      <c r="V16" s="54" t="s">
        <v>39</v>
      </c>
      <c r="W16" s="54" t="s">
        <v>41</v>
      </c>
      <c r="X16" s="54" t="s">
        <v>41</v>
      </c>
      <c r="Y16" s="54" t="s">
        <v>41</v>
      </c>
      <c r="Z16" s="54" t="s">
        <v>41</v>
      </c>
      <c r="AA16" s="15" t="s">
        <v>41</v>
      </c>
      <c r="AB16" s="54" t="s">
        <v>41</v>
      </c>
      <c r="AC16" s="54" t="s">
        <v>41</v>
      </c>
      <c r="AD16" s="54" t="s">
        <v>41</v>
      </c>
      <c r="AE16" s="54" t="s">
        <v>41</v>
      </c>
      <c r="AF16" s="54" t="s">
        <v>41</v>
      </c>
      <c r="AG16" s="54" t="s">
        <v>39</v>
      </c>
      <c r="AH16" s="54" t="s">
        <v>39</v>
      </c>
      <c r="AI16" s="54" t="s">
        <v>39</v>
      </c>
      <c r="AJ16" s="54" t="s">
        <v>41</v>
      </c>
      <c r="AK16" s="54" t="s">
        <v>41</v>
      </c>
      <c r="AL16" s="54" t="s">
        <v>39</v>
      </c>
      <c r="AM16" s="54" t="s">
        <v>41</v>
      </c>
      <c r="AN16" s="54" t="s">
        <v>41</v>
      </c>
      <c r="AO16" s="54" t="s">
        <v>41</v>
      </c>
      <c r="AP16" s="54" t="s">
        <v>41</v>
      </c>
      <c r="AQ16" s="49" t="s">
        <v>41</v>
      </c>
      <c r="AR16" s="49" t="s">
        <v>41</v>
      </c>
      <c r="AS16" s="54" t="s">
        <v>41</v>
      </c>
      <c r="AT16" s="65" t="s">
        <v>41</v>
      </c>
      <c r="AU16" s="49" t="s">
        <v>41</v>
      </c>
      <c r="AV16" s="54" t="s">
        <v>41</v>
      </c>
      <c r="AW16" s="54" t="s">
        <v>41</v>
      </c>
      <c r="AX16" s="54" t="s">
        <v>41</v>
      </c>
      <c r="AY16" s="54" t="s">
        <v>41</v>
      </c>
      <c r="AZ16" s="54" t="s">
        <v>41</v>
      </c>
      <c r="BA16" s="54" t="s">
        <v>41</v>
      </c>
      <c r="BB16" s="54" t="s">
        <v>250</v>
      </c>
      <c r="BC16" s="54" t="s">
        <v>41</v>
      </c>
      <c r="BD16" s="54" t="s">
        <v>41</v>
      </c>
      <c r="BE16" s="54" t="s">
        <v>41</v>
      </c>
      <c r="BF16" s="54" t="s">
        <v>41</v>
      </c>
      <c r="BG16" s="54" t="s">
        <v>41</v>
      </c>
    </row>
    <row r="17" spans="1:59" s="55" customFormat="1" ht="11.25" customHeight="1">
      <c r="A17" s="95" t="s">
        <v>688</v>
      </c>
      <c r="B17" s="94"/>
      <c r="C17" s="94" t="s">
        <v>4419</v>
      </c>
      <c r="D17" s="94" t="s">
        <v>4419</v>
      </c>
      <c r="E17" s="94" t="s">
        <v>4506</v>
      </c>
      <c r="F17" s="94" t="s">
        <v>4506</v>
      </c>
      <c r="G17" s="94"/>
      <c r="H17" s="94" t="s">
        <v>2066</v>
      </c>
      <c r="I17" s="94"/>
      <c r="J17" s="94" t="s">
        <v>2066</v>
      </c>
      <c r="K17" s="94"/>
      <c r="L17" s="94" t="s">
        <v>1547</v>
      </c>
      <c r="M17" s="94" t="s">
        <v>1008</v>
      </c>
      <c r="N17" s="94"/>
      <c r="O17" s="94" t="s">
        <v>1399</v>
      </c>
      <c r="P17" s="94"/>
      <c r="Q17" s="94"/>
      <c r="R17" s="94" t="s">
        <v>2807</v>
      </c>
      <c r="S17" s="94"/>
      <c r="T17" s="94"/>
      <c r="U17" s="94"/>
      <c r="V17" s="94" t="s">
        <v>39</v>
      </c>
      <c r="W17" s="94" t="s">
        <v>1788</v>
      </c>
      <c r="X17" s="94" t="s">
        <v>1788</v>
      </c>
      <c r="Y17" s="94" t="s">
        <v>699</v>
      </c>
      <c r="Z17" s="94" t="s">
        <v>1069</v>
      </c>
      <c r="AA17" s="94"/>
      <c r="AB17" s="94"/>
      <c r="AC17" s="94"/>
      <c r="AD17" s="94"/>
      <c r="AE17" s="94" t="s">
        <v>1186</v>
      </c>
      <c r="AF17" s="94"/>
      <c r="AG17" s="94"/>
      <c r="AH17" s="94"/>
      <c r="AI17" s="94"/>
      <c r="AJ17" s="94"/>
      <c r="AK17" s="94" t="s">
        <v>1208</v>
      </c>
      <c r="AL17" s="91" t="s">
        <v>39</v>
      </c>
      <c r="AM17" s="94" t="s">
        <v>1208</v>
      </c>
      <c r="AN17" s="94" t="s">
        <v>1208</v>
      </c>
      <c r="AO17" s="94" t="s">
        <v>1208</v>
      </c>
      <c r="AP17" s="94"/>
      <c r="AQ17" s="94"/>
      <c r="AR17" s="94"/>
      <c r="AS17" s="94" t="s">
        <v>1708</v>
      </c>
      <c r="AT17" s="94"/>
      <c r="AU17" s="94"/>
      <c r="AV17" s="94" t="s">
        <v>860</v>
      </c>
      <c r="AW17" s="94" t="s">
        <v>860</v>
      </c>
      <c r="AX17" s="94"/>
      <c r="AY17" s="94"/>
      <c r="AZ17" s="94" t="s">
        <v>1305</v>
      </c>
      <c r="BA17" s="94" t="s">
        <v>1306</v>
      </c>
      <c r="BB17" s="94"/>
      <c r="BC17" s="94" t="s">
        <v>2599</v>
      </c>
      <c r="BD17" s="94"/>
      <c r="BE17" s="94" t="s">
        <v>915</v>
      </c>
      <c r="BF17" s="94" t="s">
        <v>915</v>
      </c>
      <c r="BG17" s="94"/>
    </row>
    <row r="18" spans="1:59" s="55" customFormat="1" ht="22.5" customHeight="1">
      <c r="A18" s="53" t="s">
        <v>0</v>
      </c>
      <c r="B18" s="69" t="s">
        <v>39</v>
      </c>
      <c r="C18" s="54" t="s">
        <v>41</v>
      </c>
      <c r="D18" s="54" t="s">
        <v>4415</v>
      </c>
      <c r="E18" s="54" t="s">
        <v>4509</v>
      </c>
      <c r="F18" s="54" t="s">
        <v>4509</v>
      </c>
      <c r="G18" s="49" t="s">
        <v>34</v>
      </c>
      <c r="H18" s="54" t="s">
        <v>613</v>
      </c>
      <c r="I18" s="54" t="s">
        <v>613</v>
      </c>
      <c r="J18" s="54" t="s">
        <v>613</v>
      </c>
      <c r="K18" s="54" t="s">
        <v>41</v>
      </c>
      <c r="L18" s="54" t="s">
        <v>1574</v>
      </c>
      <c r="M18" s="54" t="s">
        <v>41</v>
      </c>
      <c r="N18" s="54" t="s">
        <v>34</v>
      </c>
      <c r="O18" s="54" t="s">
        <v>215</v>
      </c>
      <c r="P18" s="54" t="s">
        <v>34</v>
      </c>
      <c r="Q18" s="54" t="s">
        <v>39</v>
      </c>
      <c r="R18" s="54" t="s">
        <v>39</v>
      </c>
      <c r="S18" s="54" t="s">
        <v>39</v>
      </c>
      <c r="T18" s="54" t="s">
        <v>41</v>
      </c>
      <c r="U18" s="54" t="s">
        <v>41</v>
      </c>
      <c r="V18" s="54" t="s">
        <v>41</v>
      </c>
      <c r="W18" s="54" t="s">
        <v>41</v>
      </c>
      <c r="X18" s="54" t="s">
        <v>41</v>
      </c>
      <c r="Y18" s="54" t="s">
        <v>41</v>
      </c>
      <c r="Z18" s="54" t="s">
        <v>41</v>
      </c>
      <c r="AA18" s="17" t="s">
        <v>34</v>
      </c>
      <c r="AB18" s="54" t="s">
        <v>613</v>
      </c>
      <c r="AC18" s="54" t="s">
        <v>613</v>
      </c>
      <c r="AD18" s="54" t="s">
        <v>613</v>
      </c>
      <c r="AE18" s="54" t="s">
        <v>613</v>
      </c>
      <c r="AF18" s="54" t="s">
        <v>613</v>
      </c>
      <c r="AG18" s="49" t="s">
        <v>41</v>
      </c>
      <c r="AH18" s="49" t="s">
        <v>41</v>
      </c>
      <c r="AI18" s="54" t="s">
        <v>41</v>
      </c>
      <c r="AJ18" s="54" t="s">
        <v>41</v>
      </c>
      <c r="AK18" s="54" t="s">
        <v>613</v>
      </c>
      <c r="AL18" s="54" t="s">
        <v>613</v>
      </c>
      <c r="AM18" s="54" t="s">
        <v>613</v>
      </c>
      <c r="AN18" s="54" t="s">
        <v>613</v>
      </c>
      <c r="AO18" s="54" t="s">
        <v>613</v>
      </c>
      <c r="AP18" s="54" t="s">
        <v>613</v>
      </c>
      <c r="AQ18" s="49" t="s">
        <v>41</v>
      </c>
      <c r="AR18" s="49" t="s">
        <v>41</v>
      </c>
      <c r="AS18" s="54" t="s">
        <v>613</v>
      </c>
      <c r="AT18" s="73" t="s">
        <v>39</v>
      </c>
      <c r="AU18" s="69" t="s">
        <v>39</v>
      </c>
      <c r="AV18" s="54" t="s">
        <v>879</v>
      </c>
      <c r="AW18" s="54" t="s">
        <v>879</v>
      </c>
      <c r="AX18" s="54" t="s">
        <v>215</v>
      </c>
      <c r="AY18" s="54" t="s">
        <v>215</v>
      </c>
      <c r="AZ18" s="54" t="s">
        <v>613</v>
      </c>
      <c r="BA18" s="54" t="s">
        <v>613</v>
      </c>
      <c r="BB18" s="54" t="s">
        <v>41</v>
      </c>
      <c r="BC18" s="54" t="s">
        <v>613</v>
      </c>
      <c r="BD18" s="54" t="s">
        <v>613</v>
      </c>
      <c r="BE18" s="54" t="s">
        <v>41</v>
      </c>
      <c r="BF18" s="54" t="s">
        <v>41</v>
      </c>
      <c r="BG18" s="54" t="s">
        <v>41</v>
      </c>
    </row>
    <row r="19" spans="1:59" s="55" customFormat="1" ht="11.25" customHeight="1">
      <c r="A19" s="95" t="s">
        <v>688</v>
      </c>
      <c r="B19" s="94"/>
      <c r="C19" s="94" t="s">
        <v>4420</v>
      </c>
      <c r="D19" s="94" t="s">
        <v>4420</v>
      </c>
      <c r="E19" s="94" t="s">
        <v>4508</v>
      </c>
      <c r="F19" s="94" t="s">
        <v>4508</v>
      </c>
      <c r="G19" s="94"/>
      <c r="H19" s="94" t="s">
        <v>2067</v>
      </c>
      <c r="I19" s="94"/>
      <c r="J19" s="94" t="s">
        <v>2067</v>
      </c>
      <c r="K19" s="94"/>
      <c r="L19" s="94" t="s">
        <v>1167</v>
      </c>
      <c r="M19" s="94" t="s">
        <v>1009</v>
      </c>
      <c r="N19" s="94"/>
      <c r="O19" s="94" t="s">
        <v>1402</v>
      </c>
      <c r="P19" s="94"/>
      <c r="Q19" s="94"/>
      <c r="R19" s="94" t="s">
        <v>39</v>
      </c>
      <c r="S19" s="94"/>
      <c r="T19" s="94"/>
      <c r="U19" s="94"/>
      <c r="V19" s="94" t="s">
        <v>1785</v>
      </c>
      <c r="W19" s="94" t="s">
        <v>1789</v>
      </c>
      <c r="X19" s="94" t="s">
        <v>1792</v>
      </c>
      <c r="Y19" s="94" t="s">
        <v>700</v>
      </c>
      <c r="Z19" s="94" t="s">
        <v>1065</v>
      </c>
      <c r="AA19" s="94"/>
      <c r="AB19" s="94"/>
      <c r="AC19" s="94"/>
      <c r="AD19" s="94"/>
      <c r="AE19" s="94" t="s">
        <v>3780</v>
      </c>
      <c r="AF19" s="94"/>
      <c r="AG19" s="94"/>
      <c r="AH19" s="94"/>
      <c r="AI19" s="94"/>
      <c r="AJ19" s="94"/>
      <c r="AK19" s="94" t="s">
        <v>1256</v>
      </c>
      <c r="AL19" s="91" t="s">
        <v>4647</v>
      </c>
      <c r="AM19" s="94" t="s">
        <v>1256</v>
      </c>
      <c r="AN19" s="94" t="s">
        <v>1256</v>
      </c>
      <c r="AO19" s="94" t="s">
        <v>1256</v>
      </c>
      <c r="AP19" s="94"/>
      <c r="AQ19" s="94"/>
      <c r="AR19" s="94"/>
      <c r="AS19" s="94" t="s">
        <v>1709</v>
      </c>
      <c r="AT19" s="94"/>
      <c r="AU19" s="94"/>
      <c r="AV19" s="94" t="s">
        <v>880</v>
      </c>
      <c r="AW19" s="94" t="s">
        <v>880</v>
      </c>
      <c r="AX19" s="94"/>
      <c r="AY19" s="94"/>
      <c r="AZ19" s="94" t="s">
        <v>1290</v>
      </c>
      <c r="BA19" s="94" t="s">
        <v>1290</v>
      </c>
      <c r="BB19" s="94"/>
      <c r="BC19" s="94" t="s">
        <v>2598</v>
      </c>
      <c r="BD19" s="94"/>
      <c r="BE19" s="94" t="s">
        <v>916</v>
      </c>
      <c r="BF19" s="94" t="s">
        <v>916</v>
      </c>
      <c r="BG19" s="94"/>
    </row>
    <row r="20" spans="1:59" s="55" customFormat="1" ht="22.5" customHeight="1">
      <c r="A20" s="53" t="s">
        <v>83</v>
      </c>
      <c r="B20" s="54" t="s">
        <v>39</v>
      </c>
      <c r="C20" s="54" t="s">
        <v>4422</v>
      </c>
      <c r="D20" s="54" t="s">
        <v>4422</v>
      </c>
      <c r="E20" s="54" t="s">
        <v>4422</v>
      </c>
      <c r="F20" s="54" t="s">
        <v>4422</v>
      </c>
      <c r="G20" s="49" t="s">
        <v>39</v>
      </c>
      <c r="H20" s="54" t="s">
        <v>41</v>
      </c>
      <c r="I20" s="54" t="s">
        <v>41</v>
      </c>
      <c r="J20" s="54" t="s">
        <v>2210</v>
      </c>
      <c r="K20" s="49" t="s">
        <v>41</v>
      </c>
      <c r="L20" s="54" t="s">
        <v>1159</v>
      </c>
      <c r="M20" s="54" t="s">
        <v>1050</v>
      </c>
      <c r="N20" s="54" t="s">
        <v>41</v>
      </c>
      <c r="O20" s="54" t="s">
        <v>39</v>
      </c>
      <c r="P20" s="54" t="s">
        <v>312</v>
      </c>
      <c r="Q20" s="54" t="s">
        <v>661</v>
      </c>
      <c r="R20" s="54" t="s">
        <v>2821</v>
      </c>
      <c r="S20" s="54" t="s">
        <v>39</v>
      </c>
      <c r="T20" s="54" t="s">
        <v>41</v>
      </c>
      <c r="U20" s="54" t="s">
        <v>312</v>
      </c>
      <c r="V20" s="54" t="s">
        <v>39</v>
      </c>
      <c r="W20" s="54" t="s">
        <v>1313</v>
      </c>
      <c r="X20" s="54" t="s">
        <v>1313</v>
      </c>
      <c r="Y20" s="54" t="s">
        <v>41</v>
      </c>
      <c r="Z20" s="54" t="s">
        <v>39</v>
      </c>
      <c r="AA20" s="15" t="s">
        <v>41</v>
      </c>
      <c r="AB20" s="54" t="s">
        <v>41</v>
      </c>
      <c r="AC20" s="54" t="s">
        <v>306</v>
      </c>
      <c r="AD20" s="54" t="s">
        <v>306</v>
      </c>
      <c r="AE20" s="54" t="s">
        <v>3752</v>
      </c>
      <c r="AF20" s="54" t="s">
        <v>41</v>
      </c>
      <c r="AG20" s="49" t="s">
        <v>41</v>
      </c>
      <c r="AH20" s="49" t="s">
        <v>41</v>
      </c>
      <c r="AI20" s="54" t="s">
        <v>41</v>
      </c>
      <c r="AJ20" s="54" t="s">
        <v>41</v>
      </c>
      <c r="AK20" s="54" t="s">
        <v>1159</v>
      </c>
      <c r="AL20" s="54" t="s">
        <v>4424</v>
      </c>
      <c r="AM20" s="54" t="s">
        <v>1159</v>
      </c>
      <c r="AN20" s="54" t="s">
        <v>1159</v>
      </c>
      <c r="AO20" s="54" t="s">
        <v>1159</v>
      </c>
      <c r="AP20" s="54" t="s">
        <v>682</v>
      </c>
      <c r="AQ20" s="54" t="s">
        <v>41</v>
      </c>
      <c r="AR20" s="49" t="s">
        <v>41</v>
      </c>
      <c r="AS20" s="54" t="s">
        <v>1313</v>
      </c>
      <c r="AT20" s="49" t="s">
        <v>403</v>
      </c>
      <c r="AU20" s="49" t="s">
        <v>403</v>
      </c>
      <c r="AV20" s="54" t="s">
        <v>1159</v>
      </c>
      <c r="AW20" s="54" t="s">
        <v>1159</v>
      </c>
      <c r="AX20" s="54" t="s">
        <v>41</v>
      </c>
      <c r="AY20" s="54" t="s">
        <v>41</v>
      </c>
      <c r="AZ20" s="54" t="s">
        <v>1313</v>
      </c>
      <c r="BA20" s="54" t="s">
        <v>1313</v>
      </c>
      <c r="BB20" s="54" t="s">
        <v>574</v>
      </c>
      <c r="BC20" s="54" t="s">
        <v>39</v>
      </c>
      <c r="BD20" s="54" t="s">
        <v>2146</v>
      </c>
      <c r="BE20" s="54" t="s">
        <v>937</v>
      </c>
      <c r="BF20" s="54" t="s">
        <v>937</v>
      </c>
      <c r="BG20" s="54" t="s">
        <v>41</v>
      </c>
    </row>
    <row r="21" spans="1:59" s="55" customFormat="1" ht="11.25" customHeight="1">
      <c r="A21" s="95" t="s">
        <v>688</v>
      </c>
      <c r="B21" s="94"/>
      <c r="C21" s="94" t="s">
        <v>4421</v>
      </c>
      <c r="D21" s="94" t="s">
        <v>4421</v>
      </c>
      <c r="E21" s="94" t="s">
        <v>4510</v>
      </c>
      <c r="F21" s="94" t="s">
        <v>4511</v>
      </c>
      <c r="G21" s="94"/>
      <c r="H21" s="94" t="s">
        <v>2047</v>
      </c>
      <c r="I21" s="94"/>
      <c r="J21" s="94" t="s">
        <v>2047</v>
      </c>
      <c r="K21" s="94"/>
      <c r="L21" s="94" t="s">
        <v>1554</v>
      </c>
      <c r="M21" s="94" t="s">
        <v>1049</v>
      </c>
      <c r="N21" s="94"/>
      <c r="O21" s="94" t="s">
        <v>1389</v>
      </c>
      <c r="P21" s="94"/>
      <c r="Q21" s="94"/>
      <c r="R21" s="94" t="s">
        <v>2816</v>
      </c>
      <c r="S21" s="94"/>
      <c r="T21" s="94"/>
      <c r="U21" s="94"/>
      <c r="V21" s="94" t="s">
        <v>1389</v>
      </c>
      <c r="W21" s="94" t="s">
        <v>1787</v>
      </c>
      <c r="X21" s="94" t="s">
        <v>1787</v>
      </c>
      <c r="Y21" s="94" t="s">
        <v>701</v>
      </c>
      <c r="Z21" s="94" t="s">
        <v>1081</v>
      </c>
      <c r="AA21" s="94"/>
      <c r="AB21" s="94"/>
      <c r="AC21" s="94"/>
      <c r="AD21" s="94"/>
      <c r="AE21" s="94" t="s">
        <v>1181</v>
      </c>
      <c r="AF21" s="94"/>
      <c r="AG21" s="94"/>
      <c r="AH21" s="94"/>
      <c r="AI21" s="94"/>
      <c r="AJ21" s="94"/>
      <c r="AK21" s="94" t="s">
        <v>1215</v>
      </c>
      <c r="AL21" s="91" t="s">
        <v>4645</v>
      </c>
      <c r="AM21" s="94" t="s">
        <v>1215</v>
      </c>
      <c r="AN21" s="94" t="s">
        <v>1215</v>
      </c>
      <c r="AO21" s="94" t="s">
        <v>1215</v>
      </c>
      <c r="AP21" s="94"/>
      <c r="AQ21" s="94"/>
      <c r="AR21" s="94"/>
      <c r="AS21" s="94" t="s">
        <v>1715</v>
      </c>
      <c r="AT21" s="94"/>
      <c r="AU21" s="94"/>
      <c r="AV21" s="94" t="s">
        <v>862</v>
      </c>
      <c r="AW21" s="94" t="s">
        <v>862</v>
      </c>
      <c r="AX21" s="94"/>
      <c r="AY21" s="94"/>
      <c r="AZ21" s="94" t="s">
        <v>1367</v>
      </c>
      <c r="BA21" s="94" t="s">
        <v>1312</v>
      </c>
      <c r="BB21" s="94"/>
      <c r="BC21" s="94" t="s">
        <v>1389</v>
      </c>
      <c r="BD21" s="94"/>
      <c r="BE21" s="94" t="s">
        <v>933</v>
      </c>
      <c r="BF21" s="94" t="s">
        <v>933</v>
      </c>
      <c r="BG21" s="94"/>
    </row>
    <row r="22" spans="1:59" s="55" customFormat="1" ht="22.5" customHeight="1">
      <c r="A22" s="53" t="s">
        <v>30</v>
      </c>
      <c r="B22" s="54" t="s">
        <v>39</v>
      </c>
      <c r="C22" s="54" t="s">
        <v>4424</v>
      </c>
      <c r="D22" s="54" t="s">
        <v>41</v>
      </c>
      <c r="E22" s="54" t="s">
        <v>39</v>
      </c>
      <c r="F22" s="54" t="s">
        <v>4415</v>
      </c>
      <c r="G22" s="49" t="s">
        <v>39</v>
      </c>
      <c r="H22" s="54" t="s">
        <v>2099</v>
      </c>
      <c r="I22" s="54" t="s">
        <v>2099</v>
      </c>
      <c r="J22" s="54" t="s">
        <v>2099</v>
      </c>
      <c r="K22" s="49" t="s">
        <v>285</v>
      </c>
      <c r="L22" s="54" t="s">
        <v>285</v>
      </c>
      <c r="M22" s="54" t="s">
        <v>39</v>
      </c>
      <c r="N22" s="54" t="s">
        <v>41</v>
      </c>
      <c r="O22" s="54" t="s">
        <v>39</v>
      </c>
      <c r="P22" s="54" t="s">
        <v>41</v>
      </c>
      <c r="Q22" s="54" t="s">
        <v>39</v>
      </c>
      <c r="R22" s="54" t="s">
        <v>39</v>
      </c>
      <c r="S22" s="54" t="s">
        <v>41</v>
      </c>
      <c r="T22" s="54" t="s">
        <v>1755</v>
      </c>
      <c r="U22" s="54" t="s">
        <v>41</v>
      </c>
      <c r="V22" s="54" t="s">
        <v>39</v>
      </c>
      <c r="W22" s="54" t="s">
        <v>39</v>
      </c>
      <c r="X22" s="54" t="s">
        <v>41</v>
      </c>
      <c r="Y22" s="54" t="s">
        <v>41</v>
      </c>
      <c r="Z22" s="54" t="s">
        <v>41</v>
      </c>
      <c r="AA22" s="15" t="s">
        <v>39</v>
      </c>
      <c r="AB22" s="54" t="s">
        <v>41</v>
      </c>
      <c r="AC22" s="54" t="s">
        <v>3334</v>
      </c>
      <c r="AD22" s="54" t="s">
        <v>3288</v>
      </c>
      <c r="AE22" s="54" t="s">
        <v>3784</v>
      </c>
      <c r="AF22" s="54" t="s">
        <v>41</v>
      </c>
      <c r="AG22" s="49" t="s">
        <v>41</v>
      </c>
      <c r="AH22" s="49" t="s">
        <v>41</v>
      </c>
      <c r="AI22" s="54" t="s">
        <v>41</v>
      </c>
      <c r="AJ22" s="54" t="s">
        <v>41</v>
      </c>
      <c r="AK22" s="54" t="s">
        <v>41</v>
      </c>
      <c r="AL22" s="54" t="s">
        <v>4424</v>
      </c>
      <c r="AM22" s="54" t="s">
        <v>41</v>
      </c>
      <c r="AN22" s="54" t="s">
        <v>41</v>
      </c>
      <c r="AO22" s="54" t="s">
        <v>41</v>
      </c>
      <c r="AP22" s="54" t="s">
        <v>41</v>
      </c>
      <c r="AQ22" s="49" t="s">
        <v>41</v>
      </c>
      <c r="AR22" s="49" t="s">
        <v>39</v>
      </c>
      <c r="AS22" s="54" t="s">
        <v>39</v>
      </c>
      <c r="AT22" s="65" t="s">
        <v>39</v>
      </c>
      <c r="AU22" s="49" t="s">
        <v>39</v>
      </c>
      <c r="AV22" s="54" t="s">
        <v>41</v>
      </c>
      <c r="AW22" s="54" t="s">
        <v>41</v>
      </c>
      <c r="AX22" s="54" t="s">
        <v>41</v>
      </c>
      <c r="AY22" s="54" t="s">
        <v>41</v>
      </c>
      <c r="AZ22" s="54" t="s">
        <v>1310</v>
      </c>
      <c r="BA22" s="54" t="s">
        <v>1310</v>
      </c>
      <c r="BB22" s="54" t="s">
        <v>41</v>
      </c>
      <c r="BC22" s="54" t="s">
        <v>39</v>
      </c>
      <c r="BD22" s="54" t="s">
        <v>1775</v>
      </c>
      <c r="BE22" s="54" t="s">
        <v>39</v>
      </c>
      <c r="BF22" s="54" t="s">
        <v>903</v>
      </c>
      <c r="BG22" s="54" t="s">
        <v>39</v>
      </c>
    </row>
    <row r="23" spans="1:59" s="55" customFormat="1" ht="11.25" customHeight="1">
      <c r="A23" s="95" t="s">
        <v>688</v>
      </c>
      <c r="B23" s="94"/>
      <c r="C23" s="94" t="s">
        <v>4423</v>
      </c>
      <c r="D23" s="94" t="s">
        <v>4427</v>
      </c>
      <c r="E23" s="94"/>
      <c r="F23" s="94" t="s">
        <v>4512</v>
      </c>
      <c r="G23" s="94"/>
      <c r="H23" s="94" t="s">
        <v>2044</v>
      </c>
      <c r="I23" s="94"/>
      <c r="J23" s="94" t="s">
        <v>2044</v>
      </c>
      <c r="K23" s="94"/>
      <c r="L23" s="94" t="s">
        <v>1556</v>
      </c>
      <c r="M23" s="94" t="s">
        <v>1051</v>
      </c>
      <c r="N23" s="94"/>
      <c r="O23" s="94" t="s">
        <v>1388</v>
      </c>
      <c r="P23" s="94"/>
      <c r="Q23" s="94"/>
      <c r="R23" s="94" t="s">
        <v>2806</v>
      </c>
      <c r="S23" s="94"/>
      <c r="T23" s="94"/>
      <c r="U23" s="94"/>
      <c r="V23" s="94" t="s">
        <v>39</v>
      </c>
      <c r="W23" s="94" t="s">
        <v>39</v>
      </c>
      <c r="X23" s="94" t="s">
        <v>1807</v>
      </c>
      <c r="Y23" s="94" t="s">
        <v>702</v>
      </c>
      <c r="Z23" s="94" t="s">
        <v>1078</v>
      </c>
      <c r="AA23" s="94"/>
      <c r="AB23" s="94"/>
      <c r="AC23" s="94"/>
      <c r="AD23" s="94"/>
      <c r="AE23" s="94" t="s">
        <v>3783</v>
      </c>
      <c r="AF23" s="94"/>
      <c r="AG23" s="94"/>
      <c r="AH23" s="94"/>
      <c r="AI23" s="94"/>
      <c r="AJ23" s="94"/>
      <c r="AK23" s="94" t="s">
        <v>1228</v>
      </c>
      <c r="AL23" s="91" t="s">
        <v>4646</v>
      </c>
      <c r="AM23" s="94" t="s">
        <v>1228</v>
      </c>
      <c r="AN23" s="94" t="s">
        <v>1228</v>
      </c>
      <c r="AO23" s="94" t="s">
        <v>1228</v>
      </c>
      <c r="AP23" s="94"/>
      <c r="AQ23" s="94"/>
      <c r="AR23" s="94"/>
      <c r="AS23" s="94" t="s">
        <v>1733</v>
      </c>
      <c r="AT23" s="94"/>
      <c r="AU23" s="94"/>
      <c r="AV23" s="94" t="s">
        <v>846</v>
      </c>
      <c r="AW23" s="94" t="s">
        <v>846</v>
      </c>
      <c r="AX23" s="94"/>
      <c r="AY23" s="94"/>
      <c r="AZ23" s="94" t="s">
        <v>1366</v>
      </c>
      <c r="BA23" s="94" t="s">
        <v>1311</v>
      </c>
      <c r="BB23" s="94"/>
      <c r="BC23" s="94" t="s">
        <v>1388</v>
      </c>
      <c r="BD23" s="94"/>
      <c r="BE23" s="94" t="s">
        <v>932</v>
      </c>
      <c r="BF23" s="94" t="s">
        <v>904</v>
      </c>
      <c r="BG23" s="94"/>
    </row>
    <row r="24" spans="1:59" s="55" customFormat="1" ht="22.5" customHeight="1">
      <c r="A24" s="53" t="s">
        <v>3086</v>
      </c>
      <c r="B24" s="54" t="s">
        <v>39</v>
      </c>
      <c r="C24" s="54" t="s">
        <v>4458</v>
      </c>
      <c r="D24" s="54" t="s">
        <v>4458</v>
      </c>
      <c r="E24" s="54" t="s">
        <v>4521</v>
      </c>
      <c r="F24" s="54" t="s">
        <v>4520</v>
      </c>
      <c r="G24" s="49" t="s">
        <v>278</v>
      </c>
      <c r="H24" s="54" t="s">
        <v>41</v>
      </c>
      <c r="I24" s="54" t="s">
        <v>41</v>
      </c>
      <c r="J24" s="54" t="s">
        <v>2653</v>
      </c>
      <c r="K24" s="49" t="s">
        <v>41</v>
      </c>
      <c r="L24" s="54" t="s">
        <v>41</v>
      </c>
      <c r="M24" s="54" t="s">
        <v>1317</v>
      </c>
      <c r="N24" s="54" t="s">
        <v>41</v>
      </c>
      <c r="O24" s="54" t="s">
        <v>943</v>
      </c>
      <c r="P24" s="54" t="s">
        <v>41</v>
      </c>
      <c r="Q24" s="54" t="s">
        <v>39</v>
      </c>
      <c r="R24" s="54" t="s">
        <v>943</v>
      </c>
      <c r="S24" s="54" t="s">
        <v>39</v>
      </c>
      <c r="T24" s="54" t="s">
        <v>41</v>
      </c>
      <c r="U24" s="54" t="s">
        <v>1319</v>
      </c>
      <c r="V24" s="54" t="s">
        <v>943</v>
      </c>
      <c r="W24" s="54" t="s">
        <v>943</v>
      </c>
      <c r="X24" s="54" t="s">
        <v>943</v>
      </c>
      <c r="Y24" s="54" t="s">
        <v>41</v>
      </c>
      <c r="Z24" s="54" t="s">
        <v>41</v>
      </c>
      <c r="AA24" s="15" t="s">
        <v>39</v>
      </c>
      <c r="AB24" s="54" t="s">
        <v>41</v>
      </c>
      <c r="AC24" s="54" t="s">
        <v>41</v>
      </c>
      <c r="AD24" s="54" t="s">
        <v>307</v>
      </c>
      <c r="AE24" s="54" t="s">
        <v>41</v>
      </c>
      <c r="AF24" s="54" t="s">
        <v>41</v>
      </c>
      <c r="AG24" s="54" t="s">
        <v>39</v>
      </c>
      <c r="AH24" s="54" t="s">
        <v>39</v>
      </c>
      <c r="AI24" s="54" t="s">
        <v>1320</v>
      </c>
      <c r="AJ24" s="54" t="s">
        <v>1320</v>
      </c>
      <c r="AK24" s="54" t="s">
        <v>41</v>
      </c>
      <c r="AL24" s="54" t="s">
        <v>41</v>
      </c>
      <c r="AM24" s="54" t="s">
        <v>41</v>
      </c>
      <c r="AN24" s="54" t="s">
        <v>41</v>
      </c>
      <c r="AO24" s="54" t="s">
        <v>41</v>
      </c>
      <c r="AP24" s="54" t="s">
        <v>1320</v>
      </c>
      <c r="AQ24" s="54" t="s">
        <v>41</v>
      </c>
      <c r="AR24" s="54" t="s">
        <v>1318</v>
      </c>
      <c r="AS24" s="54" t="s">
        <v>1713</v>
      </c>
      <c r="AT24" s="65" t="s">
        <v>39</v>
      </c>
      <c r="AU24" s="49" t="s">
        <v>41</v>
      </c>
      <c r="AV24" s="54" t="s">
        <v>861</v>
      </c>
      <c r="AW24" s="54" t="s">
        <v>861</v>
      </c>
      <c r="AX24" s="54" t="s">
        <v>41</v>
      </c>
      <c r="AY24" s="54" t="s">
        <v>41</v>
      </c>
      <c r="AZ24" s="54" t="s">
        <v>41</v>
      </c>
      <c r="BA24" s="54" t="s">
        <v>41</v>
      </c>
      <c r="BB24" s="54" t="s">
        <v>39</v>
      </c>
      <c r="BC24" s="54" t="s">
        <v>943</v>
      </c>
      <c r="BD24" s="54" t="s">
        <v>41</v>
      </c>
      <c r="BE24" s="54" t="s">
        <v>943</v>
      </c>
      <c r="BF24" s="54" t="s">
        <v>943</v>
      </c>
      <c r="BG24" s="54" t="s">
        <v>421</v>
      </c>
    </row>
    <row r="25" spans="1:59" s="55" customFormat="1" ht="11.25" customHeight="1">
      <c r="A25" s="95" t="s">
        <v>688</v>
      </c>
      <c r="B25" s="94"/>
      <c r="C25" s="94" t="s">
        <v>4425</v>
      </c>
      <c r="D25" s="94" t="s">
        <v>4425</v>
      </c>
      <c r="E25" s="94" t="s">
        <v>4519</v>
      </c>
      <c r="F25" s="94" t="s">
        <v>4518</v>
      </c>
      <c r="G25" s="94"/>
      <c r="H25" s="94" t="s">
        <v>2051</v>
      </c>
      <c r="I25" s="94"/>
      <c r="J25" s="94" t="s">
        <v>2051</v>
      </c>
      <c r="K25" s="94"/>
      <c r="L25" s="94" t="s">
        <v>1549</v>
      </c>
      <c r="M25" s="94" t="s">
        <v>1058</v>
      </c>
      <c r="N25" s="94"/>
      <c r="O25" s="94" t="s">
        <v>1382</v>
      </c>
      <c r="P25" s="94"/>
      <c r="Q25" s="94"/>
      <c r="R25" s="94" t="s">
        <v>2822</v>
      </c>
      <c r="S25" s="94"/>
      <c r="T25" s="94"/>
      <c r="U25" s="94"/>
      <c r="V25" s="94" t="s">
        <v>1382</v>
      </c>
      <c r="W25" s="94" t="s">
        <v>1382</v>
      </c>
      <c r="X25" s="94" t="s">
        <v>1382</v>
      </c>
      <c r="Y25" s="94" t="s">
        <v>703</v>
      </c>
      <c r="Z25" s="94" t="s">
        <v>1068</v>
      </c>
      <c r="AA25" s="94"/>
      <c r="AB25" s="94"/>
      <c r="AC25" s="94"/>
      <c r="AD25" s="94"/>
      <c r="AE25" s="94" t="s">
        <v>3777</v>
      </c>
      <c r="AF25" s="94"/>
      <c r="AG25" s="94"/>
      <c r="AH25" s="94"/>
      <c r="AI25" s="94"/>
      <c r="AJ25" s="94"/>
      <c r="AK25" s="94" t="s">
        <v>1253</v>
      </c>
      <c r="AL25" s="91" t="s">
        <v>4647</v>
      </c>
      <c r="AM25" s="94" t="s">
        <v>1253</v>
      </c>
      <c r="AN25" s="94" t="s">
        <v>1253</v>
      </c>
      <c r="AO25" s="94" t="s">
        <v>1253</v>
      </c>
      <c r="AP25" s="94"/>
      <c r="AQ25" s="94"/>
      <c r="AR25" s="94"/>
      <c r="AS25" s="94" t="s">
        <v>1714</v>
      </c>
      <c r="AT25" s="94"/>
      <c r="AU25" s="94"/>
      <c r="AV25" s="94" t="s">
        <v>860</v>
      </c>
      <c r="AW25" s="94" t="s">
        <v>860</v>
      </c>
      <c r="AX25" s="94"/>
      <c r="AY25" s="94"/>
      <c r="AZ25" s="94" t="s">
        <v>1314</v>
      </c>
      <c r="BA25" s="94" t="s">
        <v>1316</v>
      </c>
      <c r="BB25" s="94"/>
      <c r="BC25" s="94" t="s">
        <v>2617</v>
      </c>
      <c r="BD25" s="94"/>
      <c r="BE25" s="94" t="s">
        <v>914</v>
      </c>
      <c r="BF25" s="94" t="s">
        <v>914</v>
      </c>
      <c r="BG25" s="94"/>
    </row>
    <row r="26" spans="1:59" s="55" customFormat="1" ht="22.5" customHeight="1">
      <c r="A26" s="53" t="s">
        <v>173</v>
      </c>
      <c r="B26" s="54" t="s">
        <v>39</v>
      </c>
      <c r="C26" s="54" t="s">
        <v>39</v>
      </c>
      <c r="D26" s="54" t="s">
        <v>39</v>
      </c>
      <c r="E26" s="54" t="s">
        <v>39</v>
      </c>
      <c r="F26" s="54" t="s">
        <v>4520</v>
      </c>
      <c r="G26" s="49" t="s">
        <v>39</v>
      </c>
      <c r="H26" s="54" t="s">
        <v>39</v>
      </c>
      <c r="I26" s="54" t="s">
        <v>39</v>
      </c>
      <c r="J26" s="54" t="s">
        <v>39</v>
      </c>
      <c r="K26" s="49" t="s">
        <v>39</v>
      </c>
      <c r="L26" s="54" t="s">
        <v>39</v>
      </c>
      <c r="M26" s="54" t="s">
        <v>39</v>
      </c>
      <c r="N26" s="54" t="s">
        <v>39</v>
      </c>
      <c r="O26" s="54" t="s">
        <v>39</v>
      </c>
      <c r="P26" s="54" t="s">
        <v>41</v>
      </c>
      <c r="Q26" s="54" t="s">
        <v>39</v>
      </c>
      <c r="R26" s="54" t="s">
        <v>39</v>
      </c>
      <c r="S26" s="54" t="s">
        <v>39</v>
      </c>
      <c r="T26" s="54" t="s">
        <v>39</v>
      </c>
      <c r="U26" s="54" t="s">
        <v>41</v>
      </c>
      <c r="V26" s="54" t="s">
        <v>39</v>
      </c>
      <c r="W26" s="54" t="s">
        <v>39</v>
      </c>
      <c r="X26" s="54" t="s">
        <v>39</v>
      </c>
      <c r="Y26" s="54" t="s">
        <v>41</v>
      </c>
      <c r="Z26" s="54" t="s">
        <v>39</v>
      </c>
      <c r="AA26" s="17" t="s">
        <v>39</v>
      </c>
      <c r="AB26" s="54" t="s">
        <v>41</v>
      </c>
      <c r="AC26" s="54" t="s">
        <v>39</v>
      </c>
      <c r="AD26" s="54" t="s">
        <v>41</v>
      </c>
      <c r="AE26" s="54" t="s">
        <v>39</v>
      </c>
      <c r="AF26" s="54" t="s">
        <v>39</v>
      </c>
      <c r="AG26" s="54" t="s">
        <v>39</v>
      </c>
      <c r="AH26" s="54" t="s">
        <v>39</v>
      </c>
      <c r="AI26" s="49" t="s">
        <v>39</v>
      </c>
      <c r="AJ26" s="49" t="s">
        <v>39</v>
      </c>
      <c r="AK26" s="54" t="s">
        <v>41</v>
      </c>
      <c r="AL26" s="54" t="s">
        <v>41</v>
      </c>
      <c r="AM26" s="54" t="s">
        <v>41</v>
      </c>
      <c r="AN26" s="54" t="s">
        <v>41</v>
      </c>
      <c r="AO26" s="54" t="s">
        <v>41</v>
      </c>
      <c r="AP26" s="54" t="s">
        <v>39</v>
      </c>
      <c r="AQ26" s="54" t="s">
        <v>41</v>
      </c>
      <c r="AR26" s="49" t="s">
        <v>39</v>
      </c>
      <c r="AS26" s="54" t="s">
        <v>39</v>
      </c>
      <c r="AT26" s="65" t="s">
        <v>39</v>
      </c>
      <c r="AU26" s="49" t="s">
        <v>39</v>
      </c>
      <c r="AV26" s="54" t="s">
        <v>39</v>
      </c>
      <c r="AW26" s="54" t="s">
        <v>39</v>
      </c>
      <c r="AX26" s="54" t="s">
        <v>39</v>
      </c>
      <c r="AY26" s="54" t="s">
        <v>41</v>
      </c>
      <c r="AZ26" s="54" t="s">
        <v>39</v>
      </c>
      <c r="BA26" s="54" t="s">
        <v>41</v>
      </c>
      <c r="BB26" s="54" t="s">
        <v>39</v>
      </c>
      <c r="BC26" s="54" t="s">
        <v>39</v>
      </c>
      <c r="BD26" s="54" t="s">
        <v>41</v>
      </c>
      <c r="BE26" s="54" t="s">
        <v>39</v>
      </c>
      <c r="BF26" s="54" t="s">
        <v>39</v>
      </c>
      <c r="BG26" s="54" t="s">
        <v>39</v>
      </c>
    </row>
    <row r="27" spans="1:59" s="55" customFormat="1" ht="11.25" customHeight="1">
      <c r="A27" s="95" t="s">
        <v>688</v>
      </c>
      <c r="B27" s="94"/>
      <c r="C27" s="94"/>
      <c r="D27" s="94"/>
      <c r="E27" s="94"/>
      <c r="F27" s="94" t="s">
        <v>4518</v>
      </c>
      <c r="G27" s="94"/>
      <c r="H27" s="94" t="s">
        <v>39</v>
      </c>
      <c r="I27" s="94"/>
      <c r="J27" s="94" t="s">
        <v>39</v>
      </c>
      <c r="K27" s="94"/>
      <c r="L27" s="94" t="s">
        <v>39</v>
      </c>
      <c r="M27" s="94" t="s">
        <v>39</v>
      </c>
      <c r="N27" s="94"/>
      <c r="O27" s="94" t="s">
        <v>39</v>
      </c>
      <c r="P27" s="94"/>
      <c r="Q27" s="94"/>
      <c r="R27" s="94" t="s">
        <v>39</v>
      </c>
      <c r="S27" s="94"/>
      <c r="T27" s="94"/>
      <c r="U27" s="94"/>
      <c r="V27" s="94" t="s">
        <v>39</v>
      </c>
      <c r="W27" s="94" t="s">
        <v>39</v>
      </c>
      <c r="X27" s="94" t="s">
        <v>39</v>
      </c>
      <c r="Y27" s="94" t="s">
        <v>703</v>
      </c>
      <c r="Z27" s="94" t="s">
        <v>39</v>
      </c>
      <c r="AA27" s="94"/>
      <c r="AB27" s="94"/>
      <c r="AC27" s="94"/>
      <c r="AD27" s="94"/>
      <c r="AE27" s="94" t="s">
        <v>39</v>
      </c>
      <c r="AF27" s="94"/>
      <c r="AG27" s="94"/>
      <c r="AH27" s="94"/>
      <c r="AI27" s="94"/>
      <c r="AJ27" s="94"/>
      <c r="AK27" s="94" t="s">
        <v>1232</v>
      </c>
      <c r="AL27" s="91" t="s">
        <v>4647</v>
      </c>
      <c r="AM27" s="94" t="s">
        <v>1232</v>
      </c>
      <c r="AN27" s="94" t="s">
        <v>1232</v>
      </c>
      <c r="AO27" s="94" t="s">
        <v>1232</v>
      </c>
      <c r="AP27" s="94"/>
      <c r="AQ27" s="94"/>
      <c r="AR27" s="94"/>
      <c r="AS27" s="94" t="s">
        <v>39</v>
      </c>
      <c r="AT27" s="94"/>
      <c r="AU27" s="94"/>
      <c r="AV27" s="94" t="s">
        <v>39</v>
      </c>
      <c r="AW27" s="94" t="s">
        <v>39</v>
      </c>
      <c r="AX27" s="94"/>
      <c r="AY27" s="94"/>
      <c r="AZ27" s="94" t="s">
        <v>39</v>
      </c>
      <c r="BA27" s="94" t="s">
        <v>1316</v>
      </c>
      <c r="BB27" s="94"/>
      <c r="BC27" s="94" t="s">
        <v>39</v>
      </c>
      <c r="BD27" s="94"/>
      <c r="BE27" s="94" t="s">
        <v>39</v>
      </c>
      <c r="BF27" s="94" t="s">
        <v>39</v>
      </c>
      <c r="BG27" s="94"/>
    </row>
    <row r="28" spans="1:59" s="55" customFormat="1" ht="22.5" customHeight="1">
      <c r="A28" s="53" t="s">
        <v>77</v>
      </c>
      <c r="B28" s="76" t="s">
        <v>231</v>
      </c>
      <c r="C28" s="49" t="s">
        <v>4424</v>
      </c>
      <c r="D28" s="54" t="s">
        <v>4514</v>
      </c>
      <c r="E28" s="54" t="s">
        <v>4516</v>
      </c>
      <c r="F28" s="54" t="s">
        <v>4515</v>
      </c>
      <c r="G28" s="69" t="s">
        <v>39</v>
      </c>
      <c r="H28" s="54" t="s">
        <v>43</v>
      </c>
      <c r="I28" s="54" t="s">
        <v>43</v>
      </c>
      <c r="J28" s="54" t="s">
        <v>2647</v>
      </c>
      <c r="K28" s="49" t="s">
        <v>109</v>
      </c>
      <c r="L28" s="54" t="s">
        <v>1457</v>
      </c>
      <c r="M28" s="49" t="s">
        <v>1046</v>
      </c>
      <c r="N28" s="54" t="s">
        <v>44</v>
      </c>
      <c r="O28" s="76" t="s">
        <v>231</v>
      </c>
      <c r="P28" s="54" t="s">
        <v>1676</v>
      </c>
      <c r="Q28" s="54" t="s">
        <v>39</v>
      </c>
      <c r="R28" s="54" t="s">
        <v>934</v>
      </c>
      <c r="S28" s="76" t="s">
        <v>231</v>
      </c>
      <c r="T28" s="54" t="s">
        <v>1751</v>
      </c>
      <c r="U28" s="54" t="s">
        <v>44</v>
      </c>
      <c r="V28" s="54" t="s">
        <v>591</v>
      </c>
      <c r="W28" s="54" t="s">
        <v>1850</v>
      </c>
      <c r="X28" s="54" t="s">
        <v>1779</v>
      </c>
      <c r="Y28" s="49" t="s">
        <v>1678</v>
      </c>
      <c r="Z28" s="49" t="s">
        <v>1677</v>
      </c>
      <c r="AA28" s="15" t="s">
        <v>43</v>
      </c>
      <c r="AB28" s="54" t="s">
        <v>1779</v>
      </c>
      <c r="AC28" s="54" t="s">
        <v>1779</v>
      </c>
      <c r="AD28" s="54" t="s">
        <v>1780</v>
      </c>
      <c r="AE28" s="54" t="s">
        <v>3782</v>
      </c>
      <c r="AF28" s="54" t="s">
        <v>43</v>
      </c>
      <c r="AG28" s="54" t="s">
        <v>44</v>
      </c>
      <c r="AH28" s="54" t="s">
        <v>44</v>
      </c>
      <c r="AI28" s="54" t="s">
        <v>44</v>
      </c>
      <c r="AJ28" s="54" t="s">
        <v>44</v>
      </c>
      <c r="AK28" s="54" t="s">
        <v>1204</v>
      </c>
      <c r="AL28" s="54" t="s">
        <v>43</v>
      </c>
      <c r="AM28" s="54" t="s">
        <v>1204</v>
      </c>
      <c r="AN28" s="54" t="s">
        <v>1204</v>
      </c>
      <c r="AO28" s="54" t="s">
        <v>1204</v>
      </c>
      <c r="AP28" s="54" t="s">
        <v>39</v>
      </c>
      <c r="AQ28" s="54" t="s">
        <v>591</v>
      </c>
      <c r="AR28" s="49" t="s">
        <v>1679</v>
      </c>
      <c r="AS28" s="54" t="s">
        <v>1712</v>
      </c>
      <c r="AT28" s="76" t="s">
        <v>231</v>
      </c>
      <c r="AU28" s="49" t="s">
        <v>406</v>
      </c>
      <c r="AV28" s="54" t="s">
        <v>406</v>
      </c>
      <c r="AW28" s="54" t="s">
        <v>406</v>
      </c>
      <c r="AX28" s="54" t="s">
        <v>203</v>
      </c>
      <c r="AY28" s="54" t="s">
        <v>109</v>
      </c>
      <c r="AZ28" s="54" t="s">
        <v>1364</v>
      </c>
      <c r="BA28" s="54" t="s">
        <v>1309</v>
      </c>
      <c r="BB28" s="76" t="s">
        <v>231</v>
      </c>
      <c r="BC28" s="54" t="s">
        <v>934</v>
      </c>
      <c r="BD28" s="54" t="s">
        <v>1309</v>
      </c>
      <c r="BE28" s="54" t="s">
        <v>934</v>
      </c>
      <c r="BF28" s="54" t="s">
        <v>906</v>
      </c>
      <c r="BG28" s="54" t="s">
        <v>436</v>
      </c>
    </row>
    <row r="29" spans="1:59" s="55" customFormat="1" ht="11.25" customHeight="1">
      <c r="A29" s="95" t="s">
        <v>688</v>
      </c>
      <c r="B29" s="94"/>
      <c r="C29" s="94" t="s">
        <v>4423</v>
      </c>
      <c r="D29" s="94" t="s">
        <v>4427</v>
      </c>
      <c r="E29" s="94" t="s">
        <v>4517</v>
      </c>
      <c r="F29" s="94" t="s">
        <v>4513</v>
      </c>
      <c r="G29" s="93"/>
      <c r="H29" s="94" t="s">
        <v>2044</v>
      </c>
      <c r="I29" s="94"/>
      <c r="J29" s="94" t="s">
        <v>2044</v>
      </c>
      <c r="K29" s="94"/>
      <c r="L29" s="94" t="s">
        <v>1532</v>
      </c>
      <c r="M29" s="94" t="s">
        <v>1045</v>
      </c>
      <c r="N29" s="94"/>
      <c r="O29" s="94" t="s">
        <v>1388</v>
      </c>
      <c r="P29" s="94"/>
      <c r="Q29" s="94"/>
      <c r="R29" s="94" t="s">
        <v>2806</v>
      </c>
      <c r="S29" s="94"/>
      <c r="T29" s="94"/>
      <c r="U29" s="94"/>
      <c r="V29" s="94" t="s">
        <v>1791</v>
      </c>
      <c r="W29" s="94" t="s">
        <v>1797</v>
      </c>
      <c r="X29" s="94" t="s">
        <v>1806</v>
      </c>
      <c r="Y29" s="94" t="s">
        <v>704</v>
      </c>
      <c r="Z29" s="94" t="s">
        <v>1077</v>
      </c>
      <c r="AA29" s="93"/>
      <c r="AB29" s="94"/>
      <c r="AC29" s="94"/>
      <c r="AD29" s="94"/>
      <c r="AE29" s="94" t="s">
        <v>3781</v>
      </c>
      <c r="AF29" s="94"/>
      <c r="AG29" s="93"/>
      <c r="AH29" s="93"/>
      <c r="AI29" s="94"/>
      <c r="AJ29" s="94"/>
      <c r="AK29" s="94" t="s">
        <v>1205</v>
      </c>
      <c r="AL29" s="91" t="s">
        <v>4648</v>
      </c>
      <c r="AM29" s="94" t="s">
        <v>1205</v>
      </c>
      <c r="AN29" s="94" t="s">
        <v>1205</v>
      </c>
      <c r="AO29" s="94" t="s">
        <v>1205</v>
      </c>
      <c r="AP29" s="94"/>
      <c r="AQ29" s="93"/>
      <c r="AR29" s="94"/>
      <c r="AS29" s="94" t="s">
        <v>1711</v>
      </c>
      <c r="AT29" s="93"/>
      <c r="AU29" s="94"/>
      <c r="AV29" s="94" t="s">
        <v>847</v>
      </c>
      <c r="AW29" s="94" t="s">
        <v>847</v>
      </c>
      <c r="AX29" s="94"/>
      <c r="AY29" s="94"/>
      <c r="AZ29" s="94" t="s">
        <v>1365</v>
      </c>
      <c r="BA29" s="94" t="s">
        <v>1308</v>
      </c>
      <c r="BB29" s="93"/>
      <c r="BC29" s="94" t="s">
        <v>1388</v>
      </c>
      <c r="BD29" s="94"/>
      <c r="BE29" s="94" t="s">
        <v>932</v>
      </c>
      <c r="BF29" s="94" t="s">
        <v>905</v>
      </c>
      <c r="BG29" s="94"/>
    </row>
    <row r="30" spans="1:59" s="55" customFormat="1" ht="22.5" customHeight="1">
      <c r="A30" s="53" t="s">
        <v>80</v>
      </c>
      <c r="B30" s="54" t="s">
        <v>232</v>
      </c>
      <c r="C30" s="54" t="s">
        <v>232</v>
      </c>
      <c r="D30" s="54" t="s">
        <v>161</v>
      </c>
      <c r="E30" s="54" t="s">
        <v>4522</v>
      </c>
      <c r="F30" s="54" t="s">
        <v>4523</v>
      </c>
      <c r="G30" s="69" t="s">
        <v>79</v>
      </c>
      <c r="H30" s="54" t="s">
        <v>2046</v>
      </c>
      <c r="I30" s="54" t="s">
        <v>2046</v>
      </c>
      <c r="J30" s="54" t="s">
        <v>2046</v>
      </c>
      <c r="K30" s="49" t="s">
        <v>78</v>
      </c>
      <c r="L30" s="54" t="s">
        <v>78</v>
      </c>
      <c r="M30" s="54" t="s">
        <v>1048</v>
      </c>
      <c r="N30" s="54" t="s">
        <v>81</v>
      </c>
      <c r="O30" s="54" t="s">
        <v>232</v>
      </c>
      <c r="P30" s="54" t="s">
        <v>330</v>
      </c>
      <c r="Q30" s="54" t="s">
        <v>663</v>
      </c>
      <c r="R30" s="54" t="s">
        <v>2824</v>
      </c>
      <c r="S30" s="54" t="s">
        <v>232</v>
      </c>
      <c r="T30" s="54" t="s">
        <v>161</v>
      </c>
      <c r="U30" s="54" t="s">
        <v>78</v>
      </c>
      <c r="V30" s="54" t="s">
        <v>409</v>
      </c>
      <c r="W30" s="54" t="s">
        <v>409</v>
      </c>
      <c r="X30" s="54" t="s">
        <v>409</v>
      </c>
      <c r="Y30" s="54" t="s">
        <v>705</v>
      </c>
      <c r="Z30" s="54" t="s">
        <v>1080</v>
      </c>
      <c r="AA30" s="15" t="s">
        <v>78</v>
      </c>
      <c r="AB30" s="54" t="s">
        <v>161</v>
      </c>
      <c r="AC30" s="54" t="s">
        <v>3289</v>
      </c>
      <c r="AD30" s="54" t="s">
        <v>3289</v>
      </c>
      <c r="AE30" s="54" t="s">
        <v>3778</v>
      </c>
      <c r="AF30" s="54" t="s">
        <v>41</v>
      </c>
      <c r="AG30" s="49" t="s">
        <v>246</v>
      </c>
      <c r="AH30" s="49" t="s">
        <v>246</v>
      </c>
      <c r="AI30" s="54" t="s">
        <v>78</v>
      </c>
      <c r="AJ30" s="54" t="s">
        <v>78</v>
      </c>
      <c r="AK30" s="54" t="s">
        <v>1196</v>
      </c>
      <c r="AL30" s="54" t="s">
        <v>4675</v>
      </c>
      <c r="AM30" s="54" t="s">
        <v>232</v>
      </c>
      <c r="AN30" s="54" t="s">
        <v>1196</v>
      </c>
      <c r="AO30" s="54" t="s">
        <v>232</v>
      </c>
      <c r="AP30" s="54" t="s">
        <v>79</v>
      </c>
      <c r="AQ30" s="54" t="s">
        <v>78</v>
      </c>
      <c r="AR30" s="25" t="s">
        <v>232</v>
      </c>
      <c r="AS30" s="54" t="s">
        <v>232</v>
      </c>
      <c r="AT30" s="49" t="s">
        <v>458</v>
      </c>
      <c r="AU30" s="49" t="s">
        <v>409</v>
      </c>
      <c r="AV30" s="54" t="s">
        <v>881</v>
      </c>
      <c r="AW30" s="54" t="s">
        <v>881</v>
      </c>
      <c r="AX30" s="54" t="s">
        <v>78</v>
      </c>
      <c r="AY30" s="54" t="s">
        <v>81</v>
      </c>
      <c r="AZ30" s="54" t="s">
        <v>2179</v>
      </c>
      <c r="BA30" s="54" t="s">
        <v>2177</v>
      </c>
      <c r="BB30" s="54" t="s">
        <v>232</v>
      </c>
      <c r="BC30" s="54" t="s">
        <v>3076</v>
      </c>
      <c r="BD30" s="54" t="s">
        <v>795</v>
      </c>
      <c r="BE30" s="54" t="s">
        <v>935</v>
      </c>
      <c r="BF30" s="54" t="s">
        <v>935</v>
      </c>
      <c r="BG30" s="54" t="s">
        <v>440</v>
      </c>
    </row>
    <row r="31" spans="1:59" s="55" customFormat="1" ht="11.25" customHeight="1">
      <c r="A31" s="95" t="s">
        <v>688</v>
      </c>
      <c r="B31" s="94"/>
      <c r="C31" s="94" t="s">
        <v>4438</v>
      </c>
      <c r="D31" s="94" t="s">
        <v>4439</v>
      </c>
      <c r="E31" s="94" t="s">
        <v>4524</v>
      </c>
      <c r="F31" s="94" t="s">
        <v>4524</v>
      </c>
      <c r="G31" s="93"/>
      <c r="H31" s="94" t="s">
        <v>2045</v>
      </c>
      <c r="I31" s="94"/>
      <c r="J31" s="94" t="s">
        <v>2045</v>
      </c>
      <c r="K31" s="94"/>
      <c r="L31" s="94" t="s">
        <v>1521</v>
      </c>
      <c r="M31" s="94" t="s">
        <v>1047</v>
      </c>
      <c r="N31" s="94"/>
      <c r="O31" s="94" t="s">
        <v>1418</v>
      </c>
      <c r="P31" s="94"/>
      <c r="Q31" s="94"/>
      <c r="R31" s="94" t="s">
        <v>2823</v>
      </c>
      <c r="S31" s="94"/>
      <c r="T31" s="94"/>
      <c r="U31" s="94"/>
      <c r="V31" s="94" t="s">
        <v>1867</v>
      </c>
      <c r="W31" s="94" t="s">
        <v>1852</v>
      </c>
      <c r="X31" s="94" t="s">
        <v>1808</v>
      </c>
      <c r="Y31" s="94" t="s">
        <v>706</v>
      </c>
      <c r="Z31" s="94" t="s">
        <v>1079</v>
      </c>
      <c r="AA31" s="93"/>
      <c r="AB31" s="94"/>
      <c r="AC31" s="94"/>
      <c r="AD31" s="94"/>
      <c r="AE31" s="94" t="s">
        <v>3779</v>
      </c>
      <c r="AF31" s="94"/>
      <c r="AG31" s="93"/>
      <c r="AH31" s="93"/>
      <c r="AI31" s="94"/>
      <c r="AJ31" s="94"/>
      <c r="AK31" s="94" t="s">
        <v>1195</v>
      </c>
      <c r="AL31" s="91" t="s">
        <v>4649</v>
      </c>
      <c r="AM31" s="94" t="s">
        <v>1255</v>
      </c>
      <c r="AN31" s="94" t="s">
        <v>1195</v>
      </c>
      <c r="AO31" s="94" t="s">
        <v>1255</v>
      </c>
      <c r="AP31" s="94"/>
      <c r="AQ31" s="93"/>
      <c r="AR31" s="94"/>
      <c r="AS31" s="94" t="s">
        <v>1736</v>
      </c>
      <c r="AT31" s="93"/>
      <c r="AU31" s="94"/>
      <c r="AV31" s="94" t="s">
        <v>882</v>
      </c>
      <c r="AW31" s="94" t="s">
        <v>882</v>
      </c>
      <c r="AX31" s="94"/>
      <c r="AY31" s="94"/>
      <c r="AZ31" s="94" t="s">
        <v>1368</v>
      </c>
      <c r="BA31" s="94" t="s">
        <v>1327</v>
      </c>
      <c r="BB31" s="93"/>
      <c r="BC31" s="94" t="s">
        <v>1255</v>
      </c>
      <c r="BD31" s="94"/>
      <c r="BE31" s="94" t="s">
        <v>936</v>
      </c>
      <c r="BF31" s="94" t="s">
        <v>936</v>
      </c>
      <c r="BG31" s="94"/>
    </row>
    <row r="32" spans="1:59" s="55" customFormat="1" ht="22.5" customHeight="1">
      <c r="A32" s="53" t="s">
        <v>32</v>
      </c>
      <c r="B32" s="54" t="s">
        <v>39</v>
      </c>
      <c r="C32" s="54" t="s">
        <v>4436</v>
      </c>
      <c r="D32" s="54" t="s">
        <v>4437</v>
      </c>
      <c r="E32" s="54" t="s">
        <v>41</v>
      </c>
      <c r="F32" s="54" t="s">
        <v>41</v>
      </c>
      <c r="G32" s="49" t="s">
        <v>41</v>
      </c>
      <c r="H32" s="54" t="s">
        <v>326</v>
      </c>
      <c r="I32" s="54" t="s">
        <v>326</v>
      </c>
      <c r="J32" s="54" t="s">
        <v>2652</v>
      </c>
      <c r="K32" s="54" t="s">
        <v>41</v>
      </c>
      <c r="L32" s="54" t="s">
        <v>1551</v>
      </c>
      <c r="M32" s="54" t="s">
        <v>1056</v>
      </c>
      <c r="N32" s="54" t="s">
        <v>41</v>
      </c>
      <c r="O32" s="54" t="s">
        <v>41</v>
      </c>
      <c r="P32" s="54" t="s">
        <v>41</v>
      </c>
      <c r="Q32" s="54" t="s">
        <v>664</v>
      </c>
      <c r="R32" s="54" t="s">
        <v>664</v>
      </c>
      <c r="S32" s="54" t="s">
        <v>39</v>
      </c>
      <c r="T32" s="54" t="s">
        <v>41</v>
      </c>
      <c r="U32" s="54" t="s">
        <v>637</v>
      </c>
      <c r="V32" s="54" t="s">
        <v>39</v>
      </c>
      <c r="W32" s="54" t="s">
        <v>39</v>
      </c>
      <c r="X32" s="54" t="s">
        <v>41</v>
      </c>
      <c r="Y32" s="54" t="s">
        <v>41</v>
      </c>
      <c r="Z32" s="54" t="s">
        <v>41</v>
      </c>
      <c r="AA32" s="17" t="s">
        <v>41</v>
      </c>
      <c r="AB32" s="54" t="s">
        <v>41</v>
      </c>
      <c r="AC32" s="54" t="s">
        <v>309</v>
      </c>
      <c r="AD32" s="54" t="s">
        <v>309</v>
      </c>
      <c r="AE32" s="54" t="s">
        <v>326</v>
      </c>
      <c r="AF32" s="54" t="s">
        <v>326</v>
      </c>
      <c r="AG32" s="49" t="s">
        <v>41</v>
      </c>
      <c r="AH32" s="54" t="s">
        <v>41</v>
      </c>
      <c r="AI32" s="54" t="s">
        <v>41</v>
      </c>
      <c r="AJ32" s="54" t="s">
        <v>41</v>
      </c>
      <c r="AK32" s="54" t="s">
        <v>41</v>
      </c>
      <c r="AL32" s="54" t="s">
        <v>4424</v>
      </c>
      <c r="AM32" s="54" t="s">
        <v>39</v>
      </c>
      <c r="AN32" s="54" t="s">
        <v>41</v>
      </c>
      <c r="AO32" s="54" t="s">
        <v>39</v>
      </c>
      <c r="AP32" s="54" t="s">
        <v>94</v>
      </c>
      <c r="AQ32" s="54" t="s">
        <v>41</v>
      </c>
      <c r="AR32" s="54" t="s">
        <v>39</v>
      </c>
      <c r="AS32" s="54" t="s">
        <v>39</v>
      </c>
      <c r="AT32" s="65" t="s">
        <v>39</v>
      </c>
      <c r="AU32" s="54" t="s">
        <v>41</v>
      </c>
      <c r="AV32" s="54" t="s">
        <v>41</v>
      </c>
      <c r="AW32" s="54" t="s">
        <v>41</v>
      </c>
      <c r="AX32" s="54" t="s">
        <v>326</v>
      </c>
      <c r="AY32" s="54" t="s">
        <v>326</v>
      </c>
      <c r="AZ32" s="54" t="s">
        <v>326</v>
      </c>
      <c r="BA32" s="54" t="s">
        <v>326</v>
      </c>
      <c r="BB32" s="54" t="s">
        <v>41</v>
      </c>
      <c r="BC32" s="54" t="s">
        <v>39</v>
      </c>
      <c r="BD32" s="54" t="s">
        <v>326</v>
      </c>
      <c r="BE32" s="54" t="s">
        <v>94</v>
      </c>
      <c r="BF32" s="54" t="s">
        <v>41</v>
      </c>
      <c r="BG32" s="54" t="s">
        <v>41</v>
      </c>
    </row>
    <row r="33" spans="1:59" s="55" customFormat="1" ht="11.25" customHeight="1">
      <c r="A33" s="95" t="s">
        <v>688</v>
      </c>
      <c r="B33" s="94"/>
      <c r="C33" s="94" t="s">
        <v>4435</v>
      </c>
      <c r="D33" s="94" t="s">
        <v>4427</v>
      </c>
      <c r="E33" s="94" t="s">
        <v>4525</v>
      </c>
      <c r="F33" s="94" t="s">
        <v>4525</v>
      </c>
      <c r="G33" s="93"/>
      <c r="H33" s="94" t="s">
        <v>2050</v>
      </c>
      <c r="I33" s="94"/>
      <c r="J33" s="94" t="s">
        <v>2050</v>
      </c>
      <c r="K33" s="94"/>
      <c r="L33" s="94" t="s">
        <v>1550</v>
      </c>
      <c r="M33" s="94" t="s">
        <v>1057</v>
      </c>
      <c r="N33" s="94"/>
      <c r="O33" s="94" t="s">
        <v>1403</v>
      </c>
      <c r="P33" s="94"/>
      <c r="Q33" s="94"/>
      <c r="R33" s="94" t="s">
        <v>2815</v>
      </c>
      <c r="S33" s="94"/>
      <c r="T33" s="94"/>
      <c r="U33" s="94"/>
      <c r="V33" s="94" t="s">
        <v>1794</v>
      </c>
      <c r="W33" s="94" t="s">
        <v>1804</v>
      </c>
      <c r="X33" s="94" t="s">
        <v>1791</v>
      </c>
      <c r="Y33" s="94" t="s">
        <v>707</v>
      </c>
      <c r="Z33" s="94" t="s">
        <v>1067</v>
      </c>
      <c r="AA33" s="93"/>
      <c r="AB33" s="94"/>
      <c r="AC33" s="94"/>
      <c r="AD33" s="94"/>
      <c r="AE33" s="94" t="s">
        <v>1185</v>
      </c>
      <c r="AF33" s="94"/>
      <c r="AG33" s="93"/>
      <c r="AH33" s="93"/>
      <c r="AI33" s="94"/>
      <c r="AJ33" s="94"/>
      <c r="AK33" s="94" t="s">
        <v>1190</v>
      </c>
      <c r="AL33" s="91" t="s">
        <v>4650</v>
      </c>
      <c r="AM33" s="94" t="s">
        <v>1212</v>
      </c>
      <c r="AN33" s="94" t="s">
        <v>1190</v>
      </c>
      <c r="AO33" s="94" t="s">
        <v>1212</v>
      </c>
      <c r="AP33" s="94"/>
      <c r="AQ33" s="93"/>
      <c r="AR33" s="94"/>
      <c r="AS33" s="94" t="s">
        <v>1737</v>
      </c>
      <c r="AT33" s="93"/>
      <c r="AU33" s="94"/>
      <c r="AV33" s="94" t="s">
        <v>860</v>
      </c>
      <c r="AW33" s="94" t="s">
        <v>860</v>
      </c>
      <c r="AX33" s="94"/>
      <c r="AY33" s="94"/>
      <c r="AZ33" s="94" t="s">
        <v>1295</v>
      </c>
      <c r="BA33" s="94" t="s">
        <v>1295</v>
      </c>
      <c r="BB33" s="93"/>
      <c r="BC33" s="94" t="s">
        <v>1212</v>
      </c>
      <c r="BD33" s="94"/>
      <c r="BE33" s="94" t="s">
        <v>944</v>
      </c>
      <c r="BF33" s="94" t="s">
        <v>910</v>
      </c>
      <c r="BG33" s="94"/>
    </row>
    <row r="34" spans="1:59" s="55" customFormat="1" ht="15" customHeight="1">
      <c r="A34" s="56"/>
      <c r="B34" s="56"/>
      <c r="C34" s="56"/>
      <c r="D34" s="56"/>
      <c r="H34" s="3"/>
      <c r="I34" s="3"/>
      <c r="J34" s="3"/>
      <c r="M34" s="56"/>
      <c r="N34" s="3"/>
      <c r="O34" s="3"/>
      <c r="Q34" s="3"/>
      <c r="R34" s="3"/>
      <c r="S34" s="3"/>
      <c r="T34" s="120"/>
      <c r="V34" s="56"/>
      <c r="W34" s="56"/>
      <c r="X34" s="56"/>
      <c r="Y34" s="56"/>
      <c r="Z34" s="56"/>
      <c r="AA34" s="4"/>
      <c r="AB34" s="121"/>
      <c r="AC34" s="4"/>
      <c r="AD34" s="121"/>
      <c r="AE34" s="4"/>
      <c r="AF34" s="4"/>
      <c r="AG34" s="4"/>
      <c r="AH34" s="4"/>
      <c r="AI34" s="4"/>
      <c r="AJ34" s="4"/>
      <c r="AK34" s="4"/>
      <c r="AL34" s="146"/>
      <c r="AM34" s="4"/>
      <c r="AN34" s="4"/>
      <c r="AO34" s="4"/>
      <c r="AP34" s="4"/>
      <c r="AQ34" s="4"/>
      <c r="AX34" s="4"/>
      <c r="AY34" s="4"/>
      <c r="AZ34" s="4"/>
      <c r="BA34" s="4"/>
      <c r="BB34" s="4"/>
      <c r="BC34" s="4"/>
      <c r="BD34" s="121"/>
      <c r="BE34" s="4"/>
      <c r="BF34" s="4"/>
    </row>
    <row r="35" spans="1:59" s="55" customFormat="1" ht="22.5" customHeight="1">
      <c r="A35" s="50" t="s">
        <v>69</v>
      </c>
      <c r="B35" s="57" t="str">
        <f>B1</f>
        <v>Allianz Unfall Aktiv</v>
      </c>
      <c r="C35" s="51" t="s">
        <v>4413</v>
      </c>
      <c r="D35" s="51" t="s">
        <v>4414</v>
      </c>
      <c r="E35" s="57" t="str">
        <f>E1</f>
        <v>Ammerländer Comfort</v>
      </c>
      <c r="F35" s="57" t="str">
        <f>F1</f>
        <v>Ammerländer Exclusiv</v>
      </c>
      <c r="G35" s="57" t="str">
        <f t="shared" ref="G35:BD35" si="0">G1</f>
        <v>AXA ohne Beitragsrückgew.
(Stand 04-2010)</v>
      </c>
      <c r="H35" s="6" t="str">
        <f>H1</f>
        <v>Baden Badener Top 2008
(Stand 11-2007)</v>
      </c>
      <c r="I35" s="6" t="str">
        <f>I1</f>
        <v>Baden Badener Top 2011
(Stand 03-2012)</v>
      </c>
      <c r="J35" s="6" t="str">
        <f>J1</f>
        <v>Baden Badener Top 2012
(Stand 03-2013)</v>
      </c>
      <c r="K35" s="57" t="str">
        <f t="shared" si="0"/>
        <v>Basler Ambiente Top
(Stand 01-2009)</v>
      </c>
      <c r="L35" s="6" t="str">
        <f t="shared" si="0"/>
        <v>Basler Ambiente Top
(Stand 04-2011)</v>
      </c>
      <c r="M35" s="57" t="str">
        <f>M1</f>
        <v>Chubb (Gruppenunfall)</v>
      </c>
      <c r="N35" s="6" t="str">
        <f t="shared" si="0"/>
        <v>Condor Comfort
(Stand 01-2009)</v>
      </c>
      <c r="O35" s="6" t="str">
        <f t="shared" si="0"/>
        <v>Debeka
(Stand 01-2008)</v>
      </c>
      <c r="P35" s="6" t="str">
        <f>P1</f>
        <v>Dt. Ring up-unfallprotect max (Stand 10-2010)</v>
      </c>
      <c r="Q35" s="6" t="str">
        <f t="shared" si="0"/>
        <v>DEVK Komplett
(Stand 05-2011)</v>
      </c>
      <c r="R35" s="6" t="str">
        <f t="shared" si="0"/>
        <v>DEVK Komplett
(Stand 12-2012)</v>
      </c>
      <c r="S35" s="6" t="str">
        <f t="shared" si="0"/>
        <v>ERGO Unfall life
(Stand 04-2010)</v>
      </c>
      <c r="T35" s="6" t="str">
        <f t="shared" si="0"/>
        <v>Generali Komfort Plus
(Stand 10-2012)</v>
      </c>
      <c r="U35" s="6" t="str">
        <f t="shared" si="0"/>
        <v>Gothaer Unfall Top 2010 Plus (01-2013)</v>
      </c>
      <c r="V35" s="57" t="str">
        <f>V1</f>
        <v>Grundeigentümer (Regulär)
Pro Domo Basis (10-2009)</v>
      </c>
      <c r="W35" s="57" t="str">
        <f>W1</f>
        <v>Grundeigentümer (Regulär)
Pro Domo Komfort (10-2009)</v>
      </c>
      <c r="X35" s="57" t="str">
        <f>X1</f>
        <v>Grundeigentümer (Regulär)
Pro Domo Premium (02-2010)</v>
      </c>
      <c r="Y35" s="57" t="str">
        <f>Y1</f>
        <v>HKD Vollschutz
(Stand 01-2012)</v>
      </c>
      <c r="Z35" s="57" t="str">
        <f>Z1</f>
        <v>Interlloyd Eurosecure 2005</v>
      </c>
      <c r="AA35" s="6" t="str">
        <f t="shared" si="0"/>
        <v>Interlloyd Protect
(Stand 2007)</v>
      </c>
      <c r="AB35" s="6" t="str">
        <f t="shared" si="0"/>
        <v>Interlloyd Premium
(Stand 01-2010)</v>
      </c>
      <c r="AC35" s="6" t="str">
        <f t="shared" si="0"/>
        <v>Interrisk XL (Plus-Taxe)
(Stand 07-2011)</v>
      </c>
      <c r="AD35" s="6" t="str">
        <f t="shared" si="0"/>
        <v>Interrisk XXL (Maxi-Taxe)
(Stand 07-2011)</v>
      </c>
      <c r="AE35" s="6" t="str">
        <f>AE1</f>
        <v>Janitos MLP Classic 2007
(Stand 01-2008)</v>
      </c>
      <c r="AF35" s="6" t="str">
        <f t="shared" si="0"/>
        <v>Janitos Balance
(Stand 04-2011)</v>
      </c>
      <c r="AG35" s="6" t="str">
        <f t="shared" si="0"/>
        <v>KRAVAG afm Familien-UV
(Stand 07-2008)</v>
      </c>
      <c r="AH35" s="6" t="str">
        <f t="shared" si="0"/>
        <v>KRAVAG afm Gruppen-UV
(Stand 07-2008)</v>
      </c>
      <c r="AI35" s="5" t="str">
        <f t="shared" si="0"/>
        <v>nationale suisse Basis-Plus
(Stand 01-2008)</v>
      </c>
      <c r="AJ35" s="5" t="str">
        <f t="shared" si="0"/>
        <v>nationale suisse Ideal
(Stand 01-2008)</v>
      </c>
      <c r="AK35" s="57" t="str">
        <f t="shared" si="0"/>
        <v>Prokundo ExklusivPaket
(Stand 01-2012)</v>
      </c>
      <c r="AL35" s="57" t="str">
        <f>AL1</f>
        <v>Prokundo Gleichgewicht</v>
      </c>
      <c r="AM35" s="57" t="str">
        <f t="shared" si="0"/>
        <v>Prokundo Komfort
(Stand 01-2012)</v>
      </c>
      <c r="AN35" s="57" t="str">
        <f>AN1</f>
        <v>Prokundo ExklusivPaket
(Stand 08-2012)</v>
      </c>
      <c r="AO35" s="57" t="str">
        <f>AO1</f>
        <v>Prokundo Komfort
(Stand 08-2012)</v>
      </c>
      <c r="AP35" s="6" t="str">
        <f t="shared" si="0"/>
        <v>Provinzial Top
(Stand 04-2009)</v>
      </c>
      <c r="AQ35" s="6" t="str">
        <f t="shared" si="0"/>
        <v>Rhion Plus
(Stand 04-2011)</v>
      </c>
      <c r="AR35" s="57" t="str">
        <f>AR1</f>
        <v>R+V Exklusiv
(Stand 07-2010)</v>
      </c>
      <c r="AS35" s="57" t="str">
        <f>AS1</f>
        <v>R+V PrivatPolice (classic)
(Stand 07-2012)</v>
      </c>
      <c r="AT35" s="6" t="str">
        <f t="shared" si="0"/>
        <v>Signal Iduna Basis
(Stand 05-2001)</v>
      </c>
      <c r="AU35" s="57" t="str">
        <f t="shared" si="0"/>
        <v>Signal Iduna Exklusiv
(Stand 11-2009)</v>
      </c>
      <c r="AV35" s="57" t="str">
        <f t="shared" si="0"/>
        <v>Signal Iduna Exklusiv
(Stand 10-2011)</v>
      </c>
      <c r="AW35" s="57" t="str">
        <f t="shared" si="0"/>
        <v>Signal Iduna Exklusiv (ÖD)
z.B. PVAG, VÖDAG
(Stand 10-2011)</v>
      </c>
      <c r="AX35" s="57" t="str">
        <f t="shared" si="0"/>
        <v>SLP Primus
(Stand 07-2010)</v>
      </c>
      <c r="AY35" s="57" t="str">
        <f t="shared" si="0"/>
        <v>SLP Primus Plus
(Stand 07-2010)</v>
      </c>
      <c r="AZ35" s="57" t="str">
        <f t="shared" si="0"/>
        <v>SLP Primus
(Stand 04-2012)</v>
      </c>
      <c r="BA35" s="57" t="str">
        <f t="shared" si="0"/>
        <v>SLP Primus Plus
(Stand 04-2012)</v>
      </c>
      <c r="BB35" s="6" t="str">
        <f t="shared" si="0"/>
        <v>Stuttgarter
(Stand 07-2010)</v>
      </c>
      <c r="BC35" s="6" t="str">
        <f t="shared" si="0"/>
        <v>VGH AUB 2008
(Stand 11-2010)</v>
      </c>
      <c r="BD35" s="6" t="str">
        <f t="shared" si="0"/>
        <v>VHV Exklusiv
(Stand 04-2011)</v>
      </c>
      <c r="BE35" s="57" t="str">
        <f>BE1</f>
        <v>Württembergische
(Stand 11-2009)</v>
      </c>
      <c r="BF35" s="57" t="str">
        <f>BF1</f>
        <v>Württembergische Top
(Stand 11-2009)</v>
      </c>
      <c r="BG35" s="57" t="str">
        <f>BG1</f>
        <v>Zurich Makler Top-Schutz
(Stand 04-2011)</v>
      </c>
    </row>
    <row r="36" spans="1:59" s="55" customFormat="1" ht="22.5" customHeight="1">
      <c r="A36" s="53" t="s">
        <v>26</v>
      </c>
      <c r="B36" s="54" t="s">
        <v>65</v>
      </c>
      <c r="C36" s="54" t="s">
        <v>4440</v>
      </c>
      <c r="D36" s="54" t="s">
        <v>4441</v>
      </c>
      <c r="E36" s="54" t="s">
        <v>4526</v>
      </c>
      <c r="F36" s="54" t="s">
        <v>4527</v>
      </c>
      <c r="G36" s="49" t="s">
        <v>64</v>
      </c>
      <c r="H36" s="54" t="s">
        <v>138</v>
      </c>
      <c r="I36" s="54" t="s">
        <v>138</v>
      </c>
      <c r="J36" s="54" t="s">
        <v>136</v>
      </c>
      <c r="K36" s="54" t="s">
        <v>300</v>
      </c>
      <c r="L36" s="54" t="s">
        <v>65</v>
      </c>
      <c r="M36" s="54" t="s">
        <v>190</v>
      </c>
      <c r="N36" s="54" t="s">
        <v>485</v>
      </c>
      <c r="O36" s="54" t="s">
        <v>65</v>
      </c>
      <c r="P36" s="54" t="s">
        <v>138</v>
      </c>
      <c r="Q36" s="54" t="s">
        <v>61</v>
      </c>
      <c r="R36" s="54" t="s">
        <v>65</v>
      </c>
      <c r="S36" s="54" t="s">
        <v>511</v>
      </c>
      <c r="T36" s="54" t="s">
        <v>64</v>
      </c>
      <c r="U36" s="54" t="s">
        <v>190</v>
      </c>
      <c r="V36" s="79" t="s">
        <v>61</v>
      </c>
      <c r="W36" s="79" t="s">
        <v>65</v>
      </c>
      <c r="X36" s="79" t="s">
        <v>42</v>
      </c>
      <c r="Y36" s="54" t="s">
        <v>136</v>
      </c>
      <c r="Z36" s="54" t="s">
        <v>1108</v>
      </c>
      <c r="AA36" s="15" t="s">
        <v>25</v>
      </c>
      <c r="AB36" s="54" t="s">
        <v>175</v>
      </c>
      <c r="AC36" s="79" t="s">
        <v>64</v>
      </c>
      <c r="AD36" s="77" t="s">
        <v>41</v>
      </c>
      <c r="AE36" s="54" t="s">
        <v>65</v>
      </c>
      <c r="AF36" s="54" t="s">
        <v>65</v>
      </c>
      <c r="AG36" s="49" t="s">
        <v>42</v>
      </c>
      <c r="AH36" s="54" t="s">
        <v>64</v>
      </c>
      <c r="AI36" s="77" t="s">
        <v>61</v>
      </c>
      <c r="AJ36" s="77" t="s">
        <v>65</v>
      </c>
      <c r="AK36" s="54" t="s">
        <v>136</v>
      </c>
      <c r="AL36" s="54" t="s">
        <v>4652</v>
      </c>
      <c r="AM36" s="54" t="s">
        <v>136</v>
      </c>
      <c r="AN36" s="54" t="s">
        <v>41</v>
      </c>
      <c r="AO36" s="54" t="s">
        <v>41</v>
      </c>
      <c r="AP36" s="54" t="s">
        <v>65</v>
      </c>
      <c r="AQ36" s="49" t="s">
        <v>594</v>
      </c>
      <c r="AR36" s="49" t="s">
        <v>42</v>
      </c>
      <c r="AS36" s="54" t="s">
        <v>65</v>
      </c>
      <c r="AT36" s="49" t="s">
        <v>61</v>
      </c>
      <c r="AU36" s="49" t="s">
        <v>65</v>
      </c>
      <c r="AV36" s="54" t="s">
        <v>843</v>
      </c>
      <c r="AW36" s="54" t="s">
        <v>843</v>
      </c>
      <c r="AX36" s="73" t="s">
        <v>65</v>
      </c>
      <c r="AY36" s="73" t="s">
        <v>210</v>
      </c>
      <c r="AZ36" s="73" t="s">
        <v>65</v>
      </c>
      <c r="BA36" s="73" t="s">
        <v>210</v>
      </c>
      <c r="BB36" s="79" t="s">
        <v>136</v>
      </c>
      <c r="BC36" s="79" t="s">
        <v>65</v>
      </c>
      <c r="BD36" s="77" t="s">
        <v>196</v>
      </c>
      <c r="BE36" s="54" t="s">
        <v>970</v>
      </c>
      <c r="BF36" s="54" t="s">
        <v>970</v>
      </c>
      <c r="BG36" s="54" t="s">
        <v>426</v>
      </c>
    </row>
    <row r="37" spans="1:59" s="55" customFormat="1" ht="11.25" customHeight="1">
      <c r="A37" s="95" t="s">
        <v>688</v>
      </c>
      <c r="B37" s="94"/>
      <c r="C37" s="94" t="s">
        <v>4435</v>
      </c>
      <c r="D37" s="94" t="s">
        <v>4427</v>
      </c>
      <c r="E37" s="94" t="s">
        <v>4528</v>
      </c>
      <c r="F37" s="94" t="s">
        <v>4529</v>
      </c>
      <c r="G37" s="91"/>
      <c r="H37" s="94" t="s">
        <v>2039</v>
      </c>
      <c r="I37" s="94"/>
      <c r="J37" s="94" t="s">
        <v>2661</v>
      </c>
      <c r="K37" s="94"/>
      <c r="L37" s="94" t="s">
        <v>1538</v>
      </c>
      <c r="M37" s="94" t="s">
        <v>1028</v>
      </c>
      <c r="N37" s="94"/>
      <c r="O37" s="94" t="s">
        <v>1413</v>
      </c>
      <c r="P37" s="94"/>
      <c r="Q37" s="94"/>
      <c r="R37" s="94" t="s">
        <v>2793</v>
      </c>
      <c r="S37" s="94"/>
      <c r="T37" s="94"/>
      <c r="U37" s="94"/>
      <c r="V37" s="94" t="s">
        <v>1862</v>
      </c>
      <c r="W37" s="94" t="s">
        <v>1837</v>
      </c>
      <c r="X37" s="94" t="s">
        <v>1801</v>
      </c>
      <c r="Y37" s="94" t="s">
        <v>708</v>
      </c>
      <c r="Z37" s="94" t="s">
        <v>1107</v>
      </c>
      <c r="AA37" s="91"/>
      <c r="AB37" s="94"/>
      <c r="AC37" s="94"/>
      <c r="AD37" s="94"/>
      <c r="AE37" s="94" t="s">
        <v>3766</v>
      </c>
      <c r="AF37" s="94"/>
      <c r="AG37" s="91"/>
      <c r="AH37" s="91"/>
      <c r="AI37" s="94"/>
      <c r="AJ37" s="94"/>
      <c r="AK37" s="94" t="s">
        <v>1254</v>
      </c>
      <c r="AL37" s="91" t="s">
        <v>4651</v>
      </c>
      <c r="AM37" s="94" t="s">
        <v>1254</v>
      </c>
      <c r="AN37" s="94" t="s">
        <v>1254</v>
      </c>
      <c r="AO37" s="94" t="s">
        <v>1254</v>
      </c>
      <c r="AP37" s="94"/>
      <c r="AQ37" s="91"/>
      <c r="AR37" s="94"/>
      <c r="AS37" s="94" t="s">
        <v>1727</v>
      </c>
      <c r="AT37" s="91"/>
      <c r="AU37" s="94"/>
      <c r="AV37" s="94" t="s">
        <v>844</v>
      </c>
      <c r="AW37" s="94" t="s">
        <v>844</v>
      </c>
      <c r="AX37" s="94"/>
      <c r="AY37" s="94"/>
      <c r="AZ37" s="94" t="s">
        <v>1347</v>
      </c>
      <c r="BA37" s="94" t="s">
        <v>1347</v>
      </c>
      <c r="BB37" s="91"/>
      <c r="BC37" s="94" t="s">
        <v>3072</v>
      </c>
      <c r="BD37" s="94"/>
      <c r="BE37" s="94" t="s">
        <v>972</v>
      </c>
      <c r="BF37" s="94" t="s">
        <v>972</v>
      </c>
      <c r="BG37" s="94"/>
    </row>
    <row r="38" spans="1:59" s="55" customFormat="1" ht="22.5" customHeight="1">
      <c r="A38" s="53" t="s">
        <v>2663</v>
      </c>
      <c r="B38" s="69" t="s">
        <v>39</v>
      </c>
      <c r="C38" s="54" t="s">
        <v>4442</v>
      </c>
      <c r="D38" s="54" t="s">
        <v>388</v>
      </c>
      <c r="E38" s="54" t="s">
        <v>267</v>
      </c>
      <c r="F38" s="54" t="s">
        <v>267</v>
      </c>
      <c r="G38" s="49" t="s">
        <v>352</v>
      </c>
      <c r="H38" s="54" t="s">
        <v>2064</v>
      </c>
      <c r="I38" s="54" t="s">
        <v>2064</v>
      </c>
      <c r="J38" s="54" t="s">
        <v>39</v>
      </c>
      <c r="K38" s="54" t="s">
        <v>65</v>
      </c>
      <c r="L38" s="54" t="s">
        <v>388</v>
      </c>
      <c r="M38" s="54" t="s">
        <v>388</v>
      </c>
      <c r="N38" s="54" t="s">
        <v>485</v>
      </c>
      <c r="O38" s="54" t="s">
        <v>388</v>
      </c>
      <c r="P38" s="54" t="s">
        <v>267</v>
      </c>
      <c r="Q38" s="54" t="s">
        <v>388</v>
      </c>
      <c r="R38" s="54" t="s">
        <v>39</v>
      </c>
      <c r="S38" s="54" t="s">
        <v>388</v>
      </c>
      <c r="T38" s="54" t="s">
        <v>39</v>
      </c>
      <c r="U38" s="54" t="s">
        <v>267</v>
      </c>
      <c r="V38" s="79" t="s">
        <v>388</v>
      </c>
      <c r="W38" s="79" t="s">
        <v>1838</v>
      </c>
      <c r="X38" s="79" t="s">
        <v>1800</v>
      </c>
      <c r="Y38" s="49" t="s">
        <v>388</v>
      </c>
      <c r="Z38" s="49" t="s">
        <v>388</v>
      </c>
      <c r="AA38" s="15" t="s">
        <v>61</v>
      </c>
      <c r="AB38" s="54" t="s">
        <v>1768</v>
      </c>
      <c r="AC38" s="79" t="s">
        <v>3324</v>
      </c>
      <c r="AD38" s="79" t="s">
        <v>3324</v>
      </c>
      <c r="AE38" s="54" t="s">
        <v>388</v>
      </c>
      <c r="AF38" s="54" t="s">
        <v>388</v>
      </c>
      <c r="AG38" s="49" t="s">
        <v>64</v>
      </c>
      <c r="AH38" s="54" t="s">
        <v>136</v>
      </c>
      <c r="AI38" s="77" t="s">
        <v>388</v>
      </c>
      <c r="AJ38" s="77" t="s">
        <v>388</v>
      </c>
      <c r="AK38" s="54" t="s">
        <v>39</v>
      </c>
      <c r="AL38" s="54" t="s">
        <v>4673</v>
      </c>
      <c r="AM38" s="54" t="s">
        <v>39</v>
      </c>
      <c r="AN38" s="54" t="s">
        <v>39</v>
      </c>
      <c r="AO38" s="54" t="s">
        <v>39</v>
      </c>
      <c r="AP38" s="54" t="s">
        <v>388</v>
      </c>
      <c r="AQ38" s="73" t="s">
        <v>388</v>
      </c>
      <c r="AR38" s="49" t="s">
        <v>388</v>
      </c>
      <c r="AS38" s="54" t="s">
        <v>1728</v>
      </c>
      <c r="AT38" s="54" t="s">
        <v>39</v>
      </c>
      <c r="AU38" s="49" t="s">
        <v>102</v>
      </c>
      <c r="AV38" s="54" t="s">
        <v>102</v>
      </c>
      <c r="AW38" s="54" t="s">
        <v>102</v>
      </c>
      <c r="AX38" s="73" t="s">
        <v>388</v>
      </c>
      <c r="AY38" s="73" t="s">
        <v>388</v>
      </c>
      <c r="AZ38" s="73" t="s">
        <v>388</v>
      </c>
      <c r="BA38" s="73" t="s">
        <v>388</v>
      </c>
      <c r="BB38" s="78" t="s">
        <v>39</v>
      </c>
      <c r="BC38" s="77" t="s">
        <v>388</v>
      </c>
      <c r="BD38" s="77" t="s">
        <v>388</v>
      </c>
      <c r="BE38" s="54" t="s">
        <v>388</v>
      </c>
      <c r="BF38" s="54" t="s">
        <v>388</v>
      </c>
      <c r="BG38" s="54" t="s">
        <v>445</v>
      </c>
    </row>
    <row r="39" spans="1:59" s="55" customFormat="1" ht="11.25" customHeight="1">
      <c r="A39" s="95" t="s">
        <v>688</v>
      </c>
      <c r="B39" s="94"/>
      <c r="C39" s="94" t="s">
        <v>4435</v>
      </c>
      <c r="D39" s="94" t="s">
        <v>4427</v>
      </c>
      <c r="E39" s="94" t="s">
        <v>4528</v>
      </c>
      <c r="F39" s="94" t="s">
        <v>4529</v>
      </c>
      <c r="G39" s="91"/>
      <c r="H39" s="94" t="s">
        <v>2063</v>
      </c>
      <c r="I39" s="94"/>
      <c r="J39" s="94" t="s">
        <v>39</v>
      </c>
      <c r="K39" s="94"/>
      <c r="L39" s="94" t="s">
        <v>1539</v>
      </c>
      <c r="M39" s="94" t="s">
        <v>1029</v>
      </c>
      <c r="N39" s="94"/>
      <c r="O39" s="94" t="s">
        <v>1412</v>
      </c>
      <c r="P39" s="94"/>
      <c r="Q39" s="94"/>
      <c r="R39" s="94" t="s">
        <v>39</v>
      </c>
      <c r="S39" s="94"/>
      <c r="T39" s="94"/>
      <c r="U39" s="94"/>
      <c r="V39" s="94" t="s">
        <v>1863</v>
      </c>
      <c r="W39" s="94" t="s">
        <v>1839</v>
      </c>
      <c r="X39" s="94" t="s">
        <v>1840</v>
      </c>
      <c r="Y39" s="94" t="s">
        <v>709</v>
      </c>
      <c r="Z39" s="94" t="s">
        <v>1109</v>
      </c>
      <c r="AA39" s="91"/>
      <c r="AB39" s="94"/>
      <c r="AC39" s="94"/>
      <c r="AD39" s="94"/>
      <c r="AE39" s="94" t="s">
        <v>3767</v>
      </c>
      <c r="AF39" s="94"/>
      <c r="AG39" s="91"/>
      <c r="AH39" s="91"/>
      <c r="AI39" s="94"/>
      <c r="AJ39" s="94"/>
      <c r="AK39" s="94" t="s">
        <v>39</v>
      </c>
      <c r="AL39" s="91"/>
      <c r="AM39" s="94" t="s">
        <v>39</v>
      </c>
      <c r="AN39" s="94" t="s">
        <v>39</v>
      </c>
      <c r="AO39" s="94" t="s">
        <v>39</v>
      </c>
      <c r="AP39" s="94"/>
      <c r="AQ39" s="91"/>
      <c r="AR39" s="94"/>
      <c r="AS39" s="94" t="s">
        <v>1727</v>
      </c>
      <c r="AT39" s="91"/>
      <c r="AU39" s="94"/>
      <c r="AV39" s="94" t="s">
        <v>845</v>
      </c>
      <c r="AW39" s="94" t="s">
        <v>845</v>
      </c>
      <c r="AX39" s="94"/>
      <c r="AY39" s="94"/>
      <c r="AZ39" s="94" t="s">
        <v>1266</v>
      </c>
      <c r="BA39" s="94" t="s">
        <v>1266</v>
      </c>
      <c r="BB39" s="91"/>
      <c r="BC39" s="94" t="s">
        <v>3072</v>
      </c>
      <c r="BD39" s="94"/>
      <c r="BE39" s="94" t="s">
        <v>927</v>
      </c>
      <c r="BF39" s="94" t="s">
        <v>927</v>
      </c>
      <c r="BG39" s="94"/>
    </row>
    <row r="40" spans="1:59" s="55" customFormat="1" ht="22.5" customHeight="1">
      <c r="A40" s="53" t="s">
        <v>124</v>
      </c>
      <c r="B40" s="54" t="s">
        <v>39</v>
      </c>
      <c r="C40" s="54" t="s">
        <v>39</v>
      </c>
      <c r="D40" s="54" t="s">
        <v>388</v>
      </c>
      <c r="E40" s="54" t="s">
        <v>267</v>
      </c>
      <c r="F40" s="54" t="s">
        <v>267</v>
      </c>
      <c r="G40" s="69" t="s">
        <v>39</v>
      </c>
      <c r="H40" s="54" t="s">
        <v>136</v>
      </c>
      <c r="I40" s="54" t="s">
        <v>136</v>
      </c>
      <c r="J40" s="54" t="s">
        <v>136</v>
      </c>
      <c r="K40" s="54" t="s">
        <v>65</v>
      </c>
      <c r="L40" s="54" t="s">
        <v>65</v>
      </c>
      <c r="M40" s="54" t="s">
        <v>39</v>
      </c>
      <c r="N40" s="54" t="s">
        <v>39</v>
      </c>
      <c r="O40" s="54" t="s">
        <v>39</v>
      </c>
      <c r="P40" s="54" t="s">
        <v>41</v>
      </c>
      <c r="Q40" s="54" t="s">
        <v>662</v>
      </c>
      <c r="R40" s="54" t="s">
        <v>39</v>
      </c>
      <c r="S40" s="54" t="s">
        <v>39</v>
      </c>
      <c r="T40" s="54" t="s">
        <v>1756</v>
      </c>
      <c r="U40" s="54" t="s">
        <v>103</v>
      </c>
      <c r="V40" s="54" t="s">
        <v>39</v>
      </c>
      <c r="W40" s="54" t="s">
        <v>39</v>
      </c>
      <c r="X40" s="54" t="s">
        <v>39</v>
      </c>
      <c r="Y40" s="54" t="s">
        <v>388</v>
      </c>
      <c r="Z40" s="54" t="s">
        <v>39</v>
      </c>
      <c r="AA40" s="15" t="s">
        <v>39</v>
      </c>
      <c r="AB40" s="54" t="s">
        <v>1768</v>
      </c>
      <c r="AC40" s="54" t="s">
        <v>64</v>
      </c>
      <c r="AD40" s="54" t="s">
        <v>41</v>
      </c>
      <c r="AE40" s="54" t="s">
        <v>388</v>
      </c>
      <c r="AF40" s="54" t="s">
        <v>388</v>
      </c>
      <c r="AG40" s="54" t="s">
        <v>39</v>
      </c>
      <c r="AH40" s="54" t="s">
        <v>39</v>
      </c>
      <c r="AI40" s="49" t="s">
        <v>39</v>
      </c>
      <c r="AJ40" s="49" t="s">
        <v>39</v>
      </c>
      <c r="AK40" s="54" t="s">
        <v>1210</v>
      </c>
      <c r="AL40" s="54" t="s">
        <v>39</v>
      </c>
      <c r="AM40" s="54" t="s">
        <v>1210</v>
      </c>
      <c r="AN40" s="54" t="s">
        <v>1210</v>
      </c>
      <c r="AO40" s="54" t="s">
        <v>1210</v>
      </c>
      <c r="AP40" s="54" t="s">
        <v>39</v>
      </c>
      <c r="AQ40" s="49" t="s">
        <v>65</v>
      </c>
      <c r="AR40" s="49" t="s">
        <v>39</v>
      </c>
      <c r="AS40" s="54" t="s">
        <v>39</v>
      </c>
      <c r="AT40" s="73" t="s">
        <v>39</v>
      </c>
      <c r="AU40" s="49" t="s">
        <v>401</v>
      </c>
      <c r="AV40" s="54" t="s">
        <v>401</v>
      </c>
      <c r="AW40" s="54" t="s">
        <v>401</v>
      </c>
      <c r="AX40" s="54" t="s">
        <v>65</v>
      </c>
      <c r="AY40" s="54" t="s">
        <v>138</v>
      </c>
      <c r="AZ40" s="54" t="s">
        <v>65</v>
      </c>
      <c r="BA40" s="54" t="s">
        <v>138</v>
      </c>
      <c r="BB40" s="54" t="s">
        <v>39</v>
      </c>
      <c r="BC40" s="54" t="s">
        <v>39</v>
      </c>
      <c r="BD40" s="54" t="s">
        <v>190</v>
      </c>
      <c r="BE40" s="54" t="s">
        <v>39</v>
      </c>
      <c r="BF40" s="54" t="s">
        <v>65</v>
      </c>
      <c r="BG40" s="54" t="s">
        <v>388</v>
      </c>
    </row>
    <row r="41" spans="1:59" s="55" customFormat="1" ht="11.25" customHeight="1">
      <c r="A41" s="95" t="s">
        <v>688</v>
      </c>
      <c r="B41" s="94"/>
      <c r="C41" s="94"/>
      <c r="D41" s="94" t="s">
        <v>4427</v>
      </c>
      <c r="E41" s="94" t="s">
        <v>4530</v>
      </c>
      <c r="F41" s="94" t="s">
        <v>4530</v>
      </c>
      <c r="G41" s="91"/>
      <c r="H41" s="94" t="s">
        <v>2038</v>
      </c>
      <c r="I41" s="94"/>
      <c r="J41" s="94" t="s">
        <v>2038</v>
      </c>
      <c r="K41" s="94"/>
      <c r="L41" s="94" t="s">
        <v>1520</v>
      </c>
      <c r="M41" s="94" t="s">
        <v>39</v>
      </c>
      <c r="N41" s="94"/>
      <c r="O41" s="94" t="s">
        <v>39</v>
      </c>
      <c r="P41" s="94"/>
      <c r="Q41" s="94"/>
      <c r="R41" s="94" t="s">
        <v>39</v>
      </c>
      <c r="S41" s="94"/>
      <c r="T41" s="94"/>
      <c r="U41" s="94"/>
      <c r="V41" s="94" t="s">
        <v>39</v>
      </c>
      <c r="W41" s="94" t="s">
        <v>39</v>
      </c>
      <c r="X41" s="94" t="s">
        <v>39</v>
      </c>
      <c r="Y41" s="94" t="s">
        <v>699</v>
      </c>
      <c r="Z41" s="94" t="s">
        <v>39</v>
      </c>
      <c r="AA41" s="91"/>
      <c r="AB41" s="94"/>
      <c r="AC41" s="94"/>
      <c r="AD41" s="94"/>
      <c r="AE41" s="94" t="s">
        <v>1186</v>
      </c>
      <c r="AF41" s="94"/>
      <c r="AG41" s="91"/>
      <c r="AH41" s="91"/>
      <c r="AI41" s="94"/>
      <c r="AJ41" s="94"/>
      <c r="AK41" s="94" t="s">
        <v>1209</v>
      </c>
      <c r="AL41" s="91"/>
      <c r="AM41" s="94" t="s">
        <v>1209</v>
      </c>
      <c r="AN41" s="94" t="s">
        <v>1209</v>
      </c>
      <c r="AO41" s="94" t="s">
        <v>1209</v>
      </c>
      <c r="AP41" s="94"/>
      <c r="AQ41" s="91"/>
      <c r="AR41" s="94"/>
      <c r="AS41" s="94" t="s">
        <v>39</v>
      </c>
      <c r="AT41" s="91"/>
      <c r="AU41" s="94"/>
      <c r="AV41" s="94" t="s">
        <v>860</v>
      </c>
      <c r="AW41" s="94" t="s">
        <v>860</v>
      </c>
      <c r="AX41" s="94"/>
      <c r="AY41" s="94"/>
      <c r="AZ41" s="94" t="s">
        <v>1287</v>
      </c>
      <c r="BA41" s="94" t="s">
        <v>1287</v>
      </c>
      <c r="BB41" s="91"/>
      <c r="BC41" s="91" t="s">
        <v>39</v>
      </c>
      <c r="BD41" s="94"/>
      <c r="BE41" s="94" t="s">
        <v>39</v>
      </c>
      <c r="BF41" s="94" t="s">
        <v>912</v>
      </c>
      <c r="BG41" s="94"/>
    </row>
    <row r="42" spans="1:59" s="56" customFormat="1" ht="22.5" customHeight="1">
      <c r="A42" s="53" t="s">
        <v>177</v>
      </c>
      <c r="B42" s="54" t="s">
        <v>39</v>
      </c>
      <c r="C42" s="54" t="s">
        <v>39</v>
      </c>
      <c r="D42" s="54" t="s">
        <v>4443</v>
      </c>
      <c r="E42" s="54" t="s">
        <v>39</v>
      </c>
      <c r="F42" s="54" t="s">
        <v>4532</v>
      </c>
      <c r="G42" s="69" t="s">
        <v>39</v>
      </c>
      <c r="H42" s="54" t="s">
        <v>2072</v>
      </c>
      <c r="I42" s="54" t="s">
        <v>2100</v>
      </c>
      <c r="J42" s="54" t="s">
        <v>2655</v>
      </c>
      <c r="K42" s="49" t="s">
        <v>299</v>
      </c>
      <c r="L42" s="54" t="s">
        <v>299</v>
      </c>
      <c r="M42" s="54" t="s">
        <v>710</v>
      </c>
      <c r="N42" s="54" t="s">
        <v>197</v>
      </c>
      <c r="O42" s="54" t="s">
        <v>39</v>
      </c>
      <c r="P42" s="54" t="s">
        <v>333</v>
      </c>
      <c r="Q42" s="54" t="s">
        <v>102</v>
      </c>
      <c r="R42" s="116">
        <v>2000</v>
      </c>
      <c r="S42" s="54" t="s">
        <v>510</v>
      </c>
      <c r="T42" s="75">
        <v>5000</v>
      </c>
      <c r="U42" s="54" t="s">
        <v>311</v>
      </c>
      <c r="V42" s="79" t="s">
        <v>39</v>
      </c>
      <c r="W42" s="54" t="s">
        <v>810</v>
      </c>
      <c r="X42" s="54" t="s">
        <v>810</v>
      </c>
      <c r="Y42" s="54" t="s">
        <v>710</v>
      </c>
      <c r="Z42" s="54" t="s">
        <v>1115</v>
      </c>
      <c r="AA42" s="15" t="s">
        <v>39</v>
      </c>
      <c r="AB42" s="114" t="s">
        <v>327</v>
      </c>
      <c r="AC42" s="54" t="s">
        <v>39</v>
      </c>
      <c r="AD42" s="54" t="s">
        <v>3305</v>
      </c>
      <c r="AE42" s="116">
        <v>15000</v>
      </c>
      <c r="AF42" s="54" t="s">
        <v>42</v>
      </c>
      <c r="AG42" s="49" t="s">
        <v>65</v>
      </c>
      <c r="AH42" s="54" t="s">
        <v>42</v>
      </c>
      <c r="AI42" s="54" t="s">
        <v>535</v>
      </c>
      <c r="AJ42" s="54" t="s">
        <v>535</v>
      </c>
      <c r="AK42" s="54" t="s">
        <v>39</v>
      </c>
      <c r="AL42" s="54" t="s">
        <v>39</v>
      </c>
      <c r="AM42" s="54" t="s">
        <v>39</v>
      </c>
      <c r="AN42" s="54" t="s">
        <v>39</v>
      </c>
      <c r="AO42" s="54" t="s">
        <v>39</v>
      </c>
      <c r="AP42" s="54" t="s">
        <v>61</v>
      </c>
      <c r="AQ42" s="54" t="s">
        <v>606</v>
      </c>
      <c r="AR42" s="69" t="s">
        <v>389</v>
      </c>
      <c r="AS42" s="54" t="s">
        <v>39</v>
      </c>
      <c r="AT42" s="63">
        <v>25000</v>
      </c>
      <c r="AU42" s="54" t="s">
        <v>414</v>
      </c>
      <c r="AV42" s="54" t="s">
        <v>867</v>
      </c>
      <c r="AW42" s="54" t="s">
        <v>867</v>
      </c>
      <c r="AX42" s="54" t="s">
        <v>551</v>
      </c>
      <c r="AY42" s="54" t="s">
        <v>550</v>
      </c>
      <c r="AZ42" s="54" t="s">
        <v>535</v>
      </c>
      <c r="BA42" s="54" t="s">
        <v>550</v>
      </c>
      <c r="BB42" s="82" t="s">
        <v>580</v>
      </c>
      <c r="BC42" s="79" t="s">
        <v>39</v>
      </c>
      <c r="BD42" s="54" t="s">
        <v>560</v>
      </c>
      <c r="BE42" s="54" t="s">
        <v>50</v>
      </c>
      <c r="BF42" s="54" t="s">
        <v>50</v>
      </c>
      <c r="BG42" s="75">
        <v>3000</v>
      </c>
    </row>
    <row r="43" spans="1:59" s="56" customFormat="1" ht="11.25" customHeight="1">
      <c r="A43" s="95" t="s">
        <v>688</v>
      </c>
      <c r="B43" s="94"/>
      <c r="C43" s="94"/>
      <c r="D43" s="94"/>
      <c r="E43" s="94"/>
      <c r="F43" s="94" t="s">
        <v>4531</v>
      </c>
      <c r="G43" s="91"/>
      <c r="H43" s="94" t="s">
        <v>2071</v>
      </c>
      <c r="I43" s="94"/>
      <c r="J43" s="94" t="s">
        <v>2071</v>
      </c>
      <c r="K43" s="94"/>
      <c r="L43" s="94" t="s">
        <v>1522</v>
      </c>
      <c r="M43" s="94" t="s">
        <v>1032</v>
      </c>
      <c r="N43" s="94"/>
      <c r="O43" s="94" t="s">
        <v>39</v>
      </c>
      <c r="P43" s="94"/>
      <c r="Q43" s="94"/>
      <c r="R43" s="94" t="s">
        <v>2798</v>
      </c>
      <c r="S43" s="94"/>
      <c r="T43" s="94"/>
      <c r="U43" s="94"/>
      <c r="V43" s="94" t="s">
        <v>39</v>
      </c>
      <c r="W43" s="94" t="s">
        <v>1835</v>
      </c>
      <c r="X43" s="94" t="s">
        <v>1795</v>
      </c>
      <c r="Y43" s="94" t="s">
        <v>711</v>
      </c>
      <c r="Z43" s="94" t="s">
        <v>1114</v>
      </c>
      <c r="AA43" s="91"/>
      <c r="AB43" s="94"/>
      <c r="AC43" s="94"/>
      <c r="AD43" s="94"/>
      <c r="AE43" s="94" t="s">
        <v>3763</v>
      </c>
      <c r="AF43" s="94"/>
      <c r="AG43" s="91"/>
      <c r="AH43" s="91"/>
      <c r="AI43" s="94"/>
      <c r="AJ43" s="94"/>
      <c r="AK43" s="94" t="s">
        <v>1261</v>
      </c>
      <c r="AL43" s="91" t="s">
        <v>39</v>
      </c>
      <c r="AM43" s="94" t="s">
        <v>1261</v>
      </c>
      <c r="AN43" s="94" t="s">
        <v>1261</v>
      </c>
      <c r="AO43" s="94" t="s">
        <v>1261</v>
      </c>
      <c r="AP43" s="94"/>
      <c r="AQ43" s="91"/>
      <c r="AR43" s="94"/>
      <c r="AS43" s="94" t="s">
        <v>39</v>
      </c>
      <c r="AT43" s="91"/>
      <c r="AU43" s="94"/>
      <c r="AV43" s="94" t="s">
        <v>868</v>
      </c>
      <c r="AW43" s="94" t="s">
        <v>868</v>
      </c>
      <c r="AX43" s="94"/>
      <c r="AY43" s="94"/>
      <c r="AZ43" s="94" t="s">
        <v>1353</v>
      </c>
      <c r="BA43" s="94" t="s">
        <v>1267</v>
      </c>
      <c r="BB43" s="91"/>
      <c r="BC43" s="91" t="s">
        <v>39</v>
      </c>
      <c r="BD43" s="94"/>
      <c r="BE43" s="94" t="s">
        <v>945</v>
      </c>
      <c r="BF43" s="94" t="s">
        <v>945</v>
      </c>
      <c r="BG43" s="94"/>
    </row>
    <row r="44" spans="1:59" s="55" customFormat="1" ht="22.5" customHeight="1">
      <c r="A44" s="53" t="s">
        <v>27</v>
      </c>
      <c r="B44" s="54" t="s">
        <v>298</v>
      </c>
      <c r="C44" s="54" t="s">
        <v>39</v>
      </c>
      <c r="D44" s="54" t="s">
        <v>4459</v>
      </c>
      <c r="E44" s="54" t="s">
        <v>4536</v>
      </c>
      <c r="F44" s="54" t="s">
        <v>4535</v>
      </c>
      <c r="G44" s="69" t="s">
        <v>351</v>
      </c>
      <c r="H44" s="54" t="s">
        <v>2027</v>
      </c>
      <c r="I44" s="54" t="s">
        <v>2027</v>
      </c>
      <c r="J44" s="54" t="s">
        <v>2631</v>
      </c>
      <c r="K44" s="54" t="s">
        <v>298</v>
      </c>
      <c r="L44" s="54" t="s">
        <v>298</v>
      </c>
      <c r="M44" s="54" t="s">
        <v>1031</v>
      </c>
      <c r="N44" s="54" t="s">
        <v>486</v>
      </c>
      <c r="O44" s="54" t="s">
        <v>39</v>
      </c>
      <c r="P44" s="54" t="s">
        <v>332</v>
      </c>
      <c r="Q44" s="54" t="s">
        <v>665</v>
      </c>
      <c r="R44" s="54" t="s">
        <v>2802</v>
      </c>
      <c r="S44" s="54" t="s">
        <v>504</v>
      </c>
      <c r="T44" s="54" t="s">
        <v>1757</v>
      </c>
      <c r="U44" s="54" t="s">
        <v>190</v>
      </c>
      <c r="V44" s="54" t="s">
        <v>1845</v>
      </c>
      <c r="W44" s="54" t="s">
        <v>1844</v>
      </c>
      <c r="X44" s="54" t="s">
        <v>1803</v>
      </c>
      <c r="Y44" s="54" t="s">
        <v>712</v>
      </c>
      <c r="Z44" s="54" t="s">
        <v>1105</v>
      </c>
      <c r="AA44" s="15" t="s">
        <v>25</v>
      </c>
      <c r="AB44" s="54" t="s">
        <v>1769</v>
      </c>
      <c r="AC44" s="54" t="s">
        <v>65</v>
      </c>
      <c r="AD44" s="54" t="s">
        <v>1772</v>
      </c>
      <c r="AE44" s="54" t="s">
        <v>3765</v>
      </c>
      <c r="AF44" s="54" t="s">
        <v>106</v>
      </c>
      <c r="AG44" s="49" t="s">
        <v>42</v>
      </c>
      <c r="AH44" s="49" t="s">
        <v>64</v>
      </c>
      <c r="AI44" s="54" t="s">
        <v>213</v>
      </c>
      <c r="AJ44" s="54" t="s">
        <v>61</v>
      </c>
      <c r="AK44" s="54" t="s">
        <v>1231</v>
      </c>
      <c r="AL44" s="54" t="s">
        <v>4652</v>
      </c>
      <c r="AM44" s="54" t="s">
        <v>1230</v>
      </c>
      <c r="AN44" s="54" t="s">
        <v>1231</v>
      </c>
      <c r="AO44" s="54" t="s">
        <v>1230</v>
      </c>
      <c r="AP44" s="54" t="s">
        <v>298</v>
      </c>
      <c r="AQ44" s="69" t="s">
        <v>593</v>
      </c>
      <c r="AR44" s="49" t="s">
        <v>25</v>
      </c>
      <c r="AS44" s="54" t="s">
        <v>1725</v>
      </c>
      <c r="AT44" s="49" t="s">
        <v>61</v>
      </c>
      <c r="AU44" s="49" t="s">
        <v>410</v>
      </c>
      <c r="AV44" s="54" t="s">
        <v>841</v>
      </c>
      <c r="AW44" s="54" t="s">
        <v>841</v>
      </c>
      <c r="AX44" s="54" t="s">
        <v>211</v>
      </c>
      <c r="AY44" s="54" t="s">
        <v>212</v>
      </c>
      <c r="AZ44" s="54" t="s">
        <v>1357</v>
      </c>
      <c r="BA44" s="54" t="s">
        <v>1282</v>
      </c>
      <c r="BB44" s="82" t="s">
        <v>579</v>
      </c>
      <c r="BC44" s="54" t="s">
        <v>3074</v>
      </c>
      <c r="BD44" s="54" t="s">
        <v>1776</v>
      </c>
      <c r="BE44" s="54" t="s">
        <v>969</v>
      </c>
      <c r="BF44" s="54" t="s">
        <v>969</v>
      </c>
      <c r="BG44" s="54" t="s">
        <v>429</v>
      </c>
    </row>
    <row r="45" spans="1:59" s="55" customFormat="1" ht="11.25" customHeight="1">
      <c r="A45" s="95" t="s">
        <v>688</v>
      </c>
      <c r="B45" s="94"/>
      <c r="C45" s="94"/>
      <c r="D45" s="94" t="s">
        <v>4427</v>
      </c>
      <c r="E45" s="94" t="s">
        <v>4533</v>
      </c>
      <c r="F45" s="94" t="s">
        <v>4534</v>
      </c>
      <c r="G45" s="91"/>
      <c r="H45" s="94" t="s">
        <v>2026</v>
      </c>
      <c r="I45" s="94"/>
      <c r="J45" s="94" t="s">
        <v>2665</v>
      </c>
      <c r="K45" s="94"/>
      <c r="L45" s="94" t="s">
        <v>1540</v>
      </c>
      <c r="M45" s="94" t="s">
        <v>1030</v>
      </c>
      <c r="N45" s="94"/>
      <c r="O45" s="94" t="s">
        <v>39</v>
      </c>
      <c r="P45" s="94"/>
      <c r="Q45" s="94"/>
      <c r="R45" s="94" t="s">
        <v>2803</v>
      </c>
      <c r="S45" s="94"/>
      <c r="T45" s="94"/>
      <c r="U45" s="94"/>
      <c r="V45" s="94" t="s">
        <v>1866</v>
      </c>
      <c r="W45" s="94" t="s">
        <v>1846</v>
      </c>
      <c r="X45" s="94" t="s">
        <v>1847</v>
      </c>
      <c r="Y45" s="94" t="s">
        <v>713</v>
      </c>
      <c r="Z45" s="94" t="s">
        <v>1106</v>
      </c>
      <c r="AA45" s="91"/>
      <c r="AB45" s="94"/>
      <c r="AC45" s="94"/>
      <c r="AD45" s="94"/>
      <c r="AE45" s="94" t="s">
        <v>3764</v>
      </c>
      <c r="AF45" s="94"/>
      <c r="AG45" s="91"/>
      <c r="AH45" s="91"/>
      <c r="AI45" s="94"/>
      <c r="AJ45" s="94"/>
      <c r="AK45" s="94" t="s">
        <v>1229</v>
      </c>
      <c r="AL45" s="91" t="s">
        <v>4653</v>
      </c>
      <c r="AM45" s="94" t="s">
        <v>1229</v>
      </c>
      <c r="AN45" s="94" t="s">
        <v>1229</v>
      </c>
      <c r="AO45" s="94" t="s">
        <v>1229</v>
      </c>
      <c r="AP45" s="94"/>
      <c r="AQ45" s="91"/>
      <c r="AR45" s="94"/>
      <c r="AS45" s="94" t="s">
        <v>1726</v>
      </c>
      <c r="AT45" s="91"/>
      <c r="AU45" s="94"/>
      <c r="AV45" s="94" t="s">
        <v>842</v>
      </c>
      <c r="AW45" s="94" t="s">
        <v>842</v>
      </c>
      <c r="AX45" s="94"/>
      <c r="AY45" s="94"/>
      <c r="AZ45" s="94" t="s">
        <v>1281</v>
      </c>
      <c r="BA45" s="94" t="s">
        <v>1281</v>
      </c>
      <c r="BB45" s="91"/>
      <c r="BC45" s="94" t="s">
        <v>3073</v>
      </c>
      <c r="BD45" s="94"/>
      <c r="BE45" s="94" t="s">
        <v>973</v>
      </c>
      <c r="BF45" s="94" t="s">
        <v>973</v>
      </c>
      <c r="BG45" s="94"/>
    </row>
    <row r="46" spans="1:59" s="55" customFormat="1" ht="22.5" customHeight="1">
      <c r="A46" s="53" t="s">
        <v>52</v>
      </c>
      <c r="B46" s="69" t="s">
        <v>39</v>
      </c>
      <c r="C46" s="54" t="s">
        <v>39</v>
      </c>
      <c r="D46" s="54" t="s">
        <v>4444</v>
      </c>
      <c r="E46" s="54" t="s">
        <v>4526</v>
      </c>
      <c r="F46" s="54" t="s">
        <v>4537</v>
      </c>
      <c r="G46" s="69" t="s">
        <v>351</v>
      </c>
      <c r="H46" s="54" t="s">
        <v>33</v>
      </c>
      <c r="I46" s="54" t="s">
        <v>33</v>
      </c>
      <c r="J46" s="54" t="s">
        <v>33</v>
      </c>
      <c r="K46" s="54" t="s">
        <v>61</v>
      </c>
      <c r="L46" s="54" t="s">
        <v>61</v>
      </c>
      <c r="M46" s="54" t="s">
        <v>42</v>
      </c>
      <c r="N46" s="54" t="s">
        <v>102</v>
      </c>
      <c r="O46" s="54" t="s">
        <v>213</v>
      </c>
      <c r="P46" s="54" t="s">
        <v>39</v>
      </c>
      <c r="Q46" s="54" t="s">
        <v>213</v>
      </c>
      <c r="R46" s="54" t="s">
        <v>213</v>
      </c>
      <c r="S46" s="54" t="s">
        <v>512</v>
      </c>
      <c r="T46" s="54" t="s">
        <v>39</v>
      </c>
      <c r="U46" s="54" t="s">
        <v>39</v>
      </c>
      <c r="V46" s="54" t="s">
        <v>1865</v>
      </c>
      <c r="W46" s="54" t="s">
        <v>25</v>
      </c>
      <c r="X46" s="54" t="s">
        <v>65</v>
      </c>
      <c r="Y46" s="54" t="s">
        <v>190</v>
      </c>
      <c r="Z46" s="54" t="s">
        <v>103</v>
      </c>
      <c r="AA46" s="15" t="s">
        <v>103</v>
      </c>
      <c r="AB46" s="54" t="s">
        <v>176</v>
      </c>
      <c r="AC46" s="54" t="s">
        <v>475</v>
      </c>
      <c r="AD46" s="54" t="s">
        <v>41</v>
      </c>
      <c r="AE46" s="54" t="s">
        <v>61</v>
      </c>
      <c r="AF46" s="54" t="s">
        <v>61</v>
      </c>
      <c r="AG46" s="49" t="s">
        <v>102</v>
      </c>
      <c r="AH46" s="49" t="s">
        <v>33</v>
      </c>
      <c r="AI46" s="54" t="s">
        <v>213</v>
      </c>
      <c r="AJ46" s="54" t="s">
        <v>102</v>
      </c>
      <c r="AK46" s="54" t="s">
        <v>39</v>
      </c>
      <c r="AL46" s="54" t="s">
        <v>4673</v>
      </c>
      <c r="AM46" s="54" t="s">
        <v>39</v>
      </c>
      <c r="AN46" s="54" t="s">
        <v>39</v>
      </c>
      <c r="AO46" s="54" t="s">
        <v>39</v>
      </c>
      <c r="AP46" s="54" t="s">
        <v>39</v>
      </c>
      <c r="AQ46" s="49" t="s">
        <v>39</v>
      </c>
      <c r="AR46" s="49" t="s">
        <v>39</v>
      </c>
      <c r="AS46" s="54" t="s">
        <v>39</v>
      </c>
      <c r="AT46" s="73" t="s">
        <v>39</v>
      </c>
      <c r="AU46" s="49" t="s">
        <v>33</v>
      </c>
      <c r="AV46" s="54" t="s">
        <v>33</v>
      </c>
      <c r="AW46" s="54" t="s">
        <v>33</v>
      </c>
      <c r="AX46" s="54" t="s">
        <v>216</v>
      </c>
      <c r="AY46" s="54" t="s">
        <v>217</v>
      </c>
      <c r="AZ46" s="54" t="s">
        <v>216</v>
      </c>
      <c r="BA46" s="54" t="s">
        <v>217</v>
      </c>
      <c r="BB46" s="54" t="s">
        <v>581</v>
      </c>
      <c r="BC46" s="54" t="s">
        <v>39</v>
      </c>
      <c r="BD46" s="54" t="s">
        <v>2129</v>
      </c>
      <c r="BE46" s="54" t="s">
        <v>103</v>
      </c>
      <c r="BF46" s="54" t="s">
        <v>103</v>
      </c>
      <c r="BG46" s="54" t="s">
        <v>428</v>
      </c>
    </row>
    <row r="47" spans="1:59" s="55" customFormat="1" ht="11.25" customHeight="1">
      <c r="A47" s="95" t="s">
        <v>688</v>
      </c>
      <c r="B47" s="94"/>
      <c r="C47" s="94"/>
      <c r="D47" s="94" t="s">
        <v>4427</v>
      </c>
      <c r="E47" s="94" t="s">
        <v>4539</v>
      </c>
      <c r="F47" s="94" t="s">
        <v>4538</v>
      </c>
      <c r="G47" s="91"/>
      <c r="H47" s="94" t="s">
        <v>2039</v>
      </c>
      <c r="I47" s="94"/>
      <c r="J47" s="94" t="s">
        <v>2039</v>
      </c>
      <c r="K47" s="94"/>
      <c r="L47" s="94" t="s">
        <v>1543</v>
      </c>
      <c r="M47" s="94" t="s">
        <v>1025</v>
      </c>
      <c r="N47" s="94"/>
      <c r="O47" s="94" t="s">
        <v>1420</v>
      </c>
      <c r="P47" s="94"/>
      <c r="Q47" s="94"/>
      <c r="R47" s="94" t="s">
        <v>2797</v>
      </c>
      <c r="S47" s="94"/>
      <c r="T47" s="94"/>
      <c r="U47" s="94"/>
      <c r="V47" s="94" t="s">
        <v>1864</v>
      </c>
      <c r="W47" s="94" t="s">
        <v>1841</v>
      </c>
      <c r="X47" s="94" t="s">
        <v>1842</v>
      </c>
      <c r="Y47" s="94" t="s">
        <v>714</v>
      </c>
      <c r="Z47" s="94" t="s">
        <v>1110</v>
      </c>
      <c r="AA47" s="91"/>
      <c r="AB47" s="94"/>
      <c r="AC47" s="94"/>
      <c r="AD47" s="94"/>
      <c r="AE47" s="94" t="s">
        <v>3768</v>
      </c>
      <c r="AF47" s="94"/>
      <c r="AG47" s="91"/>
      <c r="AH47" s="91"/>
      <c r="AI47" s="94"/>
      <c r="AJ47" s="94"/>
      <c r="AK47" s="94" t="s">
        <v>39</v>
      </c>
      <c r="AL47" s="91"/>
      <c r="AM47" s="94" t="s">
        <v>39</v>
      </c>
      <c r="AN47" s="94" t="s">
        <v>39</v>
      </c>
      <c r="AO47" s="94" t="s">
        <v>39</v>
      </c>
      <c r="AP47" s="94"/>
      <c r="AQ47" s="91"/>
      <c r="AR47" s="94"/>
      <c r="AS47" s="94" t="s">
        <v>39</v>
      </c>
      <c r="AT47" s="91"/>
      <c r="AU47" s="94"/>
      <c r="AV47" s="94" t="s">
        <v>840</v>
      </c>
      <c r="AW47" s="94" t="s">
        <v>840</v>
      </c>
      <c r="AX47" s="94"/>
      <c r="AY47" s="94"/>
      <c r="AZ47" s="94" t="s">
        <v>1280</v>
      </c>
      <c r="BA47" s="94" t="s">
        <v>1280</v>
      </c>
      <c r="BB47" s="91"/>
      <c r="BC47" s="91" t="s">
        <v>39</v>
      </c>
      <c r="BD47" s="94"/>
      <c r="BE47" s="94" t="s">
        <v>971</v>
      </c>
      <c r="BF47" s="94" t="s">
        <v>971</v>
      </c>
      <c r="BG47" s="94"/>
    </row>
    <row r="48" spans="1:59" s="55" customFormat="1" ht="22.5" customHeight="1">
      <c r="A48" s="53" t="s">
        <v>178</v>
      </c>
      <c r="B48" s="69" t="s">
        <v>39</v>
      </c>
      <c r="C48" s="54" t="s">
        <v>39</v>
      </c>
      <c r="D48" s="54" t="s">
        <v>4444</v>
      </c>
      <c r="E48" s="54" t="s">
        <v>39</v>
      </c>
      <c r="F48" s="54" t="s">
        <v>3134</v>
      </c>
      <c r="G48" s="69" t="s">
        <v>39</v>
      </c>
      <c r="H48" s="54" t="s">
        <v>2060</v>
      </c>
      <c r="I48" s="54" t="s">
        <v>2060</v>
      </c>
      <c r="J48" s="54" t="s">
        <v>2638</v>
      </c>
      <c r="K48" s="49" t="s">
        <v>39</v>
      </c>
      <c r="L48" s="54" t="s">
        <v>39</v>
      </c>
      <c r="M48" s="54" t="s">
        <v>1037</v>
      </c>
      <c r="N48" s="54" t="s">
        <v>39</v>
      </c>
      <c r="O48" s="54" t="s">
        <v>39</v>
      </c>
      <c r="P48" s="54" t="s">
        <v>334</v>
      </c>
      <c r="Q48" s="54" t="s">
        <v>620</v>
      </c>
      <c r="R48" s="54" t="s">
        <v>620</v>
      </c>
      <c r="S48" s="54" t="s">
        <v>513</v>
      </c>
      <c r="T48" s="54" t="s">
        <v>33</v>
      </c>
      <c r="U48" s="54" t="s">
        <v>679</v>
      </c>
      <c r="V48" s="54" t="s">
        <v>39</v>
      </c>
      <c r="W48" s="54" t="s">
        <v>39</v>
      </c>
      <c r="X48" s="54" t="s">
        <v>39</v>
      </c>
      <c r="Y48" s="54" t="s">
        <v>190</v>
      </c>
      <c r="Z48" s="54" t="s">
        <v>39</v>
      </c>
      <c r="AA48" s="17" t="s">
        <v>39</v>
      </c>
      <c r="AB48" s="54" t="s">
        <v>65</v>
      </c>
      <c r="AC48" s="54" t="s">
        <v>475</v>
      </c>
      <c r="AD48" s="54" t="s">
        <v>41</v>
      </c>
      <c r="AE48" s="54" t="s">
        <v>519</v>
      </c>
      <c r="AF48" s="54" t="s">
        <v>519</v>
      </c>
      <c r="AG48" s="49" t="s">
        <v>102</v>
      </c>
      <c r="AH48" s="49" t="s">
        <v>33</v>
      </c>
      <c r="AI48" s="49" t="s">
        <v>39</v>
      </c>
      <c r="AJ48" s="49" t="s">
        <v>39</v>
      </c>
      <c r="AK48" s="54" t="s">
        <v>1200</v>
      </c>
      <c r="AL48" s="54" t="s">
        <v>4654</v>
      </c>
      <c r="AM48" s="54" t="s">
        <v>1201</v>
      </c>
      <c r="AN48" s="54" t="s">
        <v>1889</v>
      </c>
      <c r="AO48" s="54" t="s">
        <v>1890</v>
      </c>
      <c r="AP48" s="54" t="s">
        <v>61</v>
      </c>
      <c r="AQ48" s="69" t="s">
        <v>611</v>
      </c>
      <c r="AR48" s="49" t="s">
        <v>39</v>
      </c>
      <c r="AS48" s="54" t="s">
        <v>39</v>
      </c>
      <c r="AT48" s="49" t="s">
        <v>220</v>
      </c>
      <c r="AU48" s="49" t="s">
        <v>33</v>
      </c>
      <c r="AV48" s="54" t="s">
        <v>33</v>
      </c>
      <c r="AW48" s="54" t="s">
        <v>33</v>
      </c>
      <c r="AX48" s="54" t="s">
        <v>560</v>
      </c>
      <c r="AY48" s="54" t="s">
        <v>561</v>
      </c>
      <c r="AZ48" s="54" t="s">
        <v>1349</v>
      </c>
      <c r="BA48" s="54" t="s">
        <v>1271</v>
      </c>
      <c r="BB48" s="54" t="s">
        <v>39</v>
      </c>
      <c r="BC48" s="54" t="s">
        <v>53</v>
      </c>
      <c r="BD48" s="54" t="s">
        <v>2129</v>
      </c>
      <c r="BE48" s="54" t="s">
        <v>946</v>
      </c>
      <c r="BF48" s="54" t="s">
        <v>946</v>
      </c>
      <c r="BG48" s="54" t="s">
        <v>39</v>
      </c>
    </row>
    <row r="49" spans="1:59" s="55" customFormat="1" ht="11.25" customHeight="1">
      <c r="A49" s="95" t="s">
        <v>688</v>
      </c>
      <c r="B49" s="94"/>
      <c r="C49" s="94"/>
      <c r="D49" s="94" t="s">
        <v>4427</v>
      </c>
      <c r="E49" s="94"/>
      <c r="F49" s="94" t="s">
        <v>4538</v>
      </c>
      <c r="G49" s="91"/>
      <c r="H49" s="94" t="s">
        <v>2059</v>
      </c>
      <c r="I49" s="94"/>
      <c r="J49" s="94" t="s">
        <v>2059</v>
      </c>
      <c r="K49" s="94"/>
      <c r="L49" s="94" t="s">
        <v>39</v>
      </c>
      <c r="M49" s="94" t="s">
        <v>1038</v>
      </c>
      <c r="N49" s="94"/>
      <c r="O49" s="94" t="s">
        <v>39</v>
      </c>
      <c r="P49" s="94"/>
      <c r="Q49" s="94"/>
      <c r="R49" s="94" t="s">
        <v>2807</v>
      </c>
      <c r="S49" s="94"/>
      <c r="T49" s="94"/>
      <c r="U49" s="94"/>
      <c r="V49" s="94" t="s">
        <v>39</v>
      </c>
      <c r="W49" s="94" t="s">
        <v>39</v>
      </c>
      <c r="X49" s="94" t="s">
        <v>39</v>
      </c>
      <c r="Y49" s="94" t="s">
        <v>714</v>
      </c>
      <c r="Z49" s="94" t="s">
        <v>39</v>
      </c>
      <c r="AA49" s="91"/>
      <c r="AB49" s="94"/>
      <c r="AC49" s="94"/>
      <c r="AD49" s="94"/>
      <c r="AE49" s="94" t="s">
        <v>3768</v>
      </c>
      <c r="AF49" s="94"/>
      <c r="AG49" s="91"/>
      <c r="AH49" s="91"/>
      <c r="AI49" s="94"/>
      <c r="AJ49" s="94"/>
      <c r="AK49" s="94" t="s">
        <v>1198</v>
      </c>
      <c r="AL49" s="91" t="s">
        <v>4655</v>
      </c>
      <c r="AM49" s="94" t="s">
        <v>1199</v>
      </c>
      <c r="AN49" s="94" t="s">
        <v>1888</v>
      </c>
      <c r="AO49" s="94" t="s">
        <v>1199</v>
      </c>
      <c r="AP49" s="94"/>
      <c r="AQ49" s="91"/>
      <c r="AR49" s="94"/>
      <c r="AS49" s="94" t="s">
        <v>39</v>
      </c>
      <c r="AT49" s="91"/>
      <c r="AU49" s="94"/>
      <c r="AV49" s="94" t="s">
        <v>840</v>
      </c>
      <c r="AW49" s="94" t="s">
        <v>840</v>
      </c>
      <c r="AX49" s="94"/>
      <c r="AY49" s="94"/>
      <c r="AZ49" s="94" t="s">
        <v>1348</v>
      </c>
      <c r="BA49" s="94" t="s">
        <v>1269</v>
      </c>
      <c r="BB49" s="91"/>
      <c r="BC49" s="94" t="s">
        <v>3075</v>
      </c>
      <c r="BD49" s="94"/>
      <c r="BE49" s="94" t="s">
        <v>947</v>
      </c>
      <c r="BF49" s="94" t="s">
        <v>947</v>
      </c>
      <c r="BG49" s="94"/>
    </row>
    <row r="50" spans="1:59" s="55" customFormat="1" ht="22.5" customHeight="1">
      <c r="A50" s="53" t="s">
        <v>74</v>
      </c>
      <c r="B50" s="69" t="s">
        <v>39</v>
      </c>
      <c r="C50" s="54" t="s">
        <v>39</v>
      </c>
      <c r="D50" s="54" t="s">
        <v>4461</v>
      </c>
      <c r="E50" s="54" t="s">
        <v>715</v>
      </c>
      <c r="F50" s="54" t="s">
        <v>715</v>
      </c>
      <c r="G50" s="49" t="s">
        <v>353</v>
      </c>
      <c r="H50" s="54" t="s">
        <v>2061</v>
      </c>
      <c r="I50" s="54" t="s">
        <v>2061</v>
      </c>
      <c r="J50" s="54" t="s">
        <v>2061</v>
      </c>
      <c r="K50" s="49" t="s">
        <v>289</v>
      </c>
      <c r="L50" s="54" t="s">
        <v>1555</v>
      </c>
      <c r="M50" s="54" t="s">
        <v>39</v>
      </c>
      <c r="N50" s="54" t="s">
        <v>39</v>
      </c>
      <c r="O50" s="54" t="s">
        <v>39</v>
      </c>
      <c r="P50" s="54" t="s">
        <v>678</v>
      </c>
      <c r="Q50" s="54" t="s">
        <v>39</v>
      </c>
      <c r="R50" s="54" t="s">
        <v>39</v>
      </c>
      <c r="S50" s="54" t="s">
        <v>39</v>
      </c>
      <c r="T50" s="54" t="s">
        <v>39</v>
      </c>
      <c r="U50" s="54" t="s">
        <v>313</v>
      </c>
      <c r="V50" s="54" t="s">
        <v>39</v>
      </c>
      <c r="W50" s="54" t="s">
        <v>715</v>
      </c>
      <c r="X50" s="54" t="s">
        <v>715</v>
      </c>
      <c r="Y50" s="54" t="s">
        <v>715</v>
      </c>
      <c r="Z50" s="54" t="s">
        <v>33</v>
      </c>
      <c r="AA50" s="15" t="s">
        <v>53</v>
      </c>
      <c r="AB50" s="54" t="s">
        <v>33</v>
      </c>
      <c r="AC50" s="54" t="s">
        <v>475</v>
      </c>
      <c r="AD50" s="54" t="s">
        <v>2489</v>
      </c>
      <c r="AE50" s="54" t="s">
        <v>39</v>
      </c>
      <c r="AF50" s="54" t="s">
        <v>39</v>
      </c>
      <c r="AG50" s="54" t="s">
        <v>39</v>
      </c>
      <c r="AH50" s="54" t="s">
        <v>39</v>
      </c>
      <c r="AI50" s="49" t="s">
        <v>39</v>
      </c>
      <c r="AJ50" s="49" t="s">
        <v>39</v>
      </c>
      <c r="AK50" s="54" t="s">
        <v>39</v>
      </c>
      <c r="AL50" s="54" t="s">
        <v>4673</v>
      </c>
      <c r="AM50" s="54" t="s">
        <v>39</v>
      </c>
      <c r="AN50" s="54" t="s">
        <v>39</v>
      </c>
      <c r="AO50" s="54" t="s">
        <v>39</v>
      </c>
      <c r="AP50" s="54" t="s">
        <v>39</v>
      </c>
      <c r="AQ50" s="49" t="s">
        <v>601</v>
      </c>
      <c r="AR50" s="49" t="s">
        <v>39</v>
      </c>
      <c r="AS50" s="54" t="s">
        <v>39</v>
      </c>
      <c r="AT50" s="65" t="s">
        <v>39</v>
      </c>
      <c r="AU50" s="49" t="s">
        <v>33</v>
      </c>
      <c r="AV50" s="54" t="s">
        <v>33</v>
      </c>
      <c r="AW50" s="54" t="s">
        <v>33</v>
      </c>
      <c r="AX50" s="54" t="s">
        <v>560</v>
      </c>
      <c r="AY50" s="54" t="s">
        <v>561</v>
      </c>
      <c r="AZ50" s="54" t="s">
        <v>560</v>
      </c>
      <c r="BA50" s="54" t="s">
        <v>1271</v>
      </c>
      <c r="BB50" s="54" t="s">
        <v>39</v>
      </c>
      <c r="BC50" s="54" t="s">
        <v>39</v>
      </c>
      <c r="BD50" s="54" t="s">
        <v>2127</v>
      </c>
      <c r="BE50" s="54" t="s">
        <v>39</v>
      </c>
      <c r="BF50" s="54" t="s">
        <v>61</v>
      </c>
      <c r="BG50" s="54" t="s">
        <v>102</v>
      </c>
    </row>
    <row r="51" spans="1:59" s="55" customFormat="1" ht="11.25" customHeight="1">
      <c r="A51" s="95" t="s">
        <v>688</v>
      </c>
      <c r="B51" s="94"/>
      <c r="C51" s="94"/>
      <c r="D51" s="94" t="s">
        <v>4427</v>
      </c>
      <c r="E51" s="94" t="s">
        <v>4541</v>
      </c>
      <c r="F51" s="94" t="s">
        <v>4540</v>
      </c>
      <c r="G51" s="91"/>
      <c r="H51" s="94" t="s">
        <v>2062</v>
      </c>
      <c r="I51" s="94"/>
      <c r="J51" s="94" t="s">
        <v>2664</v>
      </c>
      <c r="K51" s="94"/>
      <c r="L51" s="94" t="s">
        <v>1557</v>
      </c>
      <c r="M51" s="94" t="s">
        <v>39</v>
      </c>
      <c r="N51" s="94"/>
      <c r="O51" s="94" t="s">
        <v>39</v>
      </c>
      <c r="P51" s="94"/>
      <c r="Q51" s="94"/>
      <c r="R51" s="94" t="s">
        <v>39</v>
      </c>
      <c r="S51" s="94"/>
      <c r="T51" s="94"/>
      <c r="U51" s="94"/>
      <c r="V51" s="94" t="s">
        <v>39</v>
      </c>
      <c r="W51" s="94" t="s">
        <v>1860</v>
      </c>
      <c r="X51" s="94" t="s">
        <v>1827</v>
      </c>
      <c r="Y51" s="94" t="s">
        <v>716</v>
      </c>
      <c r="Z51" s="94" t="s">
        <v>1125</v>
      </c>
      <c r="AA51" s="91"/>
      <c r="AB51" s="94"/>
      <c r="AC51" s="94"/>
      <c r="AD51" s="94"/>
      <c r="AE51" s="94" t="s">
        <v>39</v>
      </c>
      <c r="AF51" s="94"/>
      <c r="AG51" s="91"/>
      <c r="AH51" s="91"/>
      <c r="AI51" s="94"/>
      <c r="AJ51" s="94"/>
      <c r="AK51" s="94" t="s">
        <v>39</v>
      </c>
      <c r="AL51" s="91"/>
      <c r="AM51" s="94" t="s">
        <v>39</v>
      </c>
      <c r="AN51" s="94" t="s">
        <v>39</v>
      </c>
      <c r="AO51" s="94" t="s">
        <v>39</v>
      </c>
      <c r="AP51" s="94"/>
      <c r="AQ51" s="91"/>
      <c r="AR51" s="94"/>
      <c r="AS51" s="94" t="s">
        <v>39</v>
      </c>
      <c r="AT51" s="91"/>
      <c r="AU51" s="94"/>
      <c r="AV51" s="94" t="s">
        <v>856</v>
      </c>
      <c r="AW51" s="94" t="s">
        <v>856</v>
      </c>
      <c r="AX51" s="94"/>
      <c r="AY51" s="94"/>
      <c r="AZ51" s="94" t="s">
        <v>1352</v>
      </c>
      <c r="BA51" s="94" t="s">
        <v>1268</v>
      </c>
      <c r="BB51" s="91"/>
      <c r="BC51" s="91" t="s">
        <v>39</v>
      </c>
      <c r="BD51" s="94"/>
      <c r="BE51" s="94" t="s">
        <v>39</v>
      </c>
      <c r="BF51" s="94" t="s">
        <v>913</v>
      </c>
      <c r="BG51" s="94"/>
    </row>
    <row r="52" spans="1:59" s="55" customFormat="1" ht="22.5" customHeight="1">
      <c r="A52" s="53" t="s">
        <v>66</v>
      </c>
      <c r="B52" s="69" t="s">
        <v>39</v>
      </c>
      <c r="C52" s="54" t="s">
        <v>39</v>
      </c>
      <c r="D52" s="54" t="s">
        <v>4460</v>
      </c>
      <c r="E52" s="54" t="s">
        <v>4545</v>
      </c>
      <c r="F52" s="54" t="s">
        <v>4544</v>
      </c>
      <c r="G52" s="49" t="s">
        <v>353</v>
      </c>
      <c r="H52" s="54" t="s">
        <v>325</v>
      </c>
      <c r="I52" s="54" t="s">
        <v>325</v>
      </c>
      <c r="J52" s="54" t="s">
        <v>325</v>
      </c>
      <c r="K52" s="49" t="s">
        <v>289</v>
      </c>
      <c r="L52" s="54" t="s">
        <v>289</v>
      </c>
      <c r="M52" s="54" t="s">
        <v>1040</v>
      </c>
      <c r="N52" s="54" t="s">
        <v>491</v>
      </c>
      <c r="O52" s="54" t="s">
        <v>39</v>
      </c>
      <c r="P52" s="54" t="s">
        <v>343</v>
      </c>
      <c r="Q52" s="54" t="s">
        <v>39</v>
      </c>
      <c r="R52" s="54" t="s">
        <v>39</v>
      </c>
      <c r="S52" s="54" t="s">
        <v>39</v>
      </c>
      <c r="T52" s="54" t="s">
        <v>39</v>
      </c>
      <c r="U52" s="54" t="s">
        <v>313</v>
      </c>
      <c r="V52" s="54" t="s">
        <v>39</v>
      </c>
      <c r="W52" s="54" t="s">
        <v>103</v>
      </c>
      <c r="X52" s="54" t="s">
        <v>65</v>
      </c>
      <c r="Y52" s="54" t="s">
        <v>65</v>
      </c>
      <c r="Z52" s="54" t="s">
        <v>33</v>
      </c>
      <c r="AA52" s="15" t="s">
        <v>39</v>
      </c>
      <c r="AB52" s="54" t="s">
        <v>33</v>
      </c>
      <c r="AC52" s="54" t="s">
        <v>65</v>
      </c>
      <c r="AD52" s="54" t="s">
        <v>2487</v>
      </c>
      <c r="AE52" s="54" t="s">
        <v>3795</v>
      </c>
      <c r="AF52" s="54" t="s">
        <v>288</v>
      </c>
      <c r="AG52" s="49" t="s">
        <v>42</v>
      </c>
      <c r="AH52" s="54" t="s">
        <v>239</v>
      </c>
      <c r="AI52" s="49" t="s">
        <v>39</v>
      </c>
      <c r="AJ52" s="49" t="s">
        <v>39</v>
      </c>
      <c r="AK52" s="54" t="s">
        <v>1225</v>
      </c>
      <c r="AL52" s="54" t="s">
        <v>4673</v>
      </c>
      <c r="AM52" s="54" t="s">
        <v>1225</v>
      </c>
      <c r="AN52" s="54" t="s">
        <v>1225</v>
      </c>
      <c r="AO52" s="54" t="s">
        <v>1225</v>
      </c>
      <c r="AP52" s="54" t="s">
        <v>61</v>
      </c>
      <c r="AQ52" s="49" t="s">
        <v>602</v>
      </c>
      <c r="AR52" s="49" t="s">
        <v>39</v>
      </c>
      <c r="AS52" s="54" t="s">
        <v>39</v>
      </c>
      <c r="AT52" s="65" t="s">
        <v>39</v>
      </c>
      <c r="AU52" s="49" t="s">
        <v>400</v>
      </c>
      <c r="AV52" s="54" t="s">
        <v>885</v>
      </c>
      <c r="AW52" s="54" t="s">
        <v>885</v>
      </c>
      <c r="AX52" s="54" t="s">
        <v>65</v>
      </c>
      <c r="AY52" s="54" t="s">
        <v>138</v>
      </c>
      <c r="AZ52" s="54" t="s">
        <v>1350</v>
      </c>
      <c r="BA52" s="54" t="s">
        <v>1271</v>
      </c>
      <c r="BB52" s="54" t="s">
        <v>39</v>
      </c>
      <c r="BC52" s="54" t="s">
        <v>39</v>
      </c>
      <c r="BD52" s="54" t="s">
        <v>2127</v>
      </c>
      <c r="BE52" s="54" t="s">
        <v>946</v>
      </c>
      <c r="BF52" s="54" t="s">
        <v>946</v>
      </c>
      <c r="BG52" s="54" t="s">
        <v>39</v>
      </c>
    </row>
    <row r="53" spans="1:59" s="55" customFormat="1" ht="11.25" customHeight="1">
      <c r="A53" s="95" t="s">
        <v>688</v>
      </c>
      <c r="B53" s="94"/>
      <c r="C53" s="94"/>
      <c r="D53" s="94"/>
      <c r="E53" s="94" t="s">
        <v>4546</v>
      </c>
      <c r="F53" s="94" t="s">
        <v>4547</v>
      </c>
      <c r="G53" s="91"/>
      <c r="H53" s="94" t="s">
        <v>2040</v>
      </c>
      <c r="I53" s="94"/>
      <c r="J53" s="94" t="s">
        <v>2645</v>
      </c>
      <c r="K53" s="94"/>
      <c r="L53" s="94" t="s">
        <v>1573</v>
      </c>
      <c r="M53" s="94" t="s">
        <v>1039</v>
      </c>
      <c r="N53" s="94"/>
      <c r="O53" s="94" t="s">
        <v>39</v>
      </c>
      <c r="P53" s="94"/>
      <c r="Q53" s="94"/>
      <c r="R53" s="94" t="s">
        <v>39</v>
      </c>
      <c r="S53" s="94"/>
      <c r="T53" s="94"/>
      <c r="U53" s="94"/>
      <c r="V53" s="94" t="s">
        <v>39</v>
      </c>
      <c r="W53" s="94" t="s">
        <v>1860</v>
      </c>
      <c r="X53" s="94" t="s">
        <v>1827</v>
      </c>
      <c r="Y53" s="94" t="s">
        <v>716</v>
      </c>
      <c r="Z53" s="94" t="s">
        <v>1126</v>
      </c>
      <c r="AA53" s="91"/>
      <c r="AB53" s="94"/>
      <c r="AC53" s="94"/>
      <c r="AD53" s="94"/>
      <c r="AE53" s="94" t="s">
        <v>3794</v>
      </c>
      <c r="AF53" s="94"/>
      <c r="AG53" s="91"/>
      <c r="AH53" s="91"/>
      <c r="AI53" s="94"/>
      <c r="AJ53" s="94"/>
      <c r="AK53" s="94" t="s">
        <v>1224</v>
      </c>
      <c r="AL53" s="91"/>
      <c r="AM53" s="94" t="s">
        <v>1224</v>
      </c>
      <c r="AN53" s="94" t="s">
        <v>1224</v>
      </c>
      <c r="AO53" s="94" t="s">
        <v>1224</v>
      </c>
      <c r="AP53" s="94"/>
      <c r="AQ53" s="91"/>
      <c r="AR53" s="94"/>
      <c r="AS53" s="94" t="s">
        <v>39</v>
      </c>
      <c r="AT53" s="91"/>
      <c r="AU53" s="94"/>
      <c r="AV53" s="94" t="s">
        <v>886</v>
      </c>
      <c r="AW53" s="94" t="s">
        <v>886</v>
      </c>
      <c r="AX53" s="94"/>
      <c r="AY53" s="94"/>
      <c r="AZ53" s="94" t="s">
        <v>1351</v>
      </c>
      <c r="BA53" s="94" t="s">
        <v>1270</v>
      </c>
      <c r="BB53" s="91"/>
      <c r="BC53" s="91" t="s">
        <v>39</v>
      </c>
      <c r="BD53" s="94"/>
      <c r="BE53" s="94" t="s">
        <v>947</v>
      </c>
      <c r="BF53" s="94" t="s">
        <v>947</v>
      </c>
      <c r="BG53" s="94"/>
    </row>
    <row r="54" spans="1:59" s="55" customFormat="1" ht="22.5" customHeight="1">
      <c r="A54" s="53" t="s">
        <v>56</v>
      </c>
      <c r="B54" s="69" t="s">
        <v>223</v>
      </c>
      <c r="C54" s="54" t="s">
        <v>39</v>
      </c>
      <c r="D54" s="54" t="s">
        <v>39</v>
      </c>
      <c r="E54" s="54" t="s">
        <v>39</v>
      </c>
      <c r="F54" s="54" t="s">
        <v>39</v>
      </c>
      <c r="G54" s="49" t="s">
        <v>355</v>
      </c>
      <c r="H54" s="54" t="s">
        <v>2034</v>
      </c>
      <c r="I54" s="54" t="s">
        <v>2034</v>
      </c>
      <c r="J54" s="54" t="s">
        <v>2034</v>
      </c>
      <c r="K54" s="49" t="s">
        <v>39</v>
      </c>
      <c r="L54" s="54" t="s">
        <v>39</v>
      </c>
      <c r="M54" s="54" t="s">
        <v>39</v>
      </c>
      <c r="N54" s="54" t="s">
        <v>39</v>
      </c>
      <c r="O54" s="54" t="s">
        <v>39</v>
      </c>
      <c r="P54" s="54" t="s">
        <v>39</v>
      </c>
      <c r="Q54" s="54" t="s">
        <v>39</v>
      </c>
      <c r="R54" s="54" t="s">
        <v>39</v>
      </c>
      <c r="S54" s="49" t="s">
        <v>39</v>
      </c>
      <c r="T54" s="54" t="s">
        <v>39</v>
      </c>
      <c r="U54" s="54" t="s">
        <v>314</v>
      </c>
      <c r="V54" s="54" t="s">
        <v>39</v>
      </c>
      <c r="W54" s="54" t="s">
        <v>39</v>
      </c>
      <c r="X54" s="54" t="s">
        <v>39</v>
      </c>
      <c r="Y54" s="49" t="s">
        <v>717</v>
      </c>
      <c r="Z54" s="49" t="s">
        <v>559</v>
      </c>
      <c r="AA54" s="17" t="s">
        <v>39</v>
      </c>
      <c r="AB54" s="54" t="s">
        <v>45</v>
      </c>
      <c r="AC54" s="54" t="s">
        <v>199</v>
      </c>
      <c r="AD54" s="54" t="s">
        <v>1773</v>
      </c>
      <c r="AE54" s="54" t="s">
        <v>39</v>
      </c>
      <c r="AF54" s="54" t="s">
        <v>39</v>
      </c>
      <c r="AG54" s="54" t="s">
        <v>57</v>
      </c>
      <c r="AH54" s="54" t="s">
        <v>39</v>
      </c>
      <c r="AI54" s="49" t="s">
        <v>39</v>
      </c>
      <c r="AJ54" s="49" t="s">
        <v>39</v>
      </c>
      <c r="AK54" s="54" t="s">
        <v>619</v>
      </c>
      <c r="AL54" s="54" t="s">
        <v>39</v>
      </c>
      <c r="AM54" s="54" t="s">
        <v>619</v>
      </c>
      <c r="AN54" s="54" t="s">
        <v>619</v>
      </c>
      <c r="AO54" s="54" t="s">
        <v>619</v>
      </c>
      <c r="AP54" s="54" t="s">
        <v>39</v>
      </c>
      <c r="AQ54" s="54" t="s">
        <v>39</v>
      </c>
      <c r="AR54" s="49" t="s">
        <v>39</v>
      </c>
      <c r="AS54" s="54" t="s">
        <v>39</v>
      </c>
      <c r="AT54" s="65" t="s">
        <v>39</v>
      </c>
      <c r="AU54" s="49" t="s">
        <v>39</v>
      </c>
      <c r="AV54" s="54" t="s">
        <v>39</v>
      </c>
      <c r="AW54" s="54" t="s">
        <v>39</v>
      </c>
      <c r="AX54" s="54" t="s">
        <v>559</v>
      </c>
      <c r="AY54" s="54" t="s">
        <v>559</v>
      </c>
      <c r="AZ54" s="54" t="s">
        <v>559</v>
      </c>
      <c r="BA54" s="54" t="s">
        <v>559</v>
      </c>
      <c r="BB54" s="54" t="s">
        <v>39</v>
      </c>
      <c r="BC54" s="54" t="s">
        <v>39</v>
      </c>
      <c r="BD54" s="54" t="s">
        <v>39</v>
      </c>
      <c r="BE54" s="54" t="s">
        <v>39</v>
      </c>
      <c r="BF54" s="54" t="s">
        <v>39</v>
      </c>
      <c r="BG54" s="54" t="s">
        <v>39</v>
      </c>
    </row>
    <row r="55" spans="1:59" s="55" customFormat="1" ht="11.25" customHeight="1">
      <c r="A55" s="95" t="s">
        <v>688</v>
      </c>
      <c r="B55" s="94"/>
      <c r="C55" s="94"/>
      <c r="D55" s="94"/>
      <c r="E55" s="94"/>
      <c r="F55" s="94"/>
      <c r="G55" s="91"/>
      <c r="H55" s="94" t="s">
        <v>2033</v>
      </c>
      <c r="I55" s="94"/>
      <c r="J55" s="94" t="s">
        <v>2033</v>
      </c>
      <c r="K55" s="94"/>
      <c r="L55" s="94" t="s">
        <v>39</v>
      </c>
      <c r="M55" s="94" t="s">
        <v>39</v>
      </c>
      <c r="N55" s="94"/>
      <c r="O55" s="94" t="s">
        <v>39</v>
      </c>
      <c r="P55" s="94"/>
      <c r="Q55" s="94"/>
      <c r="R55" s="94" t="s">
        <v>39</v>
      </c>
      <c r="S55" s="94"/>
      <c r="T55" s="94"/>
      <c r="U55" s="94"/>
      <c r="V55" s="94" t="s">
        <v>39</v>
      </c>
      <c r="W55" s="94" t="s">
        <v>39</v>
      </c>
      <c r="X55" s="94" t="s">
        <v>39</v>
      </c>
      <c r="Y55" s="94" t="s">
        <v>718</v>
      </c>
      <c r="Z55" s="94" t="s">
        <v>1085</v>
      </c>
      <c r="AA55" s="91"/>
      <c r="AB55" s="94"/>
      <c r="AC55" s="94"/>
      <c r="AD55" s="94"/>
      <c r="AE55" s="94" t="s">
        <v>39</v>
      </c>
      <c r="AF55" s="94"/>
      <c r="AG55" s="91"/>
      <c r="AH55" s="91"/>
      <c r="AI55" s="94"/>
      <c r="AJ55" s="94"/>
      <c r="AK55" s="94" t="s">
        <v>1221</v>
      </c>
      <c r="AL55" s="91" t="s">
        <v>39</v>
      </c>
      <c r="AM55" s="94" t="s">
        <v>1221</v>
      </c>
      <c r="AN55" s="94" t="s">
        <v>1221</v>
      </c>
      <c r="AO55" s="94" t="s">
        <v>1221</v>
      </c>
      <c r="AP55" s="94"/>
      <c r="AQ55" s="91"/>
      <c r="AR55" s="94"/>
      <c r="AS55" s="94" t="s">
        <v>39</v>
      </c>
      <c r="AT55" s="91"/>
      <c r="AU55" s="94"/>
      <c r="AV55" s="94" t="s">
        <v>39</v>
      </c>
      <c r="AW55" s="94" t="s">
        <v>39</v>
      </c>
      <c r="AX55" s="94"/>
      <c r="AY55" s="94"/>
      <c r="AZ55" s="94" t="s">
        <v>1325</v>
      </c>
      <c r="BA55" s="94" t="s">
        <v>1326</v>
      </c>
      <c r="BB55" s="91"/>
      <c r="BC55" s="91" t="s">
        <v>39</v>
      </c>
      <c r="BD55" s="94"/>
      <c r="BE55" s="94" t="s">
        <v>39</v>
      </c>
      <c r="BF55" s="94" t="s">
        <v>39</v>
      </c>
      <c r="BG55" s="94"/>
    </row>
    <row r="56" spans="1:59" s="55" customFormat="1" ht="22.5" customHeight="1">
      <c r="A56" s="58" t="s">
        <v>60</v>
      </c>
      <c r="B56" s="54" t="s">
        <v>39</v>
      </c>
      <c r="C56" s="54" t="s">
        <v>4446</v>
      </c>
      <c r="D56" s="54" t="s">
        <v>4446</v>
      </c>
      <c r="E56" s="54" t="s">
        <v>4552</v>
      </c>
      <c r="F56" s="54" t="s">
        <v>4552</v>
      </c>
      <c r="G56" s="49" t="s">
        <v>350</v>
      </c>
      <c r="H56" s="54" t="s">
        <v>2101</v>
      </c>
      <c r="I56" s="54" t="s">
        <v>2101</v>
      </c>
      <c r="J56" s="54" t="s">
        <v>2101</v>
      </c>
      <c r="K56" s="49" t="s">
        <v>39</v>
      </c>
      <c r="L56" s="54" t="s">
        <v>39</v>
      </c>
      <c r="M56" s="54" t="s">
        <v>39</v>
      </c>
      <c r="N56" s="54" t="s">
        <v>50</v>
      </c>
      <c r="O56" s="54" t="s">
        <v>39</v>
      </c>
      <c r="P56" s="54" t="s">
        <v>39</v>
      </c>
      <c r="Q56" s="54" t="s">
        <v>39</v>
      </c>
      <c r="R56" s="54" t="s">
        <v>39</v>
      </c>
      <c r="S56" s="54" t="s">
        <v>50</v>
      </c>
      <c r="T56" s="54" t="s">
        <v>39</v>
      </c>
      <c r="U56" s="54" t="s">
        <v>39</v>
      </c>
      <c r="V56" s="54" t="s">
        <v>1833</v>
      </c>
      <c r="W56" s="54" t="s">
        <v>1833</v>
      </c>
      <c r="X56" s="54" t="s">
        <v>1833</v>
      </c>
      <c r="Y56" s="54" t="s">
        <v>719</v>
      </c>
      <c r="Z56" s="54" t="s">
        <v>1086</v>
      </c>
      <c r="AA56" s="15" t="s">
        <v>39</v>
      </c>
      <c r="AB56" s="54" t="s">
        <v>45</v>
      </c>
      <c r="AC56" s="54" t="s">
        <v>470</v>
      </c>
      <c r="AD56" s="54" t="s">
        <v>87</v>
      </c>
      <c r="AE56" s="54" t="s">
        <v>2166</v>
      </c>
      <c r="AF56" s="54" t="s">
        <v>39</v>
      </c>
      <c r="AG56" s="54" t="s">
        <v>46</v>
      </c>
      <c r="AH56" s="54" t="s">
        <v>39</v>
      </c>
      <c r="AI56" s="54" t="s">
        <v>540</v>
      </c>
      <c r="AJ56" s="54" t="s">
        <v>540</v>
      </c>
      <c r="AK56" s="54" t="s">
        <v>1202</v>
      </c>
      <c r="AL56" s="73" t="s">
        <v>39</v>
      </c>
      <c r="AM56" s="54" t="s">
        <v>1234</v>
      </c>
      <c r="AN56" s="54" t="s">
        <v>1202</v>
      </c>
      <c r="AO56" s="54" t="s">
        <v>1234</v>
      </c>
      <c r="AP56" s="54" t="s">
        <v>39</v>
      </c>
      <c r="AQ56" s="49" t="s">
        <v>120</v>
      </c>
      <c r="AR56" s="49" t="s">
        <v>39</v>
      </c>
      <c r="AS56" s="54" t="s">
        <v>39</v>
      </c>
      <c r="AT56" s="65" t="s">
        <v>39</v>
      </c>
      <c r="AU56" s="49" t="s">
        <v>402</v>
      </c>
      <c r="AV56" s="54" t="s">
        <v>870</v>
      </c>
      <c r="AW56" s="54" t="s">
        <v>870</v>
      </c>
      <c r="AX56" s="54" t="s">
        <v>552</v>
      </c>
      <c r="AY56" s="54" t="s">
        <v>552</v>
      </c>
      <c r="AZ56" s="54" t="s">
        <v>1341</v>
      </c>
      <c r="BA56" s="54" t="s">
        <v>1341</v>
      </c>
      <c r="BB56" s="54" t="s">
        <v>50</v>
      </c>
      <c r="BC56" s="54" t="s">
        <v>39</v>
      </c>
      <c r="BD56" s="54" t="s">
        <v>614</v>
      </c>
      <c r="BE56" s="54" t="s">
        <v>39</v>
      </c>
      <c r="BF56" s="54" t="s">
        <v>39</v>
      </c>
      <c r="BG56" s="54" t="s">
        <v>39</v>
      </c>
    </row>
    <row r="57" spans="1:59" s="55" customFormat="1" ht="11.25" customHeight="1">
      <c r="A57" s="95" t="s">
        <v>688</v>
      </c>
      <c r="B57" s="94"/>
      <c r="C57" s="94" t="s">
        <v>4445</v>
      </c>
      <c r="D57" s="94" t="s">
        <v>4445</v>
      </c>
      <c r="E57" s="94" t="s">
        <v>4551</v>
      </c>
      <c r="F57" s="94" t="s">
        <v>4550</v>
      </c>
      <c r="G57" s="91"/>
      <c r="H57" s="94" t="s">
        <v>2032</v>
      </c>
      <c r="I57" s="94"/>
      <c r="J57" s="94" t="s">
        <v>2032</v>
      </c>
      <c r="K57" s="94"/>
      <c r="L57" s="94" t="s">
        <v>39</v>
      </c>
      <c r="M57" s="94" t="s">
        <v>39</v>
      </c>
      <c r="N57" s="94"/>
      <c r="O57" s="94" t="s">
        <v>39</v>
      </c>
      <c r="P57" s="94"/>
      <c r="Q57" s="94"/>
      <c r="R57" s="94" t="s">
        <v>39</v>
      </c>
      <c r="S57" s="94"/>
      <c r="T57" s="94"/>
      <c r="U57" s="94"/>
      <c r="V57" s="94" t="s">
        <v>1796</v>
      </c>
      <c r="W57" s="94" t="s">
        <v>1809</v>
      </c>
      <c r="X57" s="94" t="s">
        <v>1832</v>
      </c>
      <c r="Y57" s="94" t="s">
        <v>720</v>
      </c>
      <c r="Z57" s="94" t="s">
        <v>1085</v>
      </c>
      <c r="AA57" s="91"/>
      <c r="AB57" s="94"/>
      <c r="AC57" s="94"/>
      <c r="AD57" s="94"/>
      <c r="AE57" s="94" t="s">
        <v>3753</v>
      </c>
      <c r="AF57" s="94"/>
      <c r="AG57" s="91"/>
      <c r="AH57" s="91"/>
      <c r="AI57" s="94"/>
      <c r="AJ57" s="94"/>
      <c r="AK57" s="94" t="s">
        <v>1203</v>
      </c>
      <c r="AL57" s="91" t="s">
        <v>39</v>
      </c>
      <c r="AM57" s="94" t="s">
        <v>1233</v>
      </c>
      <c r="AN57" s="94" t="s">
        <v>1203</v>
      </c>
      <c r="AO57" s="94" t="s">
        <v>1233</v>
      </c>
      <c r="AP57" s="94"/>
      <c r="AQ57" s="91"/>
      <c r="AR57" s="94"/>
      <c r="AS57" s="94" t="s">
        <v>39</v>
      </c>
      <c r="AT57" s="91"/>
      <c r="AU57" s="94"/>
      <c r="AV57" s="94" t="s">
        <v>871</v>
      </c>
      <c r="AW57" s="94" t="s">
        <v>871</v>
      </c>
      <c r="AX57" s="94"/>
      <c r="AY57" s="94"/>
      <c r="AZ57" s="94" t="s">
        <v>1340</v>
      </c>
      <c r="BA57" s="94" t="s">
        <v>1340</v>
      </c>
      <c r="BB57" s="91"/>
      <c r="BC57" s="91" t="s">
        <v>39</v>
      </c>
      <c r="BD57" s="94"/>
      <c r="BE57" s="94" t="s">
        <v>39</v>
      </c>
      <c r="BF57" s="94" t="s">
        <v>39</v>
      </c>
      <c r="BG57" s="94"/>
    </row>
    <row r="58" spans="1:59" s="55" customFormat="1" ht="45" customHeight="1">
      <c r="A58" s="53" t="s">
        <v>174</v>
      </c>
      <c r="B58" s="54" t="s">
        <v>589</v>
      </c>
      <c r="C58" s="54" t="s">
        <v>39</v>
      </c>
      <c r="D58" s="54" t="s">
        <v>4447</v>
      </c>
      <c r="E58" s="116" t="s">
        <v>4554</v>
      </c>
      <c r="F58" s="116" t="s">
        <v>4555</v>
      </c>
      <c r="G58" s="49" t="s">
        <v>39</v>
      </c>
      <c r="H58" s="54" t="s">
        <v>39</v>
      </c>
      <c r="I58" s="54" t="s">
        <v>39</v>
      </c>
      <c r="J58" s="54" t="s">
        <v>2644</v>
      </c>
      <c r="K58" s="49" t="s">
        <v>290</v>
      </c>
      <c r="L58" s="54" t="s">
        <v>1546</v>
      </c>
      <c r="M58" s="54" t="s">
        <v>39</v>
      </c>
      <c r="N58" s="54" t="s">
        <v>39</v>
      </c>
      <c r="O58" s="54" t="s">
        <v>39</v>
      </c>
      <c r="P58" s="54" t="s">
        <v>337</v>
      </c>
      <c r="Q58" s="54" t="s">
        <v>666</v>
      </c>
      <c r="R58" s="54" t="s">
        <v>2800</v>
      </c>
      <c r="S58" s="54" t="s">
        <v>506</v>
      </c>
      <c r="T58" s="54" t="s">
        <v>467</v>
      </c>
      <c r="U58" s="54" t="s">
        <v>39</v>
      </c>
      <c r="V58" s="54" t="s">
        <v>1869</v>
      </c>
      <c r="W58" s="54" t="s">
        <v>1857</v>
      </c>
      <c r="X58" s="54" t="s">
        <v>1819</v>
      </c>
      <c r="Y58" s="54" t="s">
        <v>721</v>
      </c>
      <c r="Z58" s="54" t="s">
        <v>39</v>
      </c>
      <c r="AA58" s="17" t="s">
        <v>39</v>
      </c>
      <c r="AB58" s="54" t="s">
        <v>86</v>
      </c>
      <c r="AC58" s="54" t="s">
        <v>39</v>
      </c>
      <c r="AD58" s="54" t="s">
        <v>3309</v>
      </c>
      <c r="AE58" s="54" t="s">
        <v>3755</v>
      </c>
      <c r="AF58" s="54" t="s">
        <v>516</v>
      </c>
      <c r="AG58" s="54" t="s">
        <v>39</v>
      </c>
      <c r="AH58" s="54" t="s">
        <v>39</v>
      </c>
      <c r="AI58" s="49" t="s">
        <v>39</v>
      </c>
      <c r="AJ58" s="49" t="s">
        <v>39</v>
      </c>
      <c r="AK58" s="54" t="s">
        <v>1178</v>
      </c>
      <c r="AL58" s="54" t="s">
        <v>39</v>
      </c>
      <c r="AM58" s="54" t="s">
        <v>1177</v>
      </c>
      <c r="AN58" s="54" t="s">
        <v>2877</v>
      </c>
      <c r="AO58" s="54" t="s">
        <v>2878</v>
      </c>
      <c r="AP58" s="54" t="s">
        <v>543</v>
      </c>
      <c r="AQ58" s="54" t="s">
        <v>609</v>
      </c>
      <c r="AR58" s="49" t="s">
        <v>39</v>
      </c>
      <c r="AS58" s="54" t="s">
        <v>1745</v>
      </c>
      <c r="AT58" s="73" t="s">
        <v>39</v>
      </c>
      <c r="AU58" s="69" t="s">
        <v>411</v>
      </c>
      <c r="AV58" s="54" t="s">
        <v>873</v>
      </c>
      <c r="AW58" s="54" t="s">
        <v>873</v>
      </c>
      <c r="AX58" s="54" t="s">
        <v>39</v>
      </c>
      <c r="AY58" s="54" t="s">
        <v>218</v>
      </c>
      <c r="AZ58" s="54" t="s">
        <v>39</v>
      </c>
      <c r="BA58" s="54" t="s">
        <v>218</v>
      </c>
      <c r="BB58" s="54" t="s">
        <v>576</v>
      </c>
      <c r="BC58" s="54" t="s">
        <v>3082</v>
      </c>
      <c r="BD58" s="54" t="s">
        <v>590</v>
      </c>
      <c r="BE58" s="54" t="s">
        <v>957</v>
      </c>
      <c r="BF58" s="54" t="s">
        <v>957</v>
      </c>
      <c r="BG58" s="54" t="s">
        <v>431</v>
      </c>
    </row>
    <row r="59" spans="1:59" s="55" customFormat="1" ht="11.25" customHeight="1">
      <c r="A59" s="95" t="s">
        <v>688</v>
      </c>
      <c r="B59" s="94"/>
      <c r="C59" s="94"/>
      <c r="D59" s="94" t="s">
        <v>4427</v>
      </c>
      <c r="E59" s="94" t="s">
        <v>4553</v>
      </c>
      <c r="F59" s="94" t="s">
        <v>4556</v>
      </c>
      <c r="G59" s="91"/>
      <c r="H59" s="94" t="s">
        <v>39</v>
      </c>
      <c r="I59" s="94"/>
      <c r="J59" s="94" t="s">
        <v>2643</v>
      </c>
      <c r="K59" s="94"/>
      <c r="L59" s="94" t="s">
        <v>1544</v>
      </c>
      <c r="M59" s="94" t="s">
        <v>39</v>
      </c>
      <c r="N59" s="94"/>
      <c r="O59" s="94" t="s">
        <v>39</v>
      </c>
      <c r="P59" s="94"/>
      <c r="Q59" s="94"/>
      <c r="R59" s="94" t="s">
        <v>2799</v>
      </c>
      <c r="S59" s="94"/>
      <c r="T59" s="94"/>
      <c r="U59" s="94"/>
      <c r="V59" s="94" t="s">
        <v>1836</v>
      </c>
      <c r="W59" s="94" t="s">
        <v>1856</v>
      </c>
      <c r="X59" s="94" t="s">
        <v>1818</v>
      </c>
      <c r="Y59" s="94" t="s">
        <v>722</v>
      </c>
      <c r="Z59" s="94" t="s">
        <v>39</v>
      </c>
      <c r="AA59" s="91"/>
      <c r="AB59" s="94"/>
      <c r="AC59" s="94"/>
      <c r="AD59" s="94"/>
      <c r="AE59" s="94" t="s">
        <v>3754</v>
      </c>
      <c r="AF59" s="94"/>
      <c r="AG59" s="91"/>
      <c r="AH59" s="91"/>
      <c r="AI59" s="94"/>
      <c r="AJ59" s="94"/>
      <c r="AK59" s="94" t="s">
        <v>1175</v>
      </c>
      <c r="AL59" s="91" t="s">
        <v>39</v>
      </c>
      <c r="AM59" s="94" t="s">
        <v>1176</v>
      </c>
      <c r="AN59" s="94" t="s">
        <v>1175</v>
      </c>
      <c r="AO59" s="94" t="s">
        <v>1176</v>
      </c>
      <c r="AP59" s="94"/>
      <c r="AQ59" s="91"/>
      <c r="AR59" s="94"/>
      <c r="AS59" s="94" t="s">
        <v>1729</v>
      </c>
      <c r="AT59" s="91"/>
      <c r="AU59" s="94"/>
      <c r="AV59" s="94" t="s">
        <v>872</v>
      </c>
      <c r="AW59" s="94" t="s">
        <v>872</v>
      </c>
      <c r="AX59" s="94"/>
      <c r="AY59" s="94"/>
      <c r="AZ59" s="94" t="s">
        <v>39</v>
      </c>
      <c r="BA59" s="94" t="s">
        <v>1323</v>
      </c>
      <c r="BB59" s="91"/>
      <c r="BC59" s="91" t="s">
        <v>3080</v>
      </c>
      <c r="BD59" s="94"/>
      <c r="BE59" s="94" t="s">
        <v>952</v>
      </c>
      <c r="BF59" s="94" t="s">
        <v>952</v>
      </c>
      <c r="BG59" s="94"/>
    </row>
    <row r="60" spans="1:59" s="55" customFormat="1" ht="22.5" customHeight="1">
      <c r="A60" s="58" t="s">
        <v>75</v>
      </c>
      <c r="B60" s="54" t="s">
        <v>499</v>
      </c>
      <c r="C60" s="54" t="s">
        <v>4462</v>
      </c>
      <c r="D60" s="54" t="s">
        <v>4462</v>
      </c>
      <c r="E60" s="54" t="s">
        <v>39</v>
      </c>
      <c r="F60" s="54" t="s">
        <v>39</v>
      </c>
      <c r="G60" s="69" t="s">
        <v>39</v>
      </c>
      <c r="H60" s="54" t="s">
        <v>2073</v>
      </c>
      <c r="I60" s="54" t="s">
        <v>2073</v>
      </c>
      <c r="J60" s="54" t="s">
        <v>2632</v>
      </c>
      <c r="K60" s="49" t="s">
        <v>291</v>
      </c>
      <c r="L60" s="54" t="s">
        <v>291</v>
      </c>
      <c r="M60" s="54" t="s">
        <v>39</v>
      </c>
      <c r="N60" s="54" t="s">
        <v>41</v>
      </c>
      <c r="O60" s="54" t="s">
        <v>39</v>
      </c>
      <c r="P60" s="54" t="s">
        <v>39</v>
      </c>
      <c r="Q60" s="54" t="s">
        <v>39</v>
      </c>
      <c r="R60" s="54" t="s">
        <v>39</v>
      </c>
      <c r="S60" s="54" t="s">
        <v>50</v>
      </c>
      <c r="T60" s="54" t="s">
        <v>1758</v>
      </c>
      <c r="U60" s="54" t="s">
        <v>41</v>
      </c>
      <c r="V60" s="54" t="s">
        <v>1871</v>
      </c>
      <c r="W60" s="54" t="s">
        <v>1871</v>
      </c>
      <c r="X60" s="54" t="s">
        <v>1871</v>
      </c>
      <c r="Y60" s="54" t="s">
        <v>41</v>
      </c>
      <c r="Z60" s="54" t="s">
        <v>41</v>
      </c>
      <c r="AA60" s="15" t="s">
        <v>41</v>
      </c>
      <c r="AB60" s="54" t="s">
        <v>41</v>
      </c>
      <c r="AC60" s="54" t="s">
        <v>41</v>
      </c>
      <c r="AD60" s="54" t="s">
        <v>41</v>
      </c>
      <c r="AE60" s="54" t="s">
        <v>3797</v>
      </c>
      <c r="AF60" s="54" t="s">
        <v>41</v>
      </c>
      <c r="AG60" s="54" t="s">
        <v>39</v>
      </c>
      <c r="AH60" s="54" t="s">
        <v>39</v>
      </c>
      <c r="AI60" s="54" t="s">
        <v>41</v>
      </c>
      <c r="AJ60" s="54" t="s">
        <v>41</v>
      </c>
      <c r="AK60" s="54" t="s">
        <v>39</v>
      </c>
      <c r="AL60" s="73" t="s">
        <v>39</v>
      </c>
      <c r="AM60" s="54" t="s">
        <v>39</v>
      </c>
      <c r="AN60" s="54" t="s">
        <v>39</v>
      </c>
      <c r="AO60" s="54" t="s">
        <v>39</v>
      </c>
      <c r="AP60" s="54" t="s">
        <v>546</v>
      </c>
      <c r="AQ60" s="54" t="s">
        <v>612</v>
      </c>
      <c r="AR60" s="69" t="s">
        <v>39</v>
      </c>
      <c r="AS60" s="54" t="s">
        <v>41</v>
      </c>
      <c r="AT60" s="54" t="s">
        <v>466</v>
      </c>
      <c r="AU60" s="69" t="s">
        <v>50</v>
      </c>
      <c r="AV60" s="54" t="s">
        <v>41</v>
      </c>
      <c r="AW60" s="54" t="s">
        <v>41</v>
      </c>
      <c r="AX60" s="54" t="s">
        <v>41</v>
      </c>
      <c r="AY60" s="54" t="s">
        <v>41</v>
      </c>
      <c r="AZ60" s="54" t="s">
        <v>41</v>
      </c>
      <c r="BA60" s="54" t="s">
        <v>41</v>
      </c>
      <c r="BB60" s="54" t="s">
        <v>582</v>
      </c>
      <c r="BC60" s="54" t="s">
        <v>39</v>
      </c>
      <c r="BD60" s="54" t="s">
        <v>41</v>
      </c>
      <c r="BE60" s="54" t="s">
        <v>956</v>
      </c>
      <c r="BF60" s="54" t="s">
        <v>956</v>
      </c>
      <c r="BG60" s="54" t="s">
        <v>39</v>
      </c>
    </row>
    <row r="61" spans="1:59" s="55" customFormat="1" ht="11.25" customHeight="1">
      <c r="A61" s="95" t="s">
        <v>688</v>
      </c>
      <c r="B61" s="94"/>
      <c r="C61" s="94"/>
      <c r="D61" s="94"/>
      <c r="E61" s="94"/>
      <c r="F61" s="94"/>
      <c r="G61" s="91"/>
      <c r="H61" s="94" t="s">
        <v>2063</v>
      </c>
      <c r="I61" s="94"/>
      <c r="J61" s="94" t="s">
        <v>2662</v>
      </c>
      <c r="K61" s="94"/>
      <c r="L61" s="94" t="s">
        <v>1561</v>
      </c>
      <c r="M61" s="94" t="s">
        <v>39</v>
      </c>
      <c r="N61" s="94"/>
      <c r="O61" s="94" t="s">
        <v>39</v>
      </c>
      <c r="P61" s="94"/>
      <c r="Q61" s="94"/>
      <c r="R61" s="94" t="s">
        <v>39</v>
      </c>
      <c r="S61" s="94"/>
      <c r="T61" s="94"/>
      <c r="U61" s="94"/>
      <c r="V61" s="94" t="s">
        <v>1872</v>
      </c>
      <c r="W61" s="94" t="s">
        <v>1872</v>
      </c>
      <c r="X61" s="94" t="s">
        <v>1872</v>
      </c>
      <c r="Y61" s="94" t="s">
        <v>723</v>
      </c>
      <c r="Z61" s="94" t="s">
        <v>1111</v>
      </c>
      <c r="AA61" s="91"/>
      <c r="AB61" s="94"/>
      <c r="AC61" s="94"/>
      <c r="AD61" s="94"/>
      <c r="AE61" s="94" t="s">
        <v>3796</v>
      </c>
      <c r="AF61" s="94"/>
      <c r="AG61" s="91"/>
      <c r="AH61" s="91"/>
      <c r="AI61" s="94"/>
      <c r="AJ61" s="94"/>
      <c r="AK61" s="94" t="s">
        <v>39</v>
      </c>
      <c r="AL61" s="91" t="s">
        <v>39</v>
      </c>
      <c r="AM61" s="94" t="s">
        <v>39</v>
      </c>
      <c r="AN61" s="94" t="s">
        <v>39</v>
      </c>
      <c r="AO61" s="94" t="s">
        <v>39</v>
      </c>
      <c r="AP61" s="94"/>
      <c r="AQ61" s="91"/>
      <c r="AR61" s="94"/>
      <c r="AS61" s="94" t="s">
        <v>1748</v>
      </c>
      <c r="AT61" s="91"/>
      <c r="AU61" s="94"/>
      <c r="AV61" s="94" t="s">
        <v>890</v>
      </c>
      <c r="AW61" s="94" t="s">
        <v>890</v>
      </c>
      <c r="AX61" s="94"/>
      <c r="AY61" s="94"/>
      <c r="AZ61" s="94" t="s">
        <v>1265</v>
      </c>
      <c r="BA61" s="94" t="s">
        <v>1265</v>
      </c>
      <c r="BB61" s="91"/>
      <c r="BC61" s="91" t="s">
        <v>39</v>
      </c>
      <c r="BD61" s="94"/>
      <c r="BE61" s="94" t="s">
        <v>954</v>
      </c>
      <c r="BF61" s="94" t="s">
        <v>954</v>
      </c>
      <c r="BG61" s="94"/>
    </row>
    <row r="62" spans="1:59" s="55" customFormat="1" ht="22.5" customHeight="1">
      <c r="A62" s="53" t="s">
        <v>51</v>
      </c>
      <c r="B62" s="54" t="s">
        <v>4462</v>
      </c>
      <c r="C62" s="54" t="s">
        <v>4462</v>
      </c>
      <c r="D62" s="54" t="s">
        <v>4462</v>
      </c>
      <c r="E62" s="54" t="s">
        <v>39</v>
      </c>
      <c r="F62" s="54" t="s">
        <v>4557</v>
      </c>
      <c r="G62" s="49" t="s">
        <v>356</v>
      </c>
      <c r="H62" s="54" t="s">
        <v>39</v>
      </c>
      <c r="I62" s="54" t="s">
        <v>324</v>
      </c>
      <c r="J62" s="54" t="s">
        <v>324</v>
      </c>
      <c r="K62" s="49" t="s">
        <v>291</v>
      </c>
      <c r="L62" s="54" t="s">
        <v>1571</v>
      </c>
      <c r="M62" s="54" t="s">
        <v>39</v>
      </c>
      <c r="N62" s="54" t="s">
        <v>492</v>
      </c>
      <c r="O62" s="54" t="s">
        <v>39</v>
      </c>
      <c r="P62" s="54" t="s">
        <v>39</v>
      </c>
      <c r="Q62" s="54" t="s">
        <v>39</v>
      </c>
      <c r="R62" s="54" t="s">
        <v>39</v>
      </c>
      <c r="S62" s="54" t="s">
        <v>514</v>
      </c>
      <c r="T62" s="54" t="s">
        <v>1750</v>
      </c>
      <c r="U62" s="54" t="s">
        <v>310</v>
      </c>
      <c r="V62" s="54" t="s">
        <v>39</v>
      </c>
      <c r="W62" s="54" t="s">
        <v>39</v>
      </c>
      <c r="X62" s="54" t="s">
        <v>1826</v>
      </c>
      <c r="Y62" s="54" t="s">
        <v>724</v>
      </c>
      <c r="Z62" s="54" t="s">
        <v>1102</v>
      </c>
      <c r="AA62" s="15" t="s">
        <v>50</v>
      </c>
      <c r="AB62" s="54" t="s">
        <v>50</v>
      </c>
      <c r="AC62" s="54" t="s">
        <v>476</v>
      </c>
      <c r="AD62" s="54" t="s">
        <v>477</v>
      </c>
      <c r="AE62" s="54" t="s">
        <v>3786</v>
      </c>
      <c r="AF62" s="54" t="s">
        <v>522</v>
      </c>
      <c r="AG62" s="54" t="s">
        <v>39</v>
      </c>
      <c r="AH62" s="54" t="s">
        <v>39</v>
      </c>
      <c r="AI62" s="54" t="s">
        <v>39</v>
      </c>
      <c r="AJ62" s="54" t="s">
        <v>539</v>
      </c>
      <c r="AK62" s="54" t="s">
        <v>39</v>
      </c>
      <c r="AL62" s="54" t="s">
        <v>4673</v>
      </c>
      <c r="AM62" s="54" t="s">
        <v>39</v>
      </c>
      <c r="AN62" s="54" t="s">
        <v>39</v>
      </c>
      <c r="AO62" s="54" t="s">
        <v>39</v>
      </c>
      <c r="AP62" s="54" t="s">
        <v>545</v>
      </c>
      <c r="AQ62" s="54" t="s">
        <v>599</v>
      </c>
      <c r="AR62" s="49" t="s">
        <v>39</v>
      </c>
      <c r="AS62" s="54" t="s">
        <v>39</v>
      </c>
      <c r="AT62" s="73" t="s">
        <v>39</v>
      </c>
      <c r="AU62" s="54" t="s">
        <v>417</v>
      </c>
      <c r="AV62" s="54" t="s">
        <v>896</v>
      </c>
      <c r="AW62" s="54" t="s">
        <v>896</v>
      </c>
      <c r="AX62" s="54" t="s">
        <v>554</v>
      </c>
      <c r="AY62" s="54" t="s">
        <v>553</v>
      </c>
      <c r="AZ62" s="54" t="s">
        <v>1358</v>
      </c>
      <c r="BA62" s="54" t="s">
        <v>1304</v>
      </c>
      <c r="BB62" s="54" t="s">
        <v>583</v>
      </c>
      <c r="BC62" s="54" t="s">
        <v>39</v>
      </c>
      <c r="BD62" s="54" t="s">
        <v>586</v>
      </c>
      <c r="BE62" s="54" t="s">
        <v>953</v>
      </c>
      <c r="BF62" s="54" t="s">
        <v>953</v>
      </c>
      <c r="BG62" s="54" t="s">
        <v>447</v>
      </c>
    </row>
    <row r="63" spans="1:59" s="55" customFormat="1" ht="11.25" customHeight="1">
      <c r="A63" s="95" t="s">
        <v>688</v>
      </c>
      <c r="B63" s="94"/>
      <c r="C63" s="94"/>
      <c r="D63" s="94"/>
      <c r="E63" s="94"/>
      <c r="F63" s="94" t="s">
        <v>4558</v>
      </c>
      <c r="G63" s="91"/>
      <c r="H63" s="94" t="s">
        <v>39</v>
      </c>
      <c r="I63" s="94"/>
      <c r="J63" s="94" t="s">
        <v>2646</v>
      </c>
      <c r="K63" s="94"/>
      <c r="L63" s="94" t="s">
        <v>1572</v>
      </c>
      <c r="M63" s="94" t="s">
        <v>39</v>
      </c>
      <c r="N63" s="94"/>
      <c r="O63" s="94" t="s">
        <v>39</v>
      </c>
      <c r="P63" s="94"/>
      <c r="Q63" s="94"/>
      <c r="R63" s="94" t="s">
        <v>39</v>
      </c>
      <c r="S63" s="94"/>
      <c r="T63" s="94"/>
      <c r="U63" s="94"/>
      <c r="V63" s="94" t="s">
        <v>39</v>
      </c>
      <c r="W63" s="94" t="s">
        <v>39</v>
      </c>
      <c r="X63" s="94" t="s">
        <v>1825</v>
      </c>
      <c r="Y63" s="94" t="s">
        <v>725</v>
      </c>
      <c r="Z63" s="94" t="s">
        <v>1101</v>
      </c>
      <c r="AA63" s="91"/>
      <c r="AB63" s="94"/>
      <c r="AC63" s="94"/>
      <c r="AD63" s="94"/>
      <c r="AE63" s="94" t="s">
        <v>3785</v>
      </c>
      <c r="AF63" s="94"/>
      <c r="AG63" s="91"/>
      <c r="AH63" s="91"/>
      <c r="AI63" s="94"/>
      <c r="AJ63" s="94"/>
      <c r="AK63" s="94" t="s">
        <v>39</v>
      </c>
      <c r="AL63" s="91"/>
      <c r="AM63" s="94" t="s">
        <v>39</v>
      </c>
      <c r="AN63" s="94" t="s">
        <v>39</v>
      </c>
      <c r="AO63" s="94" t="s">
        <v>39</v>
      </c>
      <c r="AP63" s="94"/>
      <c r="AQ63" s="91"/>
      <c r="AR63" s="94"/>
      <c r="AS63" s="94" t="s">
        <v>39</v>
      </c>
      <c r="AT63" s="91"/>
      <c r="AU63" s="94"/>
      <c r="AV63" s="94" t="s">
        <v>898</v>
      </c>
      <c r="AW63" s="94" t="s">
        <v>898</v>
      </c>
      <c r="AX63" s="94"/>
      <c r="AY63" s="94"/>
      <c r="AZ63" s="94" t="s">
        <v>1285</v>
      </c>
      <c r="BA63" s="94" t="s">
        <v>1285</v>
      </c>
      <c r="BB63" s="91"/>
      <c r="BC63" s="91" t="s">
        <v>39</v>
      </c>
      <c r="BD63" s="94"/>
      <c r="BE63" s="94" t="s">
        <v>955</v>
      </c>
      <c r="BF63" s="94" t="s">
        <v>955</v>
      </c>
      <c r="BG63" s="94"/>
    </row>
    <row r="64" spans="1:59" s="55" customFormat="1" ht="22.5" customHeight="1">
      <c r="A64" s="53" t="s">
        <v>139</v>
      </c>
      <c r="B64" s="54" t="s">
        <v>39</v>
      </c>
      <c r="C64" s="54" t="s">
        <v>39</v>
      </c>
      <c r="D64" s="54" t="s">
        <v>4463</v>
      </c>
      <c r="E64" s="54" t="s">
        <v>4562</v>
      </c>
      <c r="F64" s="54" t="s">
        <v>4559</v>
      </c>
      <c r="G64" s="69" t="s">
        <v>39</v>
      </c>
      <c r="H64" s="54" t="s">
        <v>2098</v>
      </c>
      <c r="I64" s="54" t="s">
        <v>2098</v>
      </c>
      <c r="J64" s="54" t="s">
        <v>2667</v>
      </c>
      <c r="K64" s="49" t="s">
        <v>50</v>
      </c>
      <c r="L64" s="54" t="s">
        <v>50</v>
      </c>
      <c r="M64" s="54" t="s">
        <v>1042</v>
      </c>
      <c r="N64" s="54" t="s">
        <v>39</v>
      </c>
      <c r="O64" s="54" t="s">
        <v>39</v>
      </c>
      <c r="P64" s="54" t="s">
        <v>333</v>
      </c>
      <c r="Q64" s="54" t="s">
        <v>648</v>
      </c>
      <c r="R64" s="54" t="s">
        <v>2810</v>
      </c>
      <c r="S64" s="54" t="s">
        <v>510</v>
      </c>
      <c r="T64" s="54" t="s">
        <v>1756</v>
      </c>
      <c r="U64" s="54" t="s">
        <v>318</v>
      </c>
      <c r="V64" s="54" t="s">
        <v>39</v>
      </c>
      <c r="W64" s="54" t="s">
        <v>39</v>
      </c>
      <c r="X64" s="54" t="s">
        <v>39</v>
      </c>
      <c r="Y64" s="69" t="s">
        <v>726</v>
      </c>
      <c r="Z64" s="54" t="s">
        <v>1104</v>
      </c>
      <c r="AA64" s="15" t="s">
        <v>50</v>
      </c>
      <c r="AB64" s="54" t="s">
        <v>50</v>
      </c>
      <c r="AC64" s="54" t="s">
        <v>39</v>
      </c>
      <c r="AD64" s="54" t="s">
        <v>39</v>
      </c>
      <c r="AE64" s="54" t="s">
        <v>39</v>
      </c>
      <c r="AF64" s="54" t="s">
        <v>39</v>
      </c>
      <c r="AG64" s="54" t="s">
        <v>39</v>
      </c>
      <c r="AH64" s="54" t="s">
        <v>39</v>
      </c>
      <c r="AI64" s="49" t="s">
        <v>39</v>
      </c>
      <c r="AJ64" s="49" t="s">
        <v>39</v>
      </c>
      <c r="AK64" s="54" t="s">
        <v>39</v>
      </c>
      <c r="AL64" s="54" t="s">
        <v>39</v>
      </c>
      <c r="AM64" s="54" t="s">
        <v>39</v>
      </c>
      <c r="AN64" s="54" t="s">
        <v>39</v>
      </c>
      <c r="AO64" s="54" t="s">
        <v>39</v>
      </c>
      <c r="AP64" s="54" t="s">
        <v>547</v>
      </c>
      <c r="AQ64" s="54" t="s">
        <v>605</v>
      </c>
      <c r="AR64" s="49" t="s">
        <v>39</v>
      </c>
      <c r="AS64" s="54" t="s">
        <v>39</v>
      </c>
      <c r="AT64" s="73" t="s">
        <v>39</v>
      </c>
      <c r="AU64" s="75" t="s">
        <v>413</v>
      </c>
      <c r="AV64" s="75" t="s">
        <v>865</v>
      </c>
      <c r="AW64" s="75" t="s">
        <v>865</v>
      </c>
      <c r="AX64" s="75" t="s">
        <v>208</v>
      </c>
      <c r="AY64" s="54" t="s">
        <v>209</v>
      </c>
      <c r="AZ64" s="54" t="s">
        <v>1360</v>
      </c>
      <c r="BA64" s="54" t="s">
        <v>1289</v>
      </c>
      <c r="BB64" s="54" t="s">
        <v>39</v>
      </c>
      <c r="BC64" s="54" t="s">
        <v>39</v>
      </c>
      <c r="BD64" s="54" t="s">
        <v>615</v>
      </c>
      <c r="BE64" s="54" t="s">
        <v>39</v>
      </c>
      <c r="BF64" s="54" t="s">
        <v>39</v>
      </c>
      <c r="BG64" s="75">
        <v>1000</v>
      </c>
    </row>
    <row r="65" spans="1:59" s="55" customFormat="1" ht="11.25" customHeight="1">
      <c r="A65" s="95" t="s">
        <v>688</v>
      </c>
      <c r="B65" s="94"/>
      <c r="C65" s="94"/>
      <c r="D65" s="94"/>
      <c r="E65" s="94" t="s">
        <v>4561</v>
      </c>
      <c r="F65" s="94" t="s">
        <v>4560</v>
      </c>
      <c r="G65" s="91"/>
      <c r="H65" s="94" t="s">
        <v>2097</v>
      </c>
      <c r="I65" s="94"/>
      <c r="J65" s="94" t="s">
        <v>2666</v>
      </c>
      <c r="K65" s="94"/>
      <c r="L65" s="94" t="s">
        <v>1562</v>
      </c>
      <c r="M65" s="94" t="s">
        <v>1041</v>
      </c>
      <c r="N65" s="94"/>
      <c r="O65" s="94" t="s">
        <v>39</v>
      </c>
      <c r="P65" s="94"/>
      <c r="Q65" s="94"/>
      <c r="R65" s="94" t="s">
        <v>2809</v>
      </c>
      <c r="S65" s="94"/>
      <c r="T65" s="94"/>
      <c r="U65" s="94"/>
      <c r="V65" s="94" t="s">
        <v>39</v>
      </c>
      <c r="W65" s="94" t="s">
        <v>39</v>
      </c>
      <c r="X65" s="94" t="s">
        <v>39</v>
      </c>
      <c r="Y65" s="94" t="s">
        <v>727</v>
      </c>
      <c r="Z65" s="94" t="s">
        <v>1103</v>
      </c>
      <c r="AA65" s="91"/>
      <c r="AB65" s="94"/>
      <c r="AC65" s="94"/>
      <c r="AD65" s="94"/>
      <c r="AE65" s="94" t="s">
        <v>39</v>
      </c>
      <c r="AF65" s="94"/>
      <c r="AG65" s="91"/>
      <c r="AH65" s="91"/>
      <c r="AI65" s="94"/>
      <c r="AJ65" s="94"/>
      <c r="AK65" s="94" t="s">
        <v>39</v>
      </c>
      <c r="AL65" s="91" t="s">
        <v>39</v>
      </c>
      <c r="AM65" s="94" t="s">
        <v>39</v>
      </c>
      <c r="AN65" s="94" t="s">
        <v>39</v>
      </c>
      <c r="AO65" s="94" t="s">
        <v>39</v>
      </c>
      <c r="AP65" s="94"/>
      <c r="AQ65" s="91"/>
      <c r="AR65" s="94"/>
      <c r="AS65" s="94" t="s">
        <v>39</v>
      </c>
      <c r="AT65" s="91"/>
      <c r="AU65" s="94"/>
      <c r="AV65" s="94" t="s">
        <v>866</v>
      </c>
      <c r="AW65" s="94" t="s">
        <v>866</v>
      </c>
      <c r="AX65" s="94"/>
      <c r="AY65" s="94"/>
      <c r="AZ65" s="94" t="s">
        <v>1359</v>
      </c>
      <c r="BA65" s="94" t="s">
        <v>1288</v>
      </c>
      <c r="BB65" s="91"/>
      <c r="BC65" s="91" t="s">
        <v>39</v>
      </c>
      <c r="BD65" s="94"/>
      <c r="BE65" s="94" t="s">
        <v>39</v>
      </c>
      <c r="BF65" s="94" t="s">
        <v>39</v>
      </c>
      <c r="BG65" s="94"/>
    </row>
    <row r="66" spans="1:59" s="55" customFormat="1" ht="15" customHeight="1">
      <c r="A66" s="59"/>
      <c r="B66" s="59"/>
      <c r="C66" s="59"/>
      <c r="D66" s="59"/>
      <c r="E66" s="60"/>
      <c r="F66" s="60"/>
      <c r="G66" s="60"/>
      <c r="H66" s="8"/>
      <c r="I66" s="8"/>
      <c r="J66" s="8"/>
      <c r="K66" s="60"/>
      <c r="L66" s="60"/>
      <c r="M66" s="59"/>
      <c r="N66" s="8"/>
      <c r="O66" s="8"/>
      <c r="P66" s="60"/>
      <c r="Q66" s="8"/>
      <c r="R66" s="8"/>
      <c r="S66" s="8"/>
      <c r="T66" s="8"/>
      <c r="U66" s="60"/>
      <c r="V66" s="59"/>
      <c r="W66" s="59"/>
      <c r="X66" s="59"/>
      <c r="Y66" s="59"/>
      <c r="Z66" s="59"/>
      <c r="AA66" s="9"/>
      <c r="AB66" s="122"/>
      <c r="AC66" s="9"/>
      <c r="AD66" s="122"/>
      <c r="AE66" s="9"/>
      <c r="AF66" s="9"/>
      <c r="AG66" s="9"/>
      <c r="AH66" s="9"/>
      <c r="AI66" s="9"/>
      <c r="AJ66" s="9"/>
      <c r="AK66" s="10"/>
      <c r="AL66" s="129"/>
      <c r="AM66" s="10"/>
      <c r="AN66" s="10"/>
      <c r="AO66" s="10"/>
      <c r="AP66" s="10"/>
      <c r="AQ66" s="10"/>
      <c r="AR66" s="60"/>
      <c r="AS66" s="60"/>
      <c r="AU66" s="60"/>
      <c r="AV66" s="60"/>
      <c r="AW66" s="60"/>
      <c r="AX66" s="9"/>
      <c r="AY66" s="9"/>
      <c r="AZ66" s="9"/>
      <c r="BA66" s="9"/>
      <c r="BB66" s="9"/>
      <c r="BC66" s="9"/>
      <c r="BD66" s="122"/>
      <c r="BE66" s="9"/>
      <c r="BF66" s="9"/>
      <c r="BG66" s="60"/>
    </row>
    <row r="67" spans="1:59" s="55" customFormat="1" ht="22.5" customHeight="1">
      <c r="A67" s="61" t="s">
        <v>97</v>
      </c>
      <c r="B67" s="62" t="str">
        <f>B1</f>
        <v>Allianz Unfall Aktiv</v>
      </c>
      <c r="C67" s="51" t="s">
        <v>4413</v>
      </c>
      <c r="D67" s="51" t="s">
        <v>4414</v>
      </c>
      <c r="E67" s="62" t="str">
        <f>E1</f>
        <v>Ammerländer Comfort</v>
      </c>
      <c r="F67" s="62" t="str">
        <f>F1</f>
        <v>Ammerländer Exclusiv</v>
      </c>
      <c r="G67" s="62" t="str">
        <f t="shared" ref="G67:BD67" si="1">G1</f>
        <v>AXA ohne Beitragsrückgew.
(Stand 04-2010)</v>
      </c>
      <c r="H67" s="7" t="str">
        <f>H1</f>
        <v>Baden Badener Top 2008
(Stand 11-2007)</v>
      </c>
      <c r="I67" s="7" t="str">
        <f>I1</f>
        <v>Baden Badener Top 2011
(Stand 03-2012)</v>
      </c>
      <c r="J67" s="7" t="str">
        <f>J1</f>
        <v>Baden Badener Top 2012
(Stand 03-2013)</v>
      </c>
      <c r="K67" s="62" t="str">
        <f t="shared" si="1"/>
        <v>Basler Ambiente Top
(Stand 01-2009)</v>
      </c>
      <c r="L67" s="7" t="str">
        <f t="shared" si="1"/>
        <v>Basler Ambiente Top
(Stand 04-2011)</v>
      </c>
      <c r="M67" s="62" t="str">
        <f>M1</f>
        <v>Chubb (Gruppenunfall)</v>
      </c>
      <c r="N67" s="7" t="str">
        <f t="shared" si="1"/>
        <v>Condor Comfort
(Stand 01-2009)</v>
      </c>
      <c r="O67" s="7" t="str">
        <f t="shared" si="1"/>
        <v>Debeka
(Stand 01-2008)</v>
      </c>
      <c r="P67" s="7" t="str">
        <f>P1</f>
        <v>Dt. Ring up-unfallprotect max (Stand 10-2010)</v>
      </c>
      <c r="Q67" s="7" t="str">
        <f t="shared" si="1"/>
        <v>DEVK Komplett
(Stand 05-2011)</v>
      </c>
      <c r="R67" s="7" t="str">
        <f t="shared" si="1"/>
        <v>DEVK Komplett
(Stand 12-2012)</v>
      </c>
      <c r="S67" s="7" t="str">
        <f t="shared" si="1"/>
        <v>ERGO Unfall life
(Stand 04-2010)</v>
      </c>
      <c r="T67" s="7" t="str">
        <f t="shared" si="1"/>
        <v>Generali Komfort Plus
(Stand 10-2012)</v>
      </c>
      <c r="U67" s="7" t="str">
        <f t="shared" si="1"/>
        <v>Gothaer Unfall Top 2010 Plus (01-2013)</v>
      </c>
      <c r="V67" s="62" t="str">
        <f>V1</f>
        <v>Grundeigentümer (Regulär)
Pro Domo Basis (10-2009)</v>
      </c>
      <c r="W67" s="62" t="str">
        <f>W1</f>
        <v>Grundeigentümer (Regulär)
Pro Domo Komfort (10-2009)</v>
      </c>
      <c r="X67" s="62" t="str">
        <f>X1</f>
        <v>Grundeigentümer (Regulär)
Pro Domo Premium (02-2010)</v>
      </c>
      <c r="Y67" s="62" t="str">
        <f>Y1</f>
        <v>HKD Vollschutz
(Stand 01-2012)</v>
      </c>
      <c r="Z67" s="62" t="str">
        <f>Z1</f>
        <v>Interlloyd Eurosecure 2005</v>
      </c>
      <c r="AA67" s="7" t="str">
        <f t="shared" si="1"/>
        <v>Interlloyd Protect
(Stand 2007)</v>
      </c>
      <c r="AB67" s="7" t="str">
        <f t="shared" si="1"/>
        <v>Interlloyd Premium
(Stand 01-2010)</v>
      </c>
      <c r="AC67" s="7" t="str">
        <f t="shared" si="1"/>
        <v>Interrisk XL (Plus-Taxe)
(Stand 07-2011)</v>
      </c>
      <c r="AD67" s="7" t="str">
        <f t="shared" si="1"/>
        <v>Interrisk XXL (Maxi-Taxe)
(Stand 07-2011)</v>
      </c>
      <c r="AE67" s="7" t="str">
        <f>AE1</f>
        <v>Janitos MLP Classic 2007
(Stand 01-2008)</v>
      </c>
      <c r="AF67" s="7" t="str">
        <f t="shared" si="1"/>
        <v>Janitos Balance
(Stand 04-2011)</v>
      </c>
      <c r="AG67" s="7" t="str">
        <f t="shared" si="1"/>
        <v>KRAVAG afm Familien-UV
(Stand 07-2008)</v>
      </c>
      <c r="AH67" s="7" t="str">
        <f t="shared" si="1"/>
        <v>KRAVAG afm Gruppen-UV
(Stand 07-2008)</v>
      </c>
      <c r="AI67" s="5" t="str">
        <f t="shared" si="1"/>
        <v>nationale suisse Basis-Plus
(Stand 01-2008)</v>
      </c>
      <c r="AJ67" s="5" t="str">
        <f t="shared" si="1"/>
        <v>nationale suisse Ideal
(Stand 01-2008)</v>
      </c>
      <c r="AK67" s="62" t="str">
        <f t="shared" si="1"/>
        <v>Prokundo ExklusivPaket
(Stand 01-2012)</v>
      </c>
      <c r="AL67" s="62" t="str">
        <f>AL1</f>
        <v>Prokundo Gleichgewicht</v>
      </c>
      <c r="AM67" s="62" t="str">
        <f t="shared" si="1"/>
        <v>Prokundo Komfort
(Stand 01-2012)</v>
      </c>
      <c r="AN67" s="62" t="str">
        <f>AN1</f>
        <v>Prokundo ExklusivPaket
(Stand 08-2012)</v>
      </c>
      <c r="AO67" s="62" t="str">
        <f>AO1</f>
        <v>Prokundo Komfort
(Stand 08-2012)</v>
      </c>
      <c r="AP67" s="7" t="str">
        <f t="shared" si="1"/>
        <v>Provinzial Top
(Stand 04-2009)</v>
      </c>
      <c r="AQ67" s="7" t="str">
        <f t="shared" si="1"/>
        <v>Rhion Plus
(Stand 04-2011)</v>
      </c>
      <c r="AR67" s="62" t="str">
        <f>AR1</f>
        <v>R+V Exklusiv
(Stand 07-2010)</v>
      </c>
      <c r="AS67" s="62" t="str">
        <f>AS1</f>
        <v>R+V PrivatPolice (classic)
(Stand 07-2012)</v>
      </c>
      <c r="AT67" s="7" t="str">
        <f t="shared" si="1"/>
        <v>Signal Iduna Basis
(Stand 05-2001)</v>
      </c>
      <c r="AU67" s="62" t="str">
        <f t="shared" si="1"/>
        <v>Signal Iduna Exklusiv
(Stand 11-2009)</v>
      </c>
      <c r="AV67" s="62" t="str">
        <f t="shared" si="1"/>
        <v>Signal Iduna Exklusiv
(Stand 10-2011)</v>
      </c>
      <c r="AW67" s="62" t="str">
        <f t="shared" si="1"/>
        <v>Signal Iduna Exklusiv (ÖD)
z.B. PVAG, VÖDAG
(Stand 10-2011)</v>
      </c>
      <c r="AX67" s="62" t="str">
        <f t="shared" si="1"/>
        <v>SLP Primus
(Stand 07-2010)</v>
      </c>
      <c r="AY67" s="62" t="str">
        <f t="shared" si="1"/>
        <v>SLP Primus Plus
(Stand 07-2010)</v>
      </c>
      <c r="AZ67" s="62" t="str">
        <f t="shared" si="1"/>
        <v>SLP Primus
(Stand 04-2012)</v>
      </c>
      <c r="BA67" s="62" t="str">
        <f t="shared" si="1"/>
        <v>SLP Primus Plus
(Stand 04-2012)</v>
      </c>
      <c r="BB67" s="7" t="str">
        <f t="shared" si="1"/>
        <v>Stuttgarter
(Stand 07-2010)</v>
      </c>
      <c r="BC67" s="7" t="str">
        <f t="shared" si="1"/>
        <v>VGH AUB 2008
(Stand 11-2010)</v>
      </c>
      <c r="BD67" s="7" t="str">
        <f t="shared" si="1"/>
        <v>VHV Exklusiv
(Stand 04-2011)</v>
      </c>
      <c r="BE67" s="62" t="str">
        <f>BE1</f>
        <v>Württembergische
(Stand 11-2009)</v>
      </c>
      <c r="BF67" s="62" t="str">
        <f>BF1</f>
        <v>Württembergische Top
(Stand 11-2009)</v>
      </c>
      <c r="BG67" s="62" t="str">
        <f>BG1</f>
        <v>Zurich Makler Top-Schutz
(Stand 04-2011)</v>
      </c>
    </row>
    <row r="68" spans="1:59" s="55" customFormat="1" ht="22.5" customHeight="1">
      <c r="A68" s="53" t="s">
        <v>180</v>
      </c>
      <c r="B68" s="49" t="s">
        <v>39</v>
      </c>
      <c r="C68" s="49" t="s">
        <v>39</v>
      </c>
      <c r="D68" s="49" t="s">
        <v>4448</v>
      </c>
      <c r="E68" s="75" t="s">
        <v>39</v>
      </c>
      <c r="F68" s="75" t="s">
        <v>39</v>
      </c>
      <c r="G68" s="49" t="s">
        <v>39</v>
      </c>
      <c r="H68" s="54" t="s">
        <v>39</v>
      </c>
      <c r="I68" s="54" t="s">
        <v>39</v>
      </c>
      <c r="J68" s="54" t="s">
        <v>39</v>
      </c>
      <c r="K68" s="54" t="s">
        <v>39</v>
      </c>
      <c r="L68" s="54" t="s">
        <v>39</v>
      </c>
      <c r="M68" s="49" t="s">
        <v>39</v>
      </c>
      <c r="N68" s="54" t="s">
        <v>39</v>
      </c>
      <c r="O68" s="54" t="s">
        <v>39</v>
      </c>
      <c r="P68" s="54" t="s">
        <v>39</v>
      </c>
      <c r="Q68" s="54" t="s">
        <v>39</v>
      </c>
      <c r="R68" s="54" t="s">
        <v>39</v>
      </c>
      <c r="S68" s="49" t="s">
        <v>39</v>
      </c>
      <c r="T68" s="54" t="s">
        <v>39</v>
      </c>
      <c r="U68" s="54" t="s">
        <v>39</v>
      </c>
      <c r="V68" s="54" t="s">
        <v>39</v>
      </c>
      <c r="W68" s="54" t="s">
        <v>39</v>
      </c>
      <c r="X68" s="54" t="s">
        <v>39</v>
      </c>
      <c r="Y68" s="49" t="s">
        <v>39</v>
      </c>
      <c r="Z68" s="49" t="s">
        <v>39</v>
      </c>
      <c r="AA68" s="17" t="s">
        <v>39</v>
      </c>
      <c r="AB68" s="114" t="s">
        <v>328</v>
      </c>
      <c r="AC68" s="54" t="s">
        <v>39</v>
      </c>
      <c r="AD68" s="54" t="s">
        <v>39</v>
      </c>
      <c r="AE68" s="54" t="s">
        <v>39</v>
      </c>
      <c r="AF68" s="54" t="s">
        <v>39</v>
      </c>
      <c r="AG68" s="49" t="s">
        <v>235</v>
      </c>
      <c r="AH68" s="54" t="s">
        <v>39</v>
      </c>
      <c r="AI68" s="49" t="s">
        <v>39</v>
      </c>
      <c r="AJ68" s="49" t="s">
        <v>39</v>
      </c>
      <c r="AK68" s="54" t="s">
        <v>39</v>
      </c>
      <c r="AL68" s="54" t="s">
        <v>39</v>
      </c>
      <c r="AM68" s="54" t="s">
        <v>39</v>
      </c>
      <c r="AN68" s="54" t="s">
        <v>39</v>
      </c>
      <c r="AO68" s="54" t="s">
        <v>39</v>
      </c>
      <c r="AP68" s="54" t="s">
        <v>39</v>
      </c>
      <c r="AQ68" s="49" t="s">
        <v>39</v>
      </c>
      <c r="AR68" s="63" t="s">
        <v>386</v>
      </c>
      <c r="AS68" s="75" t="s">
        <v>386</v>
      </c>
      <c r="AT68" s="54" t="s">
        <v>39</v>
      </c>
      <c r="AU68" s="69" t="s">
        <v>453</v>
      </c>
      <c r="AV68" s="54" t="s">
        <v>39</v>
      </c>
      <c r="AW68" s="54" t="s">
        <v>39</v>
      </c>
      <c r="AX68" s="49" t="s">
        <v>39</v>
      </c>
      <c r="AY68" s="49" t="s">
        <v>39</v>
      </c>
      <c r="AZ68" s="54" t="s">
        <v>39</v>
      </c>
      <c r="BA68" s="54" t="s">
        <v>39</v>
      </c>
      <c r="BB68" s="49" t="s">
        <v>39</v>
      </c>
      <c r="BC68" s="49" t="s">
        <v>39</v>
      </c>
      <c r="BD68" s="54" t="s">
        <v>39</v>
      </c>
      <c r="BE68" s="54" t="s">
        <v>39</v>
      </c>
      <c r="BF68" s="54" t="s">
        <v>39</v>
      </c>
      <c r="BG68" s="54" t="s">
        <v>39</v>
      </c>
    </row>
    <row r="69" spans="1:59" s="55" customFormat="1" ht="11.25" customHeight="1">
      <c r="A69" s="95" t="s">
        <v>688</v>
      </c>
      <c r="B69" s="94"/>
      <c r="C69" s="94"/>
      <c r="D69" s="94" t="s">
        <v>4427</v>
      </c>
      <c r="E69" s="94"/>
      <c r="F69" s="94"/>
      <c r="G69" s="91"/>
      <c r="H69" s="94" t="s">
        <v>39</v>
      </c>
      <c r="I69" s="94"/>
      <c r="J69" s="94" t="s">
        <v>39</v>
      </c>
      <c r="K69" s="94"/>
      <c r="L69" s="94" t="s">
        <v>39</v>
      </c>
      <c r="M69" s="94" t="s">
        <v>39</v>
      </c>
      <c r="N69" s="94"/>
      <c r="O69" s="94" t="s">
        <v>39</v>
      </c>
      <c r="P69" s="94"/>
      <c r="Q69" s="94"/>
      <c r="R69" s="94" t="s">
        <v>39</v>
      </c>
      <c r="S69" s="94"/>
      <c r="T69" s="94"/>
      <c r="U69" s="94"/>
      <c r="V69" s="94" t="s">
        <v>39</v>
      </c>
      <c r="W69" s="94" t="s">
        <v>39</v>
      </c>
      <c r="X69" s="94" t="s">
        <v>39</v>
      </c>
      <c r="Y69" s="94"/>
      <c r="Z69" s="94" t="s">
        <v>39</v>
      </c>
      <c r="AA69" s="91"/>
      <c r="AB69" s="94"/>
      <c r="AC69" s="94"/>
      <c r="AD69" s="94"/>
      <c r="AE69" s="94" t="s">
        <v>39</v>
      </c>
      <c r="AF69" s="94"/>
      <c r="AG69" s="91"/>
      <c r="AH69" s="91"/>
      <c r="AI69" s="94"/>
      <c r="AJ69" s="94"/>
      <c r="AK69" s="94" t="s">
        <v>39</v>
      </c>
      <c r="AL69" s="91" t="s">
        <v>39</v>
      </c>
      <c r="AM69" s="94" t="s">
        <v>39</v>
      </c>
      <c r="AN69" s="94" t="s">
        <v>39</v>
      </c>
      <c r="AO69" s="94" t="s">
        <v>39</v>
      </c>
      <c r="AP69" s="94"/>
      <c r="AQ69" s="91"/>
      <c r="AR69" s="94"/>
      <c r="AS69" s="94" t="s">
        <v>1705</v>
      </c>
      <c r="AT69" s="91"/>
      <c r="AU69" s="94"/>
      <c r="AV69" s="94" t="s">
        <v>39</v>
      </c>
      <c r="AW69" s="94" t="s">
        <v>39</v>
      </c>
      <c r="AX69" s="94"/>
      <c r="AY69" s="94"/>
      <c r="AZ69" s="94" t="s">
        <v>39</v>
      </c>
      <c r="BA69" s="94" t="s">
        <v>39</v>
      </c>
      <c r="BB69" s="91"/>
      <c r="BC69" s="91" t="s">
        <v>39</v>
      </c>
      <c r="BD69" s="94"/>
      <c r="BE69" s="94" t="s">
        <v>39</v>
      </c>
      <c r="BF69" s="94" t="s">
        <v>39</v>
      </c>
      <c r="BG69" s="94"/>
    </row>
    <row r="70" spans="1:59" s="55" customFormat="1" ht="22.5" customHeight="1">
      <c r="A70" s="53" t="s">
        <v>187</v>
      </c>
      <c r="B70" s="54" t="s">
        <v>191</v>
      </c>
      <c r="C70" s="54" t="s">
        <v>191</v>
      </c>
      <c r="D70" s="54" t="s">
        <v>237</v>
      </c>
      <c r="E70" s="54" t="s">
        <v>4563</v>
      </c>
      <c r="F70" s="54" t="s">
        <v>4563</v>
      </c>
      <c r="G70" s="69" t="s">
        <v>191</v>
      </c>
      <c r="H70" s="54" t="s">
        <v>237</v>
      </c>
      <c r="I70" s="54" t="s">
        <v>344</v>
      </c>
      <c r="J70" s="54" t="s">
        <v>344</v>
      </c>
      <c r="K70" s="54" t="s">
        <v>303</v>
      </c>
      <c r="L70" s="54" t="s">
        <v>303</v>
      </c>
      <c r="M70" s="54" t="s">
        <v>237</v>
      </c>
      <c r="N70" s="54" t="s">
        <v>237</v>
      </c>
      <c r="O70" s="54" t="s">
        <v>191</v>
      </c>
      <c r="P70" s="54" t="s">
        <v>344</v>
      </c>
      <c r="Q70" s="54" t="s">
        <v>191</v>
      </c>
      <c r="R70" s="54" t="s">
        <v>191</v>
      </c>
      <c r="S70" s="54" t="s">
        <v>191</v>
      </c>
      <c r="T70" s="54" t="s">
        <v>1422</v>
      </c>
      <c r="U70" s="54" t="s">
        <v>237</v>
      </c>
      <c r="V70" s="54" t="s">
        <v>390</v>
      </c>
      <c r="W70" s="54" t="s">
        <v>1848</v>
      </c>
      <c r="X70" s="54" t="s">
        <v>1805</v>
      </c>
      <c r="Y70" s="54" t="s">
        <v>728</v>
      </c>
      <c r="Z70" s="49" t="s">
        <v>832</v>
      </c>
      <c r="AA70" s="17" t="s">
        <v>39</v>
      </c>
      <c r="AB70" s="116" t="s">
        <v>41</v>
      </c>
      <c r="AC70" s="54" t="s">
        <v>478</v>
      </c>
      <c r="AD70" s="54" t="s">
        <v>41</v>
      </c>
      <c r="AE70" s="54" t="s">
        <v>344</v>
      </c>
      <c r="AF70" s="54" t="s">
        <v>344</v>
      </c>
      <c r="AG70" s="54" t="s">
        <v>237</v>
      </c>
      <c r="AH70" s="54" t="s">
        <v>39</v>
      </c>
      <c r="AI70" s="54" t="s">
        <v>191</v>
      </c>
      <c r="AJ70" s="54" t="s">
        <v>191</v>
      </c>
      <c r="AK70" s="54" t="s">
        <v>344</v>
      </c>
      <c r="AL70" s="54" t="s">
        <v>39</v>
      </c>
      <c r="AM70" s="54" t="s">
        <v>237</v>
      </c>
      <c r="AN70" s="54" t="s">
        <v>344</v>
      </c>
      <c r="AO70" s="54" t="s">
        <v>237</v>
      </c>
      <c r="AP70" s="54" t="s">
        <v>191</v>
      </c>
      <c r="AQ70" s="54" t="s">
        <v>344</v>
      </c>
      <c r="AR70" s="49" t="s">
        <v>390</v>
      </c>
      <c r="AS70" s="54" t="s">
        <v>390</v>
      </c>
      <c r="AT70" s="65" t="s">
        <v>191</v>
      </c>
      <c r="AU70" s="49" t="s">
        <v>191</v>
      </c>
      <c r="AV70" s="54" t="s">
        <v>191</v>
      </c>
      <c r="AW70" s="54" t="s">
        <v>191</v>
      </c>
      <c r="AX70" s="54" t="s">
        <v>344</v>
      </c>
      <c r="AY70" s="54" t="s">
        <v>41</v>
      </c>
      <c r="AZ70" s="54" t="s">
        <v>344</v>
      </c>
      <c r="BA70" s="54" t="s">
        <v>41</v>
      </c>
      <c r="BB70" s="54" t="s">
        <v>191</v>
      </c>
      <c r="BC70" s="49" t="s">
        <v>390</v>
      </c>
      <c r="BD70" s="54" t="s">
        <v>41</v>
      </c>
      <c r="BE70" s="49" t="s">
        <v>390</v>
      </c>
      <c r="BF70" s="54" t="s">
        <v>237</v>
      </c>
      <c r="BG70" s="54" t="s">
        <v>344</v>
      </c>
    </row>
    <row r="71" spans="1:59" s="55" customFormat="1" ht="11.25" customHeight="1">
      <c r="A71" s="95" t="s">
        <v>688</v>
      </c>
      <c r="B71" s="94"/>
      <c r="C71" s="94" t="s">
        <v>889</v>
      </c>
      <c r="D71" s="94" t="s">
        <v>4449</v>
      </c>
      <c r="E71" s="94" t="s">
        <v>4565</v>
      </c>
      <c r="F71" s="94" t="s">
        <v>4564</v>
      </c>
      <c r="G71" s="91"/>
      <c r="H71" s="94" t="s">
        <v>2041</v>
      </c>
      <c r="I71" s="94"/>
      <c r="J71" s="94" t="s">
        <v>2041</v>
      </c>
      <c r="K71" s="94"/>
      <c r="L71" s="94" t="s">
        <v>1529</v>
      </c>
      <c r="M71" s="94" t="s">
        <v>889</v>
      </c>
      <c r="N71" s="94"/>
      <c r="O71" s="94" t="s">
        <v>1387</v>
      </c>
      <c r="P71" s="94"/>
      <c r="Q71" s="94"/>
      <c r="R71" s="94" t="s">
        <v>2828</v>
      </c>
      <c r="S71" s="94"/>
      <c r="T71" s="94"/>
      <c r="U71" s="94"/>
      <c r="V71" s="94" t="s">
        <v>1387</v>
      </c>
      <c r="W71" s="94" t="s">
        <v>1796</v>
      </c>
      <c r="X71" s="94" t="s">
        <v>1804</v>
      </c>
      <c r="Y71" s="94" t="s">
        <v>729</v>
      </c>
      <c r="Z71" s="94" t="s">
        <v>1120</v>
      </c>
      <c r="AA71" s="91"/>
      <c r="AB71" s="94"/>
      <c r="AC71" s="94"/>
      <c r="AD71" s="94"/>
      <c r="AE71" s="94" t="s">
        <v>3770</v>
      </c>
      <c r="AF71" s="94"/>
      <c r="AG71" s="91"/>
      <c r="AH71" s="91"/>
      <c r="AI71" s="94"/>
      <c r="AJ71" s="94"/>
      <c r="AK71" s="94" t="s">
        <v>1185</v>
      </c>
      <c r="AL71" s="91" t="s">
        <v>39</v>
      </c>
      <c r="AM71" s="94" t="s">
        <v>1246</v>
      </c>
      <c r="AN71" s="94" t="s">
        <v>1185</v>
      </c>
      <c r="AO71" s="94" t="s">
        <v>1246</v>
      </c>
      <c r="AP71" s="94"/>
      <c r="AQ71" s="91"/>
      <c r="AR71" s="94"/>
      <c r="AS71" s="94" t="s">
        <v>1738</v>
      </c>
      <c r="AT71" s="91"/>
      <c r="AU71" s="94"/>
      <c r="AV71" s="94" t="s">
        <v>889</v>
      </c>
      <c r="AW71" s="94" t="s">
        <v>889</v>
      </c>
      <c r="AX71" s="94"/>
      <c r="AY71" s="94"/>
      <c r="AZ71" s="94" t="s">
        <v>1332</v>
      </c>
      <c r="BA71" s="94" t="s">
        <v>1332</v>
      </c>
      <c r="BB71" s="91"/>
      <c r="BC71" s="94" t="s">
        <v>1387</v>
      </c>
      <c r="BD71" s="94"/>
      <c r="BE71" s="94" t="s">
        <v>928</v>
      </c>
      <c r="BF71" s="94" t="s">
        <v>911</v>
      </c>
      <c r="BG71" s="94"/>
    </row>
    <row r="72" spans="1:59" s="55" customFormat="1" ht="22.5" customHeight="1">
      <c r="A72" s="53" t="s">
        <v>98</v>
      </c>
      <c r="B72" s="54" t="s">
        <v>200</v>
      </c>
      <c r="C72" s="54" t="s">
        <v>200</v>
      </c>
      <c r="D72" s="54" t="s">
        <v>200</v>
      </c>
      <c r="E72" s="54" t="s">
        <v>4567</v>
      </c>
      <c r="F72" s="54" t="s">
        <v>4568</v>
      </c>
      <c r="G72" s="49" t="s">
        <v>272</v>
      </c>
      <c r="H72" s="54" t="s">
        <v>94</v>
      </c>
      <c r="I72" s="54" t="s">
        <v>94</v>
      </c>
      <c r="J72" s="54" t="s">
        <v>94</v>
      </c>
      <c r="K72" s="54" t="s">
        <v>675</v>
      </c>
      <c r="L72" s="54" t="s">
        <v>1552</v>
      </c>
      <c r="M72" s="54" t="s">
        <v>94</v>
      </c>
      <c r="N72" s="54" t="s">
        <v>94</v>
      </c>
      <c r="O72" s="54" t="s">
        <v>1410</v>
      </c>
      <c r="P72" s="54" t="s">
        <v>349</v>
      </c>
      <c r="Q72" s="54" t="s">
        <v>41</v>
      </c>
      <c r="R72" s="54" t="s">
        <v>41</v>
      </c>
      <c r="S72" s="54" t="s">
        <v>200</v>
      </c>
      <c r="T72" s="54" t="s">
        <v>41</v>
      </c>
      <c r="U72" s="54" t="s">
        <v>94</v>
      </c>
      <c r="V72" s="54" t="s">
        <v>94</v>
      </c>
      <c r="W72" s="54" t="s">
        <v>94</v>
      </c>
      <c r="X72" s="54" t="s">
        <v>94</v>
      </c>
      <c r="Y72" s="54" t="s">
        <v>41</v>
      </c>
      <c r="Z72" s="54" t="s">
        <v>39</v>
      </c>
      <c r="AA72" s="15" t="s">
        <v>62</v>
      </c>
      <c r="AB72" s="54" t="s">
        <v>94</v>
      </c>
      <c r="AC72" s="54" t="s">
        <v>309</v>
      </c>
      <c r="AD72" s="54" t="s">
        <v>309</v>
      </c>
      <c r="AE72" s="54" t="s">
        <v>41</v>
      </c>
      <c r="AF72" s="54" t="s">
        <v>200</v>
      </c>
      <c r="AG72" s="69" t="s">
        <v>200</v>
      </c>
      <c r="AH72" s="54" t="s">
        <v>39</v>
      </c>
      <c r="AI72" s="54" t="s">
        <v>200</v>
      </c>
      <c r="AJ72" s="54" t="s">
        <v>200</v>
      </c>
      <c r="AK72" s="54" t="s">
        <v>94</v>
      </c>
      <c r="AL72" s="54" t="s">
        <v>4658</v>
      </c>
      <c r="AM72" s="54" t="s">
        <v>94</v>
      </c>
      <c r="AN72" s="54" t="s">
        <v>94</v>
      </c>
      <c r="AO72" s="54" t="s">
        <v>94</v>
      </c>
      <c r="AP72" s="54" t="s">
        <v>94</v>
      </c>
      <c r="AQ72" s="54" t="s">
        <v>94</v>
      </c>
      <c r="AR72" s="49" t="s">
        <v>200</v>
      </c>
      <c r="AS72" s="54" t="s">
        <v>94</v>
      </c>
      <c r="AT72" s="65" t="s">
        <v>200</v>
      </c>
      <c r="AU72" s="49" t="s">
        <v>200</v>
      </c>
      <c r="AV72" s="54" t="s">
        <v>94</v>
      </c>
      <c r="AW72" s="54" t="s">
        <v>94</v>
      </c>
      <c r="AX72" s="69" t="s">
        <v>41</v>
      </c>
      <c r="AY72" s="69" t="s">
        <v>41</v>
      </c>
      <c r="AZ72" s="54" t="s">
        <v>1296</v>
      </c>
      <c r="BA72" s="54" t="s">
        <v>1296</v>
      </c>
      <c r="BB72" s="54" t="s">
        <v>200</v>
      </c>
      <c r="BC72" s="54" t="s">
        <v>200</v>
      </c>
      <c r="BD72" s="54" t="s">
        <v>94</v>
      </c>
      <c r="BE72" s="54" t="s">
        <v>94</v>
      </c>
      <c r="BF72" s="54" t="s">
        <v>94</v>
      </c>
      <c r="BG72" s="54" t="s">
        <v>200</v>
      </c>
    </row>
    <row r="73" spans="1:59" s="55" customFormat="1" ht="11.25" customHeight="1">
      <c r="A73" s="95" t="s">
        <v>688</v>
      </c>
      <c r="B73" s="94"/>
      <c r="C73" s="94" t="s">
        <v>891</v>
      </c>
      <c r="D73" s="94" t="s">
        <v>891</v>
      </c>
      <c r="E73" s="94" t="s">
        <v>4566</v>
      </c>
      <c r="F73" s="94" t="s">
        <v>4569</v>
      </c>
      <c r="G73" s="91"/>
      <c r="H73" s="94" t="s">
        <v>2050</v>
      </c>
      <c r="I73" s="94"/>
      <c r="J73" s="94" t="s">
        <v>2050</v>
      </c>
      <c r="K73" s="94"/>
      <c r="L73" s="94" t="s">
        <v>1558</v>
      </c>
      <c r="M73" s="94" t="s">
        <v>1055</v>
      </c>
      <c r="N73" s="94"/>
      <c r="O73" s="94" t="s">
        <v>1212</v>
      </c>
      <c r="P73" s="94"/>
      <c r="Q73" s="94"/>
      <c r="R73" s="94" t="s">
        <v>2854</v>
      </c>
      <c r="S73" s="94"/>
      <c r="T73" s="94"/>
      <c r="U73" s="94"/>
      <c r="V73" s="94" t="s">
        <v>1794</v>
      </c>
      <c r="W73" s="94" t="s">
        <v>1804</v>
      </c>
      <c r="X73" s="94" t="s">
        <v>1820</v>
      </c>
      <c r="Y73" s="94" t="s">
        <v>707</v>
      </c>
      <c r="Z73" s="94" t="s">
        <v>39</v>
      </c>
      <c r="AA73" s="91"/>
      <c r="AB73" s="94"/>
      <c r="AC73" s="94"/>
      <c r="AD73" s="94"/>
      <c r="AE73" s="94" t="s">
        <v>3758</v>
      </c>
      <c r="AF73" s="94"/>
      <c r="AG73" s="91"/>
      <c r="AH73" s="91"/>
      <c r="AI73" s="94"/>
      <c r="AJ73" s="94"/>
      <c r="AK73" s="94" t="s">
        <v>1213</v>
      </c>
      <c r="AL73" s="91" t="s">
        <v>4659</v>
      </c>
      <c r="AM73" s="94" t="s">
        <v>1213</v>
      </c>
      <c r="AN73" s="94" t="s">
        <v>1213</v>
      </c>
      <c r="AO73" s="94" t="s">
        <v>1213</v>
      </c>
      <c r="AP73" s="94"/>
      <c r="AQ73" s="91"/>
      <c r="AR73" s="94"/>
      <c r="AS73" s="94" t="s">
        <v>1737</v>
      </c>
      <c r="AT73" s="91"/>
      <c r="AU73" s="94"/>
      <c r="AV73" s="94" t="s">
        <v>891</v>
      </c>
      <c r="AW73" s="94" t="s">
        <v>891</v>
      </c>
      <c r="AX73" s="94"/>
      <c r="AY73" s="94"/>
      <c r="AZ73" s="94" t="s">
        <v>1297</v>
      </c>
      <c r="BA73" s="94" t="s">
        <v>1297</v>
      </c>
      <c r="BB73" s="91"/>
      <c r="BC73" s="94" t="s">
        <v>1212</v>
      </c>
      <c r="BD73" s="94"/>
      <c r="BE73" s="94" t="s">
        <v>944</v>
      </c>
      <c r="BF73" s="94" t="s">
        <v>944</v>
      </c>
      <c r="BG73" s="94"/>
    </row>
    <row r="74" spans="1:59" s="55" customFormat="1" ht="22.5" customHeight="1">
      <c r="A74" s="90" t="s">
        <v>153</v>
      </c>
      <c r="B74" s="69" t="s">
        <v>200</v>
      </c>
      <c r="C74" s="54" t="s">
        <v>200</v>
      </c>
      <c r="D74" s="54" t="s">
        <v>200</v>
      </c>
      <c r="E74" s="54" t="s">
        <v>4567</v>
      </c>
      <c r="F74" s="54" t="s">
        <v>4568</v>
      </c>
      <c r="G74" s="69" t="s">
        <v>272</v>
      </c>
      <c r="H74" s="54" t="s">
        <v>94</v>
      </c>
      <c r="I74" s="54" t="s">
        <v>94</v>
      </c>
      <c r="J74" s="54" t="s">
        <v>94</v>
      </c>
      <c r="K74" s="54" t="s">
        <v>675</v>
      </c>
      <c r="L74" s="54" t="s">
        <v>1552</v>
      </c>
      <c r="M74" s="54" t="s">
        <v>94</v>
      </c>
      <c r="N74" s="54" t="s">
        <v>94</v>
      </c>
      <c r="O74" s="54" t="s">
        <v>1410</v>
      </c>
      <c r="P74" s="54" t="s">
        <v>348</v>
      </c>
      <c r="Q74" s="54" t="s">
        <v>200</v>
      </c>
      <c r="R74" s="54" t="s">
        <v>200</v>
      </c>
      <c r="S74" s="69" t="s">
        <v>200</v>
      </c>
      <c r="T74" s="54" t="s">
        <v>200</v>
      </c>
      <c r="U74" s="54" t="s">
        <v>41</v>
      </c>
      <c r="V74" s="54" t="s">
        <v>94</v>
      </c>
      <c r="W74" s="54" t="s">
        <v>94</v>
      </c>
      <c r="X74" s="54" t="s">
        <v>94</v>
      </c>
      <c r="Y74" s="69" t="s">
        <v>41</v>
      </c>
      <c r="Z74" s="54" t="s">
        <v>39</v>
      </c>
      <c r="AA74" s="15" t="s">
        <v>39</v>
      </c>
      <c r="AB74" s="54" t="s">
        <v>94</v>
      </c>
      <c r="AC74" s="54" t="s">
        <v>309</v>
      </c>
      <c r="AD74" s="54" t="s">
        <v>309</v>
      </c>
      <c r="AE74" s="54" t="s">
        <v>41</v>
      </c>
      <c r="AF74" s="54" t="s">
        <v>200</v>
      </c>
      <c r="AG74" s="69" t="s">
        <v>200</v>
      </c>
      <c r="AH74" s="54" t="s">
        <v>39</v>
      </c>
      <c r="AI74" s="54" t="s">
        <v>200</v>
      </c>
      <c r="AJ74" s="54" t="s">
        <v>200</v>
      </c>
      <c r="AK74" s="54" t="s">
        <v>94</v>
      </c>
      <c r="AL74" s="54" t="s">
        <v>39</v>
      </c>
      <c r="AM74" s="54" t="s">
        <v>94</v>
      </c>
      <c r="AN74" s="54" t="s">
        <v>94</v>
      </c>
      <c r="AO74" s="54" t="s">
        <v>94</v>
      </c>
      <c r="AP74" s="54" t="s">
        <v>39</v>
      </c>
      <c r="AQ74" s="69" t="s">
        <v>94</v>
      </c>
      <c r="AR74" s="69" t="s">
        <v>200</v>
      </c>
      <c r="AS74" s="54" t="s">
        <v>94</v>
      </c>
      <c r="AT74" s="73" t="s">
        <v>200</v>
      </c>
      <c r="AU74" s="69" t="s">
        <v>200</v>
      </c>
      <c r="AV74" s="54" t="s">
        <v>94</v>
      </c>
      <c r="AW74" s="54" t="s">
        <v>94</v>
      </c>
      <c r="AX74" s="69" t="s">
        <v>94</v>
      </c>
      <c r="AY74" s="69" t="s">
        <v>94</v>
      </c>
      <c r="AZ74" s="54" t="s">
        <v>1294</v>
      </c>
      <c r="BA74" s="54" t="s">
        <v>1294</v>
      </c>
      <c r="BB74" s="69" t="s">
        <v>200</v>
      </c>
      <c r="BC74" s="54" t="s">
        <v>200</v>
      </c>
      <c r="BD74" s="54" t="s">
        <v>94</v>
      </c>
      <c r="BE74" s="54" t="s">
        <v>94</v>
      </c>
      <c r="BF74" s="54" t="s">
        <v>94</v>
      </c>
      <c r="BG74" s="54" t="s">
        <v>200</v>
      </c>
    </row>
    <row r="75" spans="1:59" s="55" customFormat="1" ht="11.25" customHeight="1">
      <c r="A75" s="95" t="s">
        <v>688</v>
      </c>
      <c r="B75" s="94"/>
      <c r="C75" s="94" t="s">
        <v>891</v>
      </c>
      <c r="D75" s="94" t="s">
        <v>891</v>
      </c>
      <c r="E75" s="94" t="s">
        <v>4566</v>
      </c>
      <c r="F75" s="94" t="s">
        <v>4569</v>
      </c>
      <c r="G75" s="91"/>
      <c r="H75" s="94" t="s">
        <v>2050</v>
      </c>
      <c r="I75" s="94"/>
      <c r="J75" s="94" t="s">
        <v>2050</v>
      </c>
      <c r="K75" s="94"/>
      <c r="L75" s="94" t="s">
        <v>1558</v>
      </c>
      <c r="M75" s="94" t="s">
        <v>1055</v>
      </c>
      <c r="N75" s="94"/>
      <c r="O75" s="94" t="s">
        <v>1212</v>
      </c>
      <c r="P75" s="94"/>
      <c r="Q75" s="94" t="s">
        <v>1421</v>
      </c>
      <c r="R75" s="94" t="s">
        <v>2805</v>
      </c>
      <c r="S75" s="94"/>
      <c r="T75" s="94"/>
      <c r="U75" s="94"/>
      <c r="V75" s="94" t="s">
        <v>1794</v>
      </c>
      <c r="W75" s="94" t="s">
        <v>1804</v>
      </c>
      <c r="X75" s="94" t="s">
        <v>1820</v>
      </c>
      <c r="Y75" s="94" t="s">
        <v>707</v>
      </c>
      <c r="Z75" s="94" t="s">
        <v>39</v>
      </c>
      <c r="AA75" s="91"/>
      <c r="AB75" s="94"/>
      <c r="AC75" s="94"/>
      <c r="AD75" s="94"/>
      <c r="AE75" s="94" t="s">
        <v>3758</v>
      </c>
      <c r="AF75" s="94"/>
      <c r="AG75" s="91"/>
      <c r="AH75" s="91"/>
      <c r="AI75" s="94"/>
      <c r="AJ75" s="94"/>
      <c r="AK75" s="94" t="s">
        <v>1213</v>
      </c>
      <c r="AL75" s="91" t="s">
        <v>39</v>
      </c>
      <c r="AM75" s="94" t="s">
        <v>1213</v>
      </c>
      <c r="AN75" s="94" t="s">
        <v>1213</v>
      </c>
      <c r="AO75" s="94" t="s">
        <v>1213</v>
      </c>
      <c r="AP75" s="94"/>
      <c r="AQ75" s="91"/>
      <c r="AR75" s="94"/>
      <c r="AS75" s="94" t="s">
        <v>1737</v>
      </c>
      <c r="AT75" s="91"/>
      <c r="AU75" s="94"/>
      <c r="AV75" s="94" t="s">
        <v>891</v>
      </c>
      <c r="AW75" s="94" t="s">
        <v>891</v>
      </c>
      <c r="AX75" s="94"/>
      <c r="AY75" s="94"/>
      <c r="AZ75" s="94" t="s">
        <v>1293</v>
      </c>
      <c r="BA75" s="94" t="s">
        <v>1293</v>
      </c>
      <c r="BB75" s="91"/>
      <c r="BC75" s="94" t="s">
        <v>1212</v>
      </c>
      <c r="BD75" s="94"/>
      <c r="BE75" s="94" t="s">
        <v>944</v>
      </c>
      <c r="BF75" s="94" t="s">
        <v>944</v>
      </c>
      <c r="BG75" s="94"/>
    </row>
    <row r="76" spans="1:59" ht="22.5" customHeight="1">
      <c r="A76" s="53" t="s">
        <v>140</v>
      </c>
      <c r="B76" s="54" t="s">
        <v>39</v>
      </c>
      <c r="C76" s="54" t="s">
        <v>39</v>
      </c>
      <c r="D76" s="54" t="s">
        <v>39</v>
      </c>
      <c r="E76" s="54" t="s">
        <v>39</v>
      </c>
      <c r="F76" s="54" t="s">
        <v>179</v>
      </c>
      <c r="G76" s="49" t="s">
        <v>39</v>
      </c>
      <c r="H76" s="54" t="s">
        <v>2086</v>
      </c>
      <c r="I76" s="54" t="s">
        <v>2086</v>
      </c>
      <c r="J76" s="54" t="s">
        <v>2086</v>
      </c>
      <c r="K76" s="49" t="s">
        <v>39</v>
      </c>
      <c r="L76" s="54" t="s">
        <v>39</v>
      </c>
      <c r="M76" s="54" t="s">
        <v>1044</v>
      </c>
      <c r="N76" s="54" t="s">
        <v>39</v>
      </c>
      <c r="O76" s="54" t="s">
        <v>39</v>
      </c>
      <c r="P76" s="54" t="s">
        <v>41</v>
      </c>
      <c r="Q76" s="54" t="s">
        <v>39</v>
      </c>
      <c r="R76" s="54" t="s">
        <v>39</v>
      </c>
      <c r="S76" s="54" t="s">
        <v>39</v>
      </c>
      <c r="T76" s="54" t="s">
        <v>39</v>
      </c>
      <c r="U76" s="54" t="s">
        <v>41</v>
      </c>
      <c r="V76" s="54" t="s">
        <v>39</v>
      </c>
      <c r="W76" s="54" t="s">
        <v>39</v>
      </c>
      <c r="X76" s="54" t="s">
        <v>1790</v>
      </c>
      <c r="Y76" s="54" t="s">
        <v>41</v>
      </c>
      <c r="Z76" s="54" t="s">
        <v>39</v>
      </c>
      <c r="AA76" s="15" t="s">
        <v>39</v>
      </c>
      <c r="AB76" s="54" t="s">
        <v>179</v>
      </c>
      <c r="AC76" s="54" t="s">
        <v>41</v>
      </c>
      <c r="AD76" s="54" t="s">
        <v>41</v>
      </c>
      <c r="AE76" s="54" t="s">
        <v>41</v>
      </c>
      <c r="AF76" s="54" t="s">
        <v>41</v>
      </c>
      <c r="AG76" s="54" t="s">
        <v>39</v>
      </c>
      <c r="AH76" s="54" t="s">
        <v>39</v>
      </c>
      <c r="AI76" s="54" t="s">
        <v>39</v>
      </c>
      <c r="AJ76" s="54" t="s">
        <v>39</v>
      </c>
      <c r="AK76" s="54" t="s">
        <v>41</v>
      </c>
      <c r="AL76" s="54" t="s">
        <v>39</v>
      </c>
      <c r="AM76" s="54" t="s">
        <v>41</v>
      </c>
      <c r="AN76" s="54" t="s">
        <v>41</v>
      </c>
      <c r="AO76" s="54" t="s">
        <v>41</v>
      </c>
      <c r="AP76" s="54" t="s">
        <v>39</v>
      </c>
      <c r="AQ76" s="54" t="s">
        <v>41</v>
      </c>
      <c r="AR76" s="49" t="s">
        <v>39</v>
      </c>
      <c r="AS76" s="54" t="s">
        <v>39</v>
      </c>
      <c r="AT76" s="49" t="s">
        <v>404</v>
      </c>
      <c r="AU76" s="49" t="s">
        <v>404</v>
      </c>
      <c r="AV76" s="54" t="s">
        <v>39</v>
      </c>
      <c r="AW76" s="54" t="s">
        <v>39</v>
      </c>
      <c r="AX76" s="54" t="s">
        <v>41</v>
      </c>
      <c r="AY76" s="54" t="s">
        <v>41</v>
      </c>
      <c r="AZ76" s="54" t="s">
        <v>41</v>
      </c>
      <c r="BA76" s="54" t="s">
        <v>41</v>
      </c>
      <c r="BB76" s="54" t="s">
        <v>39</v>
      </c>
      <c r="BC76" s="54" t="s">
        <v>39</v>
      </c>
      <c r="BD76" s="54" t="s">
        <v>39</v>
      </c>
      <c r="BE76" s="54" t="s">
        <v>39</v>
      </c>
      <c r="BF76" s="54" t="s">
        <v>39</v>
      </c>
      <c r="BG76" s="54" t="s">
        <v>39</v>
      </c>
    </row>
    <row r="77" spans="1:59" ht="11.25" customHeight="1">
      <c r="A77" s="95" t="s">
        <v>688</v>
      </c>
      <c r="B77" s="94"/>
      <c r="C77" s="94"/>
      <c r="D77" s="94"/>
      <c r="E77" s="94" t="s">
        <v>39</v>
      </c>
      <c r="F77" s="94" t="s">
        <v>4570</v>
      </c>
      <c r="G77" s="91"/>
      <c r="H77" s="94" t="s">
        <v>2084</v>
      </c>
      <c r="I77" s="94"/>
      <c r="J77" s="94" t="s">
        <v>2668</v>
      </c>
      <c r="K77" s="94"/>
      <c r="L77" s="94" t="s">
        <v>39</v>
      </c>
      <c r="M77" s="94" t="s">
        <v>1010</v>
      </c>
      <c r="N77" s="94"/>
      <c r="O77" s="94" t="s">
        <v>39</v>
      </c>
      <c r="P77" s="94"/>
      <c r="Q77" s="94"/>
      <c r="R77" s="94" t="s">
        <v>39</v>
      </c>
      <c r="S77" s="94"/>
      <c r="T77" s="94"/>
      <c r="U77" s="94"/>
      <c r="V77" s="94" t="s">
        <v>39</v>
      </c>
      <c r="W77" s="94" t="s">
        <v>39</v>
      </c>
      <c r="X77" s="94" t="s">
        <v>1789</v>
      </c>
      <c r="Y77" s="94" t="s">
        <v>730</v>
      </c>
      <c r="Z77" s="94" t="s">
        <v>39</v>
      </c>
      <c r="AA77" s="91"/>
      <c r="AB77" s="94"/>
      <c r="AC77" s="94"/>
      <c r="AD77" s="94"/>
      <c r="AE77" s="94" t="s">
        <v>3789</v>
      </c>
      <c r="AF77" s="94"/>
      <c r="AG77" s="91"/>
      <c r="AH77" s="91"/>
      <c r="AI77" s="94"/>
      <c r="AJ77" s="94"/>
      <c r="AK77" s="94" t="s">
        <v>1235</v>
      </c>
      <c r="AL77" s="91" t="s">
        <v>39</v>
      </c>
      <c r="AM77" s="94" t="s">
        <v>1235</v>
      </c>
      <c r="AN77" s="94" t="s">
        <v>1235</v>
      </c>
      <c r="AO77" s="94" t="s">
        <v>1235</v>
      </c>
      <c r="AP77" s="94"/>
      <c r="AQ77" s="91"/>
      <c r="AR77" s="94"/>
      <c r="AS77" s="94" t="s">
        <v>39</v>
      </c>
      <c r="AT77" s="91"/>
      <c r="AU77" s="94"/>
      <c r="AV77" s="94" t="s">
        <v>39</v>
      </c>
      <c r="AW77" s="94" t="s">
        <v>39</v>
      </c>
      <c r="AX77" s="94"/>
      <c r="AY77" s="94"/>
      <c r="AZ77" s="94" t="s">
        <v>1316</v>
      </c>
      <c r="BA77" s="94" t="s">
        <v>1315</v>
      </c>
      <c r="BB77" s="91"/>
      <c r="BC77" s="91" t="s">
        <v>39</v>
      </c>
      <c r="BD77" s="94"/>
      <c r="BE77" s="94" t="s">
        <v>39</v>
      </c>
      <c r="BF77" s="94" t="s">
        <v>39</v>
      </c>
      <c r="BG77" s="94"/>
    </row>
    <row r="78" spans="1:59" s="55" customFormat="1" ht="22.5" customHeight="1">
      <c r="A78" s="53" t="s">
        <v>96</v>
      </c>
      <c r="B78" s="54" t="s">
        <v>39</v>
      </c>
      <c r="C78" s="54" t="s">
        <v>4450</v>
      </c>
      <c r="D78" s="54" t="s">
        <v>4450</v>
      </c>
      <c r="E78" s="48" t="s">
        <v>39</v>
      </c>
      <c r="F78" s="48" t="s">
        <v>4571</v>
      </c>
      <c r="G78" s="49" t="s">
        <v>39</v>
      </c>
      <c r="H78" s="54" t="s">
        <v>2095</v>
      </c>
      <c r="I78" s="54" t="s">
        <v>2102</v>
      </c>
      <c r="J78" s="54" t="s">
        <v>2630</v>
      </c>
      <c r="K78" s="54" t="s">
        <v>39</v>
      </c>
      <c r="L78" s="54" t="s">
        <v>1541</v>
      </c>
      <c r="M78" s="54" t="s">
        <v>39</v>
      </c>
      <c r="N78" s="54" t="s">
        <v>101</v>
      </c>
      <c r="O78" s="48" t="s">
        <v>1415</v>
      </c>
      <c r="P78" s="54" t="s">
        <v>39</v>
      </c>
      <c r="Q78" s="54" t="s">
        <v>39</v>
      </c>
      <c r="R78" s="54" t="s">
        <v>39</v>
      </c>
      <c r="S78" s="54" t="s">
        <v>39</v>
      </c>
      <c r="T78" s="48">
        <v>0.1</v>
      </c>
      <c r="U78" s="54" t="s">
        <v>39</v>
      </c>
      <c r="V78" s="54" t="s">
        <v>39</v>
      </c>
      <c r="W78" s="54" t="s">
        <v>39</v>
      </c>
      <c r="X78" s="54" t="s">
        <v>39</v>
      </c>
      <c r="Y78" s="54" t="s">
        <v>39</v>
      </c>
      <c r="Z78" s="54" t="s">
        <v>39</v>
      </c>
      <c r="AA78" s="15" t="s">
        <v>39</v>
      </c>
      <c r="AB78" s="54" t="s">
        <v>181</v>
      </c>
      <c r="AC78" s="54" t="s">
        <v>39</v>
      </c>
      <c r="AD78" s="54" t="s">
        <v>39</v>
      </c>
      <c r="AE78" s="54" t="s">
        <v>39</v>
      </c>
      <c r="AF78" s="54" t="s">
        <v>39</v>
      </c>
      <c r="AG78" s="54" t="s">
        <v>39</v>
      </c>
      <c r="AH78" s="54" t="s">
        <v>39</v>
      </c>
      <c r="AI78" s="54" t="s">
        <v>39</v>
      </c>
      <c r="AJ78" s="54" t="s">
        <v>39</v>
      </c>
      <c r="AK78" s="48" t="s">
        <v>39</v>
      </c>
      <c r="AL78" s="54" t="s">
        <v>39</v>
      </c>
      <c r="AM78" s="48" t="s">
        <v>39</v>
      </c>
      <c r="AN78" s="48" t="s">
        <v>39</v>
      </c>
      <c r="AO78" s="48" t="s">
        <v>39</v>
      </c>
      <c r="AP78" s="48">
        <v>0.25</v>
      </c>
      <c r="AQ78" s="48" t="s">
        <v>39</v>
      </c>
      <c r="AR78" s="49" t="s">
        <v>39</v>
      </c>
      <c r="AS78" s="54" t="s">
        <v>39</v>
      </c>
      <c r="AT78" s="65" t="s">
        <v>39</v>
      </c>
      <c r="AU78" s="49" t="s">
        <v>39</v>
      </c>
      <c r="AV78" s="54" t="s">
        <v>39</v>
      </c>
      <c r="AW78" s="54" t="s">
        <v>39</v>
      </c>
      <c r="AX78" s="54" t="s">
        <v>39</v>
      </c>
      <c r="AY78" s="54" t="s">
        <v>39</v>
      </c>
      <c r="AZ78" s="54" t="s">
        <v>39</v>
      </c>
      <c r="BA78" s="54" t="s">
        <v>39</v>
      </c>
      <c r="BB78" s="54" t="s">
        <v>39</v>
      </c>
      <c r="BC78" s="54" t="s">
        <v>39</v>
      </c>
      <c r="BD78" s="54" t="s">
        <v>39</v>
      </c>
      <c r="BE78" s="54" t="s">
        <v>39</v>
      </c>
      <c r="BF78" s="54" t="s">
        <v>39</v>
      </c>
      <c r="BG78" s="48">
        <v>0.25</v>
      </c>
    </row>
    <row r="79" spans="1:59" s="55" customFormat="1" ht="11.25" customHeight="1">
      <c r="A79" s="95" t="s">
        <v>688</v>
      </c>
      <c r="B79" s="94"/>
      <c r="C79" s="94" t="s">
        <v>4435</v>
      </c>
      <c r="D79" s="94" t="s">
        <v>4427</v>
      </c>
      <c r="E79" s="94" t="s">
        <v>39</v>
      </c>
      <c r="F79" s="94" t="s">
        <v>4572</v>
      </c>
      <c r="G79" s="91"/>
      <c r="H79" s="94" t="s">
        <v>2094</v>
      </c>
      <c r="I79" s="94"/>
      <c r="J79" s="94" t="s">
        <v>2669</v>
      </c>
      <c r="K79" s="94"/>
      <c r="L79" s="94" t="s">
        <v>1542</v>
      </c>
      <c r="M79" s="94" t="s">
        <v>39</v>
      </c>
      <c r="N79" s="94"/>
      <c r="O79" s="94" t="s">
        <v>1414</v>
      </c>
      <c r="P79" s="94"/>
      <c r="Q79" s="94"/>
      <c r="R79" s="94" t="s">
        <v>39</v>
      </c>
      <c r="S79" s="94"/>
      <c r="T79" s="94"/>
      <c r="U79" s="94"/>
      <c r="V79" s="94" t="s">
        <v>39</v>
      </c>
      <c r="W79" s="94" t="s">
        <v>39</v>
      </c>
      <c r="X79" s="94" t="s">
        <v>39</v>
      </c>
      <c r="Y79" s="94" t="s">
        <v>39</v>
      </c>
      <c r="Z79" s="94" t="s">
        <v>39</v>
      </c>
      <c r="AA79" s="91"/>
      <c r="AB79" s="94"/>
      <c r="AC79" s="94"/>
      <c r="AD79" s="94"/>
      <c r="AE79" s="94" t="s">
        <v>39</v>
      </c>
      <c r="AF79" s="94"/>
      <c r="AG79" s="91"/>
      <c r="AH79" s="91"/>
      <c r="AI79" s="94"/>
      <c r="AJ79" s="94"/>
      <c r="AK79" s="94" t="s">
        <v>39</v>
      </c>
      <c r="AL79" s="91" t="s">
        <v>39</v>
      </c>
      <c r="AM79" s="94" t="s">
        <v>39</v>
      </c>
      <c r="AN79" s="94" t="s">
        <v>39</v>
      </c>
      <c r="AO79" s="94" t="s">
        <v>39</v>
      </c>
      <c r="AP79" s="94"/>
      <c r="AQ79" s="91"/>
      <c r="AR79" s="94"/>
      <c r="AS79" s="94" t="s">
        <v>39</v>
      </c>
      <c r="AT79" s="91"/>
      <c r="AU79" s="94"/>
      <c r="AV79" s="94" t="s">
        <v>39</v>
      </c>
      <c r="AW79" s="94" t="s">
        <v>39</v>
      </c>
      <c r="AX79" s="94"/>
      <c r="AY79" s="94"/>
      <c r="AZ79" s="94" t="s">
        <v>39</v>
      </c>
      <c r="BA79" s="94" t="s">
        <v>39</v>
      </c>
      <c r="BB79" s="91"/>
      <c r="BC79" s="91" t="s">
        <v>39</v>
      </c>
      <c r="BD79" s="94"/>
      <c r="BE79" s="94" t="s">
        <v>39</v>
      </c>
      <c r="BF79" s="94" t="s">
        <v>39</v>
      </c>
      <c r="BG79" s="94"/>
    </row>
    <row r="80" spans="1:59" ht="22.5" customHeight="1">
      <c r="A80" s="53" t="s">
        <v>144</v>
      </c>
      <c r="B80" s="54" t="s">
        <v>39</v>
      </c>
      <c r="C80" s="54" t="s">
        <v>39</v>
      </c>
      <c r="D80" s="54" t="s">
        <v>39</v>
      </c>
      <c r="E80" s="48" t="s">
        <v>39</v>
      </c>
      <c r="F80" s="48" t="s">
        <v>4571</v>
      </c>
      <c r="G80" s="49" t="s">
        <v>39</v>
      </c>
      <c r="H80" s="54" t="s">
        <v>39</v>
      </c>
      <c r="I80" s="54" t="s">
        <v>39</v>
      </c>
      <c r="J80" s="54" t="s">
        <v>39</v>
      </c>
      <c r="K80" s="54" t="s">
        <v>39</v>
      </c>
      <c r="L80" s="54" t="s">
        <v>1541</v>
      </c>
      <c r="M80" s="54" t="s">
        <v>39</v>
      </c>
      <c r="N80" s="54" t="s">
        <v>101</v>
      </c>
      <c r="O80" s="48" t="s">
        <v>1415</v>
      </c>
      <c r="P80" s="54" t="s">
        <v>39</v>
      </c>
      <c r="Q80" s="54" t="s">
        <v>39</v>
      </c>
      <c r="R80" s="54" t="s">
        <v>39</v>
      </c>
      <c r="S80" s="54" t="s">
        <v>39</v>
      </c>
      <c r="T80" s="54" t="s">
        <v>39</v>
      </c>
      <c r="U80" s="54" t="s">
        <v>39</v>
      </c>
      <c r="V80" s="54" t="s">
        <v>39</v>
      </c>
      <c r="W80" s="54" t="s">
        <v>39</v>
      </c>
      <c r="X80" s="54" t="s">
        <v>39</v>
      </c>
      <c r="Y80" s="54" t="s">
        <v>39</v>
      </c>
      <c r="Z80" s="54" t="s">
        <v>39</v>
      </c>
      <c r="AA80" s="15" t="s">
        <v>39</v>
      </c>
      <c r="AB80" s="54" t="s">
        <v>181</v>
      </c>
      <c r="AC80" s="54" t="s">
        <v>39</v>
      </c>
      <c r="AD80" s="54" t="s">
        <v>39</v>
      </c>
      <c r="AE80" s="54" t="s">
        <v>39</v>
      </c>
      <c r="AF80" s="54" t="s">
        <v>39</v>
      </c>
      <c r="AG80" s="54" t="s">
        <v>39</v>
      </c>
      <c r="AH80" s="54" t="s">
        <v>39</v>
      </c>
      <c r="AI80" s="54" t="s">
        <v>39</v>
      </c>
      <c r="AJ80" s="54" t="s">
        <v>39</v>
      </c>
      <c r="AK80" s="54" t="s">
        <v>39</v>
      </c>
      <c r="AL80" s="54" t="s">
        <v>39</v>
      </c>
      <c r="AM80" s="54" t="s">
        <v>39</v>
      </c>
      <c r="AN80" s="54" t="s">
        <v>39</v>
      </c>
      <c r="AO80" s="54" t="s">
        <v>39</v>
      </c>
      <c r="AP80" s="54" t="s">
        <v>39</v>
      </c>
      <c r="AQ80" s="54" t="s">
        <v>39</v>
      </c>
      <c r="AR80" s="49" t="s">
        <v>39</v>
      </c>
      <c r="AS80" s="54" t="s">
        <v>39</v>
      </c>
      <c r="AT80" s="65" t="s">
        <v>39</v>
      </c>
      <c r="AU80" s="49" t="s">
        <v>39</v>
      </c>
      <c r="AV80" s="54" t="s">
        <v>39</v>
      </c>
      <c r="AW80" s="54" t="s">
        <v>39</v>
      </c>
      <c r="AX80" s="54" t="s">
        <v>39</v>
      </c>
      <c r="AY80" s="54" t="s">
        <v>39</v>
      </c>
      <c r="AZ80" s="54" t="s">
        <v>39</v>
      </c>
      <c r="BA80" s="54" t="s">
        <v>39</v>
      </c>
      <c r="BB80" s="54" t="s">
        <v>39</v>
      </c>
      <c r="BC80" s="54" t="s">
        <v>39</v>
      </c>
      <c r="BD80" s="54" t="s">
        <v>39</v>
      </c>
      <c r="BE80" s="54" t="s">
        <v>39</v>
      </c>
      <c r="BF80" s="54" t="s">
        <v>39</v>
      </c>
      <c r="BG80" s="48">
        <v>0.25</v>
      </c>
    </row>
    <row r="81" spans="1:59" ht="11.25" customHeight="1">
      <c r="A81" s="95" t="s">
        <v>688</v>
      </c>
      <c r="B81" s="94"/>
      <c r="C81" s="94"/>
      <c r="D81" s="94"/>
      <c r="E81" s="94" t="s">
        <v>39</v>
      </c>
      <c r="F81" s="94" t="s">
        <v>4572</v>
      </c>
      <c r="G81" s="91"/>
      <c r="H81" s="94" t="s">
        <v>39</v>
      </c>
      <c r="I81" s="94"/>
      <c r="J81" s="94" t="s">
        <v>39</v>
      </c>
      <c r="K81" s="94"/>
      <c r="L81" s="94" t="s">
        <v>1542</v>
      </c>
      <c r="M81" s="94" t="s">
        <v>39</v>
      </c>
      <c r="N81" s="94"/>
      <c r="O81" s="94" t="s">
        <v>1414</v>
      </c>
      <c r="P81" s="94"/>
      <c r="Q81" s="94"/>
      <c r="R81" s="94" t="s">
        <v>39</v>
      </c>
      <c r="S81" s="94"/>
      <c r="T81" s="94"/>
      <c r="U81" s="94"/>
      <c r="V81" s="94" t="s">
        <v>39</v>
      </c>
      <c r="W81" s="94" t="s">
        <v>39</v>
      </c>
      <c r="X81" s="94" t="s">
        <v>39</v>
      </c>
      <c r="Y81" s="94" t="s">
        <v>39</v>
      </c>
      <c r="Z81" s="94" t="s">
        <v>39</v>
      </c>
      <c r="AA81" s="91"/>
      <c r="AB81" s="94"/>
      <c r="AC81" s="94"/>
      <c r="AD81" s="94"/>
      <c r="AE81" s="94" t="s">
        <v>39</v>
      </c>
      <c r="AF81" s="94"/>
      <c r="AG81" s="91"/>
      <c r="AH81" s="91"/>
      <c r="AI81" s="94"/>
      <c r="AJ81" s="94"/>
      <c r="AK81" s="94" t="s">
        <v>39</v>
      </c>
      <c r="AL81" s="91" t="s">
        <v>39</v>
      </c>
      <c r="AM81" s="94" t="s">
        <v>39</v>
      </c>
      <c r="AN81" s="94" t="s">
        <v>39</v>
      </c>
      <c r="AO81" s="94" t="s">
        <v>39</v>
      </c>
      <c r="AP81" s="94"/>
      <c r="AQ81" s="91"/>
      <c r="AR81" s="94"/>
      <c r="AS81" s="94" t="s">
        <v>39</v>
      </c>
      <c r="AT81" s="91"/>
      <c r="AU81" s="94"/>
      <c r="AV81" s="94" t="s">
        <v>39</v>
      </c>
      <c r="AW81" s="94" t="s">
        <v>39</v>
      </c>
      <c r="AX81" s="94"/>
      <c r="AY81" s="94"/>
      <c r="AZ81" s="94" t="s">
        <v>39</v>
      </c>
      <c r="BA81" s="94" t="s">
        <v>39</v>
      </c>
      <c r="BB81" s="91"/>
      <c r="BC81" s="91" t="s">
        <v>39</v>
      </c>
      <c r="BD81" s="94"/>
      <c r="BE81" s="94" t="s">
        <v>39</v>
      </c>
      <c r="BF81" s="94" t="s">
        <v>39</v>
      </c>
      <c r="BG81" s="94"/>
    </row>
    <row r="82" spans="1:59" ht="22.5" customHeight="1">
      <c r="A82" s="53" t="s">
        <v>143</v>
      </c>
      <c r="B82" s="54" t="s">
        <v>39</v>
      </c>
      <c r="C82" s="54" t="s">
        <v>39</v>
      </c>
      <c r="D82" s="54" t="s">
        <v>39</v>
      </c>
      <c r="E82" s="48" t="s">
        <v>4573</v>
      </c>
      <c r="F82" s="48" t="s">
        <v>4571</v>
      </c>
      <c r="G82" s="49" t="s">
        <v>39</v>
      </c>
      <c r="H82" s="54" t="s">
        <v>2095</v>
      </c>
      <c r="I82" s="54" t="s">
        <v>2102</v>
      </c>
      <c r="J82" s="54" t="s">
        <v>2630</v>
      </c>
      <c r="K82" s="54" t="s">
        <v>39</v>
      </c>
      <c r="L82" s="54" t="s">
        <v>1541</v>
      </c>
      <c r="M82" s="54" t="s">
        <v>39</v>
      </c>
      <c r="N82" s="54" t="s">
        <v>39</v>
      </c>
      <c r="O82" s="54" t="s">
        <v>39</v>
      </c>
      <c r="P82" s="54" t="s">
        <v>39</v>
      </c>
      <c r="Q82" s="54" t="s">
        <v>39</v>
      </c>
      <c r="R82" s="54" t="s">
        <v>39</v>
      </c>
      <c r="S82" s="54" t="s">
        <v>39</v>
      </c>
      <c r="T82" s="54" t="s">
        <v>39</v>
      </c>
      <c r="U82" s="54" t="s">
        <v>39</v>
      </c>
      <c r="V82" s="54" t="s">
        <v>39</v>
      </c>
      <c r="W82" s="54" t="s">
        <v>39</v>
      </c>
      <c r="X82" s="54" t="s">
        <v>39</v>
      </c>
      <c r="Y82" s="54" t="s">
        <v>39</v>
      </c>
      <c r="Z82" s="54" t="s">
        <v>39</v>
      </c>
      <c r="AA82" s="15" t="s">
        <v>39</v>
      </c>
      <c r="AB82" s="54" t="s">
        <v>39</v>
      </c>
      <c r="AC82" s="54" t="s">
        <v>39</v>
      </c>
      <c r="AD82" s="54" t="s">
        <v>39</v>
      </c>
      <c r="AE82" s="54" t="s">
        <v>39</v>
      </c>
      <c r="AF82" s="54" t="s">
        <v>39</v>
      </c>
      <c r="AG82" s="54" t="s">
        <v>39</v>
      </c>
      <c r="AH82" s="54" t="s">
        <v>39</v>
      </c>
      <c r="AI82" s="54" t="s">
        <v>39</v>
      </c>
      <c r="AJ82" s="54" t="s">
        <v>39</v>
      </c>
      <c r="AK82" s="54" t="s">
        <v>39</v>
      </c>
      <c r="AL82" s="54" t="s">
        <v>39</v>
      </c>
      <c r="AM82" s="54" t="s">
        <v>39</v>
      </c>
      <c r="AN82" s="54" t="s">
        <v>39</v>
      </c>
      <c r="AO82" s="54" t="s">
        <v>39</v>
      </c>
      <c r="AP82" s="54" t="s">
        <v>39</v>
      </c>
      <c r="AQ82" s="54" t="s">
        <v>39</v>
      </c>
      <c r="AR82" s="49" t="s">
        <v>39</v>
      </c>
      <c r="AS82" s="54" t="s">
        <v>39</v>
      </c>
      <c r="AT82" s="65" t="s">
        <v>39</v>
      </c>
      <c r="AU82" s="49" t="s">
        <v>39</v>
      </c>
      <c r="AV82" s="54" t="s">
        <v>39</v>
      </c>
      <c r="AW82" s="54" t="s">
        <v>39</v>
      </c>
      <c r="AX82" s="54" t="s">
        <v>39</v>
      </c>
      <c r="AY82" s="54" t="s">
        <v>39</v>
      </c>
      <c r="AZ82" s="54" t="s">
        <v>39</v>
      </c>
      <c r="BA82" s="54" t="s">
        <v>39</v>
      </c>
      <c r="BB82" s="54" t="s">
        <v>39</v>
      </c>
      <c r="BC82" s="54" t="s">
        <v>39</v>
      </c>
      <c r="BD82" s="54" t="s">
        <v>39</v>
      </c>
      <c r="BE82" s="54" t="s">
        <v>39</v>
      </c>
      <c r="BF82" s="54" t="s">
        <v>39</v>
      </c>
      <c r="BG82" s="48">
        <v>0.25</v>
      </c>
    </row>
    <row r="83" spans="1:59" ht="11.25" customHeight="1">
      <c r="A83" s="95" t="s">
        <v>688</v>
      </c>
      <c r="B83" s="94"/>
      <c r="C83" s="94"/>
      <c r="D83" s="94"/>
      <c r="E83" s="94" t="s">
        <v>4573</v>
      </c>
      <c r="F83" s="94" t="s">
        <v>4572</v>
      </c>
      <c r="G83" s="91"/>
      <c r="H83" s="94" t="s">
        <v>2096</v>
      </c>
      <c r="I83" s="94"/>
      <c r="J83" s="94" t="s">
        <v>2670</v>
      </c>
      <c r="K83" s="94"/>
      <c r="L83" s="94" t="s">
        <v>1542</v>
      </c>
      <c r="M83" s="94" t="s">
        <v>39</v>
      </c>
      <c r="N83" s="94"/>
      <c r="O83" s="94" t="s">
        <v>39</v>
      </c>
      <c r="P83" s="94"/>
      <c r="Q83" s="94"/>
      <c r="R83" s="94" t="s">
        <v>39</v>
      </c>
      <c r="S83" s="94"/>
      <c r="T83" s="94"/>
      <c r="U83" s="94"/>
      <c r="V83" s="94" t="s">
        <v>39</v>
      </c>
      <c r="W83" s="94" t="s">
        <v>39</v>
      </c>
      <c r="X83" s="94" t="s">
        <v>39</v>
      </c>
      <c r="Y83" s="94" t="s">
        <v>39</v>
      </c>
      <c r="Z83" s="94" t="s">
        <v>39</v>
      </c>
      <c r="AA83" s="91"/>
      <c r="AB83" s="94"/>
      <c r="AC83" s="94"/>
      <c r="AD83" s="94"/>
      <c r="AE83" s="94" t="s">
        <v>39</v>
      </c>
      <c r="AF83" s="94"/>
      <c r="AG83" s="91"/>
      <c r="AH83" s="91"/>
      <c r="AI83" s="94"/>
      <c r="AJ83" s="94"/>
      <c r="AK83" s="94" t="s">
        <v>39</v>
      </c>
      <c r="AL83" s="91" t="s">
        <v>39</v>
      </c>
      <c r="AM83" s="94" t="s">
        <v>39</v>
      </c>
      <c r="AN83" s="94" t="s">
        <v>39</v>
      </c>
      <c r="AO83" s="94" t="s">
        <v>39</v>
      </c>
      <c r="AP83" s="94"/>
      <c r="AQ83" s="91"/>
      <c r="AR83" s="94"/>
      <c r="AS83" s="94" t="s">
        <v>39</v>
      </c>
      <c r="AT83" s="91"/>
      <c r="AU83" s="94"/>
      <c r="AV83" s="94" t="s">
        <v>39</v>
      </c>
      <c r="AW83" s="94" t="s">
        <v>39</v>
      </c>
      <c r="AX83" s="94"/>
      <c r="AY83" s="94"/>
      <c r="AZ83" s="94" t="s">
        <v>39</v>
      </c>
      <c r="BA83" s="94" t="s">
        <v>39</v>
      </c>
      <c r="BB83" s="91"/>
      <c r="BC83" s="91" t="s">
        <v>39</v>
      </c>
      <c r="BD83" s="94"/>
      <c r="BE83" s="94" t="s">
        <v>39</v>
      </c>
      <c r="BF83" s="94" t="s">
        <v>39</v>
      </c>
      <c r="BG83" s="94"/>
    </row>
    <row r="84" spans="1:59" ht="22.5" customHeight="1">
      <c r="A84" s="53" t="s">
        <v>182</v>
      </c>
      <c r="B84" s="54" t="s">
        <v>39</v>
      </c>
      <c r="C84" s="54" t="s">
        <v>39</v>
      </c>
      <c r="D84" s="54" t="s">
        <v>39</v>
      </c>
      <c r="E84" s="48" t="s">
        <v>39</v>
      </c>
      <c r="F84" s="48" t="s">
        <v>39</v>
      </c>
      <c r="G84" s="49" t="s">
        <v>39</v>
      </c>
      <c r="H84" s="54" t="s">
        <v>39</v>
      </c>
      <c r="I84" s="54" t="s">
        <v>39</v>
      </c>
      <c r="J84" s="54" t="s">
        <v>39</v>
      </c>
      <c r="K84" s="54" t="s">
        <v>39</v>
      </c>
      <c r="L84" s="54" t="s">
        <v>39</v>
      </c>
      <c r="M84" s="54" t="s">
        <v>39</v>
      </c>
      <c r="N84" s="54" t="s">
        <v>489</v>
      </c>
      <c r="O84" s="54" t="s">
        <v>39</v>
      </c>
      <c r="P84" s="54" t="s">
        <v>39</v>
      </c>
      <c r="Q84" s="54" t="s">
        <v>673</v>
      </c>
      <c r="R84" s="54" t="s">
        <v>673</v>
      </c>
      <c r="S84" s="54" t="s">
        <v>39</v>
      </c>
      <c r="T84" s="48" t="s">
        <v>1749</v>
      </c>
      <c r="U84" s="54" t="s">
        <v>39</v>
      </c>
      <c r="V84" s="54" t="s">
        <v>39</v>
      </c>
      <c r="W84" s="54" t="s">
        <v>39</v>
      </c>
      <c r="X84" s="54" t="s">
        <v>39</v>
      </c>
      <c r="Y84" s="54" t="s">
        <v>39</v>
      </c>
      <c r="Z84" s="54" t="s">
        <v>39</v>
      </c>
      <c r="AA84" s="17" t="s">
        <v>39</v>
      </c>
      <c r="AB84" s="54" t="s">
        <v>183</v>
      </c>
      <c r="AC84" s="54" t="s">
        <v>39</v>
      </c>
      <c r="AD84" s="54" t="s">
        <v>39</v>
      </c>
      <c r="AE84" s="54" t="s">
        <v>39</v>
      </c>
      <c r="AF84" s="54" t="s">
        <v>39</v>
      </c>
      <c r="AG84" s="54" t="s">
        <v>39</v>
      </c>
      <c r="AH84" s="54" t="s">
        <v>39</v>
      </c>
      <c r="AI84" s="54" t="s">
        <v>39</v>
      </c>
      <c r="AJ84" s="54" t="s">
        <v>39</v>
      </c>
      <c r="AK84" s="54" t="s">
        <v>39</v>
      </c>
      <c r="AL84" s="54" t="s">
        <v>39</v>
      </c>
      <c r="AM84" s="54" t="s">
        <v>39</v>
      </c>
      <c r="AN84" s="54" t="s">
        <v>39</v>
      </c>
      <c r="AO84" s="54" t="s">
        <v>39</v>
      </c>
      <c r="AP84" s="54" t="s">
        <v>39</v>
      </c>
      <c r="AQ84" s="49" t="s">
        <v>39</v>
      </c>
      <c r="AR84" s="49" t="s">
        <v>39</v>
      </c>
      <c r="AS84" s="54" t="s">
        <v>39</v>
      </c>
      <c r="AT84" s="65" t="s">
        <v>39</v>
      </c>
      <c r="AU84" s="49" t="s">
        <v>39</v>
      </c>
      <c r="AV84" s="54" t="s">
        <v>39</v>
      </c>
      <c r="AW84" s="54" t="s">
        <v>39</v>
      </c>
      <c r="AX84" s="54" t="s">
        <v>39</v>
      </c>
      <c r="AY84" s="54" t="s">
        <v>39</v>
      </c>
      <c r="AZ84" s="54" t="s">
        <v>39</v>
      </c>
      <c r="BA84" s="54" t="s">
        <v>39</v>
      </c>
      <c r="BB84" s="54" t="s">
        <v>39</v>
      </c>
      <c r="BC84" s="54" t="s">
        <v>39</v>
      </c>
      <c r="BD84" s="54" t="s">
        <v>39</v>
      </c>
      <c r="BE84" s="54" t="s">
        <v>39</v>
      </c>
      <c r="BF84" s="54" t="s">
        <v>39</v>
      </c>
      <c r="BG84" s="75" t="s">
        <v>441</v>
      </c>
    </row>
    <row r="85" spans="1:59" ht="11.25" customHeight="1">
      <c r="A85" s="95" t="s">
        <v>688</v>
      </c>
      <c r="B85" s="94"/>
      <c r="C85" s="94"/>
      <c r="D85" s="94"/>
      <c r="E85" s="94" t="s">
        <v>39</v>
      </c>
      <c r="F85" s="94" t="s">
        <v>39</v>
      </c>
      <c r="G85" s="91"/>
      <c r="H85" s="94" t="s">
        <v>39</v>
      </c>
      <c r="I85" s="94"/>
      <c r="J85" s="94" t="s">
        <v>39</v>
      </c>
      <c r="K85" s="94"/>
      <c r="L85" s="94" t="s">
        <v>39</v>
      </c>
      <c r="M85" s="94" t="s">
        <v>39</v>
      </c>
      <c r="N85" s="94"/>
      <c r="O85" s="94" t="s">
        <v>39</v>
      </c>
      <c r="P85" s="94"/>
      <c r="Q85" s="94"/>
      <c r="R85" s="94" t="s">
        <v>2808</v>
      </c>
      <c r="S85" s="94"/>
      <c r="T85" s="94"/>
      <c r="U85" s="94"/>
      <c r="V85" s="94" t="s">
        <v>39</v>
      </c>
      <c r="W85" s="94" t="s">
        <v>39</v>
      </c>
      <c r="X85" s="94" t="s">
        <v>39</v>
      </c>
      <c r="Y85" s="94" t="s">
        <v>39</v>
      </c>
      <c r="Z85" s="94" t="s">
        <v>39</v>
      </c>
      <c r="AA85" s="91"/>
      <c r="AB85" s="94"/>
      <c r="AC85" s="94"/>
      <c r="AD85" s="94"/>
      <c r="AE85" s="94" t="s">
        <v>39</v>
      </c>
      <c r="AF85" s="94"/>
      <c r="AG85" s="91"/>
      <c r="AH85" s="91"/>
      <c r="AI85" s="94"/>
      <c r="AJ85" s="94"/>
      <c r="AK85" s="94" t="s">
        <v>39</v>
      </c>
      <c r="AL85" s="91" t="s">
        <v>39</v>
      </c>
      <c r="AM85" s="94" t="s">
        <v>39</v>
      </c>
      <c r="AN85" s="94" t="s">
        <v>39</v>
      </c>
      <c r="AO85" s="94" t="s">
        <v>39</v>
      </c>
      <c r="AP85" s="94"/>
      <c r="AQ85" s="91"/>
      <c r="AR85" s="94"/>
      <c r="AS85" s="94" t="s">
        <v>39</v>
      </c>
      <c r="AT85" s="91"/>
      <c r="AU85" s="94"/>
      <c r="AV85" s="94" t="s">
        <v>39</v>
      </c>
      <c r="AW85" s="94" t="s">
        <v>39</v>
      </c>
      <c r="AX85" s="94"/>
      <c r="AY85" s="94"/>
      <c r="AZ85" s="94" t="s">
        <v>39</v>
      </c>
      <c r="BA85" s="94" t="s">
        <v>39</v>
      </c>
      <c r="BB85" s="91"/>
      <c r="BC85" s="91" t="s">
        <v>39</v>
      </c>
      <c r="BD85" s="94"/>
      <c r="BE85" s="94" t="s">
        <v>39</v>
      </c>
      <c r="BF85" s="94" t="s">
        <v>39</v>
      </c>
      <c r="BG85" s="94"/>
    </row>
    <row r="86" spans="1:59" s="55" customFormat="1" ht="22.5" customHeight="1">
      <c r="A86" s="53" t="s">
        <v>141</v>
      </c>
      <c r="B86" s="54" t="s">
        <v>39</v>
      </c>
      <c r="C86" s="54" t="s">
        <v>39</v>
      </c>
      <c r="D86" s="54" t="s">
        <v>4464</v>
      </c>
      <c r="E86" s="54" t="s">
        <v>39</v>
      </c>
      <c r="F86" s="54" t="s">
        <v>4574</v>
      </c>
      <c r="G86" s="49" t="s">
        <v>357</v>
      </c>
      <c r="H86" s="54" t="s">
        <v>2093</v>
      </c>
      <c r="I86" s="54" t="s">
        <v>2093</v>
      </c>
      <c r="J86" s="54" t="s">
        <v>2093</v>
      </c>
      <c r="K86" s="49" t="s">
        <v>39</v>
      </c>
      <c r="L86" s="54" t="s">
        <v>39</v>
      </c>
      <c r="M86" s="54" t="s">
        <v>39</v>
      </c>
      <c r="N86" s="54" t="s">
        <v>39</v>
      </c>
      <c r="O86" s="54" t="s">
        <v>39</v>
      </c>
      <c r="P86" s="54" t="s">
        <v>39</v>
      </c>
      <c r="Q86" s="54" t="s">
        <v>672</v>
      </c>
      <c r="R86" s="54" t="s">
        <v>672</v>
      </c>
      <c r="S86" s="54" t="s">
        <v>39</v>
      </c>
      <c r="T86" s="54" t="s">
        <v>39</v>
      </c>
      <c r="U86" s="54" t="s">
        <v>39</v>
      </c>
      <c r="V86" s="54" t="s">
        <v>39</v>
      </c>
      <c r="W86" s="54" t="s">
        <v>39</v>
      </c>
      <c r="X86" s="54" t="s">
        <v>1824</v>
      </c>
      <c r="Y86" s="54" t="s">
        <v>731</v>
      </c>
      <c r="Z86" s="54" t="s">
        <v>1116</v>
      </c>
      <c r="AA86" s="15" t="s">
        <v>39</v>
      </c>
      <c r="AB86" s="54" t="s">
        <v>184</v>
      </c>
      <c r="AC86" s="54" t="s">
        <v>479</v>
      </c>
      <c r="AD86" s="54" t="s">
        <v>480</v>
      </c>
      <c r="AE86" s="54" t="s">
        <v>39</v>
      </c>
      <c r="AF86" s="54" t="s">
        <v>39</v>
      </c>
      <c r="AG86" s="54" t="s">
        <v>39</v>
      </c>
      <c r="AH86" s="54" t="s">
        <v>39</v>
      </c>
      <c r="AI86" s="54" t="s">
        <v>39</v>
      </c>
      <c r="AJ86" s="54" t="s">
        <v>39</v>
      </c>
      <c r="AK86" s="54" t="s">
        <v>1189</v>
      </c>
      <c r="AL86" s="54" t="s">
        <v>4673</v>
      </c>
      <c r="AM86" s="54" t="s">
        <v>39</v>
      </c>
      <c r="AN86" s="54" t="s">
        <v>1189</v>
      </c>
      <c r="AO86" s="54" t="s">
        <v>39</v>
      </c>
      <c r="AP86" s="54" t="s">
        <v>39</v>
      </c>
      <c r="AQ86" s="49" t="s">
        <v>600</v>
      </c>
      <c r="AR86" s="49" t="s">
        <v>39</v>
      </c>
      <c r="AS86" s="54" t="s">
        <v>39</v>
      </c>
      <c r="AT86" s="65" t="s">
        <v>39</v>
      </c>
      <c r="AU86" s="49" t="s">
        <v>399</v>
      </c>
      <c r="AV86" s="54" t="s">
        <v>399</v>
      </c>
      <c r="AW86" s="54" t="s">
        <v>399</v>
      </c>
      <c r="AX86" s="54" t="s">
        <v>214</v>
      </c>
      <c r="AY86" s="54" t="s">
        <v>53</v>
      </c>
      <c r="AZ86" s="54" t="s">
        <v>1356</v>
      </c>
      <c r="BA86" s="54" t="s">
        <v>1279</v>
      </c>
      <c r="BB86" s="54" t="s">
        <v>39</v>
      </c>
      <c r="BC86" s="54" t="s">
        <v>39</v>
      </c>
      <c r="BD86" s="54" t="s">
        <v>192</v>
      </c>
      <c r="BE86" s="54" t="s">
        <v>39</v>
      </c>
      <c r="BF86" s="54" t="s">
        <v>39</v>
      </c>
      <c r="BG86" s="54" t="s">
        <v>39</v>
      </c>
    </row>
    <row r="87" spans="1:59" s="55" customFormat="1" ht="11.25" customHeight="1">
      <c r="A87" s="95" t="s">
        <v>688</v>
      </c>
      <c r="B87" s="94"/>
      <c r="C87" s="94"/>
      <c r="D87" s="94" t="s">
        <v>4427</v>
      </c>
      <c r="E87" s="94" t="s">
        <v>39</v>
      </c>
      <c r="F87" s="94" t="s">
        <v>4575</v>
      </c>
      <c r="G87" s="91"/>
      <c r="H87" s="94" t="s">
        <v>2091</v>
      </c>
      <c r="I87" s="94"/>
      <c r="J87" s="94" t="s">
        <v>2671</v>
      </c>
      <c r="K87" s="94"/>
      <c r="L87" s="94" t="s">
        <v>39</v>
      </c>
      <c r="M87" s="94" t="s">
        <v>39</v>
      </c>
      <c r="N87" s="94"/>
      <c r="O87" s="94" t="s">
        <v>39</v>
      </c>
      <c r="P87" s="94"/>
      <c r="Q87" s="94"/>
      <c r="R87" s="94" t="s">
        <v>2804</v>
      </c>
      <c r="S87" s="94"/>
      <c r="T87" s="94"/>
      <c r="U87" s="94"/>
      <c r="V87" s="94" t="s">
        <v>39</v>
      </c>
      <c r="W87" s="94" t="s">
        <v>39</v>
      </c>
      <c r="X87" s="94" t="s">
        <v>1823</v>
      </c>
      <c r="Y87" s="94" t="s">
        <v>732</v>
      </c>
      <c r="Z87" s="94" t="s">
        <v>1117</v>
      </c>
      <c r="AA87" s="91"/>
      <c r="AB87" s="94"/>
      <c r="AC87" s="94"/>
      <c r="AD87" s="94"/>
      <c r="AE87" s="94" t="s">
        <v>39</v>
      </c>
      <c r="AF87" s="94"/>
      <c r="AG87" s="91"/>
      <c r="AH87" s="91"/>
      <c r="AI87" s="94"/>
      <c r="AJ87" s="94"/>
      <c r="AK87" s="94" t="s">
        <v>1188</v>
      </c>
      <c r="AL87" s="91"/>
      <c r="AM87" s="94" t="s">
        <v>39</v>
      </c>
      <c r="AN87" s="94" t="s">
        <v>1188</v>
      </c>
      <c r="AO87" s="94" t="s">
        <v>39</v>
      </c>
      <c r="AP87" s="94"/>
      <c r="AQ87" s="91"/>
      <c r="AR87" s="94"/>
      <c r="AS87" s="94" t="s">
        <v>39</v>
      </c>
      <c r="AT87" s="91"/>
      <c r="AU87" s="94"/>
      <c r="AV87" s="94" t="s">
        <v>855</v>
      </c>
      <c r="AW87" s="94" t="s">
        <v>855</v>
      </c>
      <c r="AX87" s="94"/>
      <c r="AY87" s="94"/>
      <c r="AZ87" s="94" t="s">
        <v>1278</v>
      </c>
      <c r="BA87" s="94" t="s">
        <v>1278</v>
      </c>
      <c r="BB87" s="91"/>
      <c r="BC87" s="91" t="s">
        <v>39</v>
      </c>
      <c r="BD87" s="94"/>
      <c r="BE87" s="94" t="s">
        <v>39</v>
      </c>
      <c r="BF87" s="94" t="s">
        <v>39</v>
      </c>
      <c r="BG87" s="94"/>
    </row>
    <row r="88" spans="1:59" ht="22.5" customHeight="1">
      <c r="A88" s="53" t="s">
        <v>142</v>
      </c>
      <c r="B88" s="54" t="s">
        <v>39</v>
      </c>
      <c r="C88" s="54" t="s">
        <v>39</v>
      </c>
      <c r="D88" s="54" t="s">
        <v>39</v>
      </c>
      <c r="E88" s="48" t="s">
        <v>39</v>
      </c>
      <c r="F88" s="54" t="s">
        <v>4576</v>
      </c>
      <c r="G88" s="49" t="s">
        <v>39</v>
      </c>
      <c r="H88" s="54" t="s">
        <v>2092</v>
      </c>
      <c r="I88" s="54" t="s">
        <v>2092</v>
      </c>
      <c r="J88" s="54" t="s">
        <v>2092</v>
      </c>
      <c r="K88" s="49" t="s">
        <v>39</v>
      </c>
      <c r="L88" s="54" t="s">
        <v>39</v>
      </c>
      <c r="M88" s="54" t="s">
        <v>39</v>
      </c>
      <c r="N88" s="54" t="s">
        <v>39</v>
      </c>
      <c r="O88" s="54" t="s">
        <v>39</v>
      </c>
      <c r="P88" s="54" t="s">
        <v>346</v>
      </c>
      <c r="Q88" s="54" t="s">
        <v>672</v>
      </c>
      <c r="R88" s="54" t="s">
        <v>672</v>
      </c>
      <c r="S88" s="54" t="s">
        <v>39</v>
      </c>
      <c r="T88" s="54" t="s">
        <v>39</v>
      </c>
      <c r="U88" s="54" t="s">
        <v>39</v>
      </c>
      <c r="V88" s="54" t="s">
        <v>39</v>
      </c>
      <c r="W88" s="54" t="s">
        <v>39</v>
      </c>
      <c r="X88" s="54" t="s">
        <v>39</v>
      </c>
      <c r="Y88" s="54" t="s">
        <v>39</v>
      </c>
      <c r="Z88" s="54" t="s">
        <v>39</v>
      </c>
      <c r="AA88" s="15" t="s">
        <v>39</v>
      </c>
      <c r="AB88" s="54" t="s">
        <v>185</v>
      </c>
      <c r="AC88" s="54" t="s">
        <v>39</v>
      </c>
      <c r="AD88" s="54" t="s">
        <v>39</v>
      </c>
      <c r="AE88" s="54" t="s">
        <v>39</v>
      </c>
      <c r="AF88" s="54" t="s">
        <v>39</v>
      </c>
      <c r="AG88" s="54" t="s">
        <v>39</v>
      </c>
      <c r="AH88" s="54" t="s">
        <v>39</v>
      </c>
      <c r="AI88" s="54" t="s">
        <v>39</v>
      </c>
      <c r="AJ88" s="54" t="s">
        <v>39</v>
      </c>
      <c r="AK88" s="54" t="s">
        <v>39</v>
      </c>
      <c r="AL88" s="54" t="s">
        <v>39</v>
      </c>
      <c r="AM88" s="54" t="s">
        <v>39</v>
      </c>
      <c r="AN88" s="54" t="s">
        <v>39</v>
      </c>
      <c r="AO88" s="54" t="s">
        <v>39</v>
      </c>
      <c r="AP88" s="54" t="s">
        <v>39</v>
      </c>
      <c r="AQ88" s="49" t="s">
        <v>39</v>
      </c>
      <c r="AR88" s="49" t="s">
        <v>39</v>
      </c>
      <c r="AS88" s="54" t="s">
        <v>39</v>
      </c>
      <c r="AT88" s="65" t="s">
        <v>39</v>
      </c>
      <c r="AU88" s="49" t="s">
        <v>39</v>
      </c>
      <c r="AV88" s="54" t="s">
        <v>39</v>
      </c>
      <c r="AW88" s="54" t="s">
        <v>39</v>
      </c>
      <c r="AX88" s="54" t="s">
        <v>39</v>
      </c>
      <c r="AY88" s="54" t="s">
        <v>39</v>
      </c>
      <c r="AZ88" s="54" t="s">
        <v>39</v>
      </c>
      <c r="BA88" s="54" t="s">
        <v>39</v>
      </c>
      <c r="BB88" s="54" t="s">
        <v>39</v>
      </c>
      <c r="BC88" s="54" t="s">
        <v>39</v>
      </c>
      <c r="BD88" s="54" t="s">
        <v>39</v>
      </c>
      <c r="BE88" s="54" t="s">
        <v>963</v>
      </c>
      <c r="BF88" s="54" t="s">
        <v>963</v>
      </c>
      <c r="BG88" s="54" t="s">
        <v>39</v>
      </c>
    </row>
    <row r="89" spans="1:59" ht="11.25" customHeight="1">
      <c r="A89" s="95" t="s">
        <v>688</v>
      </c>
      <c r="B89" s="94"/>
      <c r="C89" s="94"/>
      <c r="D89" s="94"/>
      <c r="E89" s="94" t="s">
        <v>39</v>
      </c>
      <c r="F89" s="94" t="s">
        <v>4577</v>
      </c>
      <c r="G89" s="91"/>
      <c r="H89" s="94" t="s">
        <v>2091</v>
      </c>
      <c r="I89" s="94"/>
      <c r="J89" s="94" t="s">
        <v>2671</v>
      </c>
      <c r="K89" s="94"/>
      <c r="L89" s="94"/>
      <c r="M89" s="94" t="s">
        <v>39</v>
      </c>
      <c r="N89" s="94"/>
      <c r="O89" s="94" t="s">
        <v>39</v>
      </c>
      <c r="P89" s="94"/>
      <c r="Q89" s="94"/>
      <c r="R89" s="94" t="s">
        <v>2804</v>
      </c>
      <c r="S89" s="94"/>
      <c r="T89" s="94"/>
      <c r="U89" s="94"/>
      <c r="V89" s="94" t="s">
        <v>39</v>
      </c>
      <c r="W89" s="94" t="s">
        <v>39</v>
      </c>
      <c r="X89" s="94" t="s">
        <v>39</v>
      </c>
      <c r="Y89" s="94" t="s">
        <v>39</v>
      </c>
      <c r="Z89" s="94" t="s">
        <v>39</v>
      </c>
      <c r="AA89" s="91"/>
      <c r="AB89" s="94"/>
      <c r="AC89" s="94"/>
      <c r="AD89" s="94"/>
      <c r="AE89" s="94" t="s">
        <v>39</v>
      </c>
      <c r="AF89" s="94"/>
      <c r="AG89" s="91"/>
      <c r="AH89" s="91"/>
      <c r="AI89" s="94"/>
      <c r="AJ89" s="94"/>
      <c r="AK89" s="94" t="s">
        <v>39</v>
      </c>
      <c r="AL89" s="91" t="s">
        <v>39</v>
      </c>
      <c r="AM89" s="94" t="s">
        <v>39</v>
      </c>
      <c r="AN89" s="94" t="s">
        <v>39</v>
      </c>
      <c r="AO89" s="94" t="s">
        <v>39</v>
      </c>
      <c r="AP89" s="94"/>
      <c r="AQ89" s="91"/>
      <c r="AR89" s="94"/>
      <c r="AS89" s="94" t="s">
        <v>39</v>
      </c>
      <c r="AT89" s="91"/>
      <c r="AU89" s="94"/>
      <c r="AV89" s="94" t="s">
        <v>39</v>
      </c>
      <c r="AW89" s="94" t="s">
        <v>39</v>
      </c>
      <c r="AX89" s="94"/>
      <c r="AY89" s="94"/>
      <c r="AZ89" s="94" t="s">
        <v>39</v>
      </c>
      <c r="BA89" s="94" t="s">
        <v>39</v>
      </c>
      <c r="BB89" s="91"/>
      <c r="BC89" s="91" t="s">
        <v>39</v>
      </c>
      <c r="BD89" s="94"/>
      <c r="BE89" s="94" t="s">
        <v>964</v>
      </c>
      <c r="BF89" s="94" t="s">
        <v>964</v>
      </c>
      <c r="BG89" s="94"/>
    </row>
    <row r="90" spans="1:59" s="55" customFormat="1" ht="22.5" customHeight="1">
      <c r="A90" s="53" t="s">
        <v>95</v>
      </c>
      <c r="B90" s="54" t="s">
        <v>39</v>
      </c>
      <c r="C90" s="54" t="s">
        <v>39</v>
      </c>
      <c r="D90" s="54" t="s">
        <v>39</v>
      </c>
      <c r="E90" s="48" t="s">
        <v>39</v>
      </c>
      <c r="F90" s="54" t="s">
        <v>4576</v>
      </c>
      <c r="G90" s="49" t="s">
        <v>39</v>
      </c>
      <c r="H90" s="54" t="s">
        <v>2092</v>
      </c>
      <c r="I90" s="54" t="s">
        <v>2092</v>
      </c>
      <c r="J90" s="54" t="s">
        <v>2092</v>
      </c>
      <c r="K90" s="49" t="s">
        <v>39</v>
      </c>
      <c r="L90" s="54" t="s">
        <v>39</v>
      </c>
      <c r="M90" s="54" t="s">
        <v>39</v>
      </c>
      <c r="N90" s="54" t="s">
        <v>487</v>
      </c>
      <c r="O90" s="54" t="s">
        <v>39</v>
      </c>
      <c r="P90" s="54" t="s">
        <v>39</v>
      </c>
      <c r="Q90" s="54" t="s">
        <v>672</v>
      </c>
      <c r="R90" s="54" t="s">
        <v>672</v>
      </c>
      <c r="S90" s="54" t="s">
        <v>39</v>
      </c>
      <c r="T90" s="54" t="s">
        <v>224</v>
      </c>
      <c r="U90" s="54" t="s">
        <v>39</v>
      </c>
      <c r="V90" s="54" t="s">
        <v>39</v>
      </c>
      <c r="W90" s="54" t="s">
        <v>39</v>
      </c>
      <c r="X90" s="54" t="s">
        <v>687</v>
      </c>
      <c r="Y90" s="69" t="s">
        <v>687</v>
      </c>
      <c r="Z90" s="54" t="s">
        <v>39</v>
      </c>
      <c r="AA90" s="15" t="s">
        <v>39</v>
      </c>
      <c r="AB90" s="54" t="s">
        <v>185</v>
      </c>
      <c r="AC90" s="54" t="s">
        <v>39</v>
      </c>
      <c r="AD90" s="54" t="s">
        <v>39</v>
      </c>
      <c r="AE90" s="54" t="s">
        <v>39</v>
      </c>
      <c r="AF90" s="54" t="s">
        <v>39</v>
      </c>
      <c r="AG90" s="54" t="s">
        <v>39</v>
      </c>
      <c r="AH90" s="54" t="s">
        <v>39</v>
      </c>
      <c r="AI90" s="54" t="s">
        <v>39</v>
      </c>
      <c r="AJ90" s="54" t="s">
        <v>39</v>
      </c>
      <c r="AK90" s="54" t="s">
        <v>39</v>
      </c>
      <c r="AL90" s="54" t="s">
        <v>39</v>
      </c>
      <c r="AM90" s="54" t="s">
        <v>39</v>
      </c>
      <c r="AN90" s="54" t="s">
        <v>39</v>
      </c>
      <c r="AO90" s="54" t="s">
        <v>39</v>
      </c>
      <c r="AP90" s="54" t="s">
        <v>544</v>
      </c>
      <c r="AQ90" s="49" t="s">
        <v>39</v>
      </c>
      <c r="AR90" s="49" t="s">
        <v>39</v>
      </c>
      <c r="AS90" s="54" t="s">
        <v>39</v>
      </c>
      <c r="AT90" s="65" t="s">
        <v>39</v>
      </c>
      <c r="AU90" s="49" t="s">
        <v>39</v>
      </c>
      <c r="AV90" s="54" t="s">
        <v>39</v>
      </c>
      <c r="AW90" s="54" t="s">
        <v>39</v>
      </c>
      <c r="AX90" s="54" t="s">
        <v>39</v>
      </c>
      <c r="AY90" s="54" t="s">
        <v>39</v>
      </c>
      <c r="AZ90" s="54" t="s">
        <v>39</v>
      </c>
      <c r="BA90" s="54" t="s">
        <v>39</v>
      </c>
      <c r="BB90" s="69" t="s">
        <v>584</v>
      </c>
      <c r="BC90" s="54" t="s">
        <v>39</v>
      </c>
      <c r="BD90" s="54" t="s">
        <v>39</v>
      </c>
      <c r="BE90" s="54" t="s">
        <v>926</v>
      </c>
      <c r="BF90" s="54" t="s">
        <v>926</v>
      </c>
      <c r="BG90" s="54" t="s">
        <v>437</v>
      </c>
    </row>
    <row r="91" spans="1:59" s="55" customFormat="1" ht="11.25" customHeight="1">
      <c r="A91" s="95" t="s">
        <v>688</v>
      </c>
      <c r="B91" s="94"/>
      <c r="C91" s="94"/>
      <c r="D91" s="94"/>
      <c r="E91" s="94" t="s">
        <v>39</v>
      </c>
      <c r="F91" s="94" t="s">
        <v>4578</v>
      </c>
      <c r="G91" s="91"/>
      <c r="H91" s="94" t="s">
        <v>2091</v>
      </c>
      <c r="I91" s="94"/>
      <c r="J91" s="94" t="s">
        <v>2671</v>
      </c>
      <c r="K91" s="94"/>
      <c r="L91" s="94" t="s">
        <v>39</v>
      </c>
      <c r="M91" s="94" t="s">
        <v>39</v>
      </c>
      <c r="N91" s="94"/>
      <c r="O91" s="94" t="s">
        <v>39</v>
      </c>
      <c r="P91" s="94"/>
      <c r="Q91" s="94"/>
      <c r="R91" s="94" t="s">
        <v>2804</v>
      </c>
      <c r="S91" s="94"/>
      <c r="T91" s="94"/>
      <c r="U91" s="94"/>
      <c r="V91" s="94" t="s">
        <v>39</v>
      </c>
      <c r="W91" s="94" t="s">
        <v>39</v>
      </c>
      <c r="X91" s="94" t="s">
        <v>1823</v>
      </c>
      <c r="Y91" s="94" t="s">
        <v>733</v>
      </c>
      <c r="Z91" s="94" t="s">
        <v>39</v>
      </c>
      <c r="AA91" s="91"/>
      <c r="AB91" s="94"/>
      <c r="AC91" s="94"/>
      <c r="AD91" s="94"/>
      <c r="AE91" s="94" t="s">
        <v>39</v>
      </c>
      <c r="AF91" s="94"/>
      <c r="AG91" s="91"/>
      <c r="AH91" s="91"/>
      <c r="AI91" s="94"/>
      <c r="AJ91" s="94"/>
      <c r="AK91" s="94" t="s">
        <v>39</v>
      </c>
      <c r="AL91" s="91" t="s">
        <v>39</v>
      </c>
      <c r="AM91" s="94" t="s">
        <v>39</v>
      </c>
      <c r="AN91" s="94" t="s">
        <v>39</v>
      </c>
      <c r="AO91" s="94" t="s">
        <v>39</v>
      </c>
      <c r="AP91" s="94"/>
      <c r="AQ91" s="91"/>
      <c r="AR91" s="94"/>
      <c r="AS91" s="94" t="s">
        <v>39</v>
      </c>
      <c r="AT91" s="91"/>
      <c r="AU91" s="94"/>
      <c r="AV91" s="94" t="s">
        <v>39</v>
      </c>
      <c r="AW91" s="94" t="s">
        <v>39</v>
      </c>
      <c r="AX91" s="94"/>
      <c r="AY91" s="94"/>
      <c r="AZ91" s="94" t="s">
        <v>39</v>
      </c>
      <c r="BA91" s="94" t="s">
        <v>39</v>
      </c>
      <c r="BB91" s="91"/>
      <c r="BC91" s="91" t="s">
        <v>39</v>
      </c>
      <c r="BD91" s="94"/>
      <c r="BE91" s="94" t="s">
        <v>925</v>
      </c>
      <c r="BF91" s="94" t="s">
        <v>925</v>
      </c>
      <c r="BG91" s="94"/>
    </row>
    <row r="92" spans="1:59" s="55" customFormat="1" ht="22.5" customHeight="1">
      <c r="A92" s="53" t="s">
        <v>145</v>
      </c>
      <c r="B92" s="54" t="s">
        <v>39</v>
      </c>
      <c r="C92" s="54" t="s">
        <v>39</v>
      </c>
      <c r="D92" s="54" t="s">
        <v>39</v>
      </c>
      <c r="E92" s="54" t="s">
        <v>39</v>
      </c>
      <c r="F92" s="54" t="s">
        <v>39</v>
      </c>
      <c r="G92" s="49" t="s">
        <v>41</v>
      </c>
      <c r="H92" s="54" t="s">
        <v>2087</v>
      </c>
      <c r="I92" s="54" t="s">
        <v>2087</v>
      </c>
      <c r="J92" s="54" t="s">
        <v>2672</v>
      </c>
      <c r="K92" s="49" t="s">
        <v>284</v>
      </c>
      <c r="L92" s="54" t="s">
        <v>284</v>
      </c>
      <c r="M92" s="54" t="s">
        <v>39</v>
      </c>
      <c r="N92" s="54" t="s">
        <v>39</v>
      </c>
      <c r="O92" s="54" t="s">
        <v>39</v>
      </c>
      <c r="P92" s="54" t="s">
        <v>329</v>
      </c>
      <c r="Q92" s="54" t="s">
        <v>660</v>
      </c>
      <c r="R92" s="54" t="s">
        <v>2827</v>
      </c>
      <c r="S92" s="54" t="s">
        <v>39</v>
      </c>
      <c r="T92" s="54" t="s">
        <v>39</v>
      </c>
      <c r="U92" s="54" t="s">
        <v>41</v>
      </c>
      <c r="V92" s="54" t="s">
        <v>39</v>
      </c>
      <c r="W92" s="54" t="s">
        <v>39</v>
      </c>
      <c r="X92" s="54" t="s">
        <v>41</v>
      </c>
      <c r="Y92" s="54" t="s">
        <v>41</v>
      </c>
      <c r="Z92" s="54" t="s">
        <v>41</v>
      </c>
      <c r="AA92" s="15" t="s">
        <v>39</v>
      </c>
      <c r="AB92" s="54" t="s">
        <v>41</v>
      </c>
      <c r="AC92" s="54" t="s">
        <v>39</v>
      </c>
      <c r="AD92" s="54" t="s">
        <v>41</v>
      </c>
      <c r="AE92" s="54" t="s">
        <v>39</v>
      </c>
      <c r="AF92" s="54" t="s">
        <v>39</v>
      </c>
      <c r="AG92" s="54" t="s">
        <v>39</v>
      </c>
      <c r="AH92" s="54" t="s">
        <v>39</v>
      </c>
      <c r="AI92" s="49" t="s">
        <v>39</v>
      </c>
      <c r="AJ92" s="49" t="s">
        <v>529</v>
      </c>
      <c r="AK92" s="54" t="s">
        <v>1174</v>
      </c>
      <c r="AL92" s="54" t="s">
        <v>39</v>
      </c>
      <c r="AM92" s="54" t="s">
        <v>39</v>
      </c>
      <c r="AN92" s="54" t="s">
        <v>1174</v>
      </c>
      <c r="AO92" s="54" t="s">
        <v>39</v>
      </c>
      <c r="AP92" s="54" t="s">
        <v>39</v>
      </c>
      <c r="AQ92" s="54" t="s">
        <v>41</v>
      </c>
      <c r="AR92" s="49" t="s">
        <v>39</v>
      </c>
      <c r="AS92" s="54" t="s">
        <v>39</v>
      </c>
      <c r="AT92" s="65" t="s">
        <v>39</v>
      </c>
      <c r="AU92" s="49" t="s">
        <v>39</v>
      </c>
      <c r="AV92" s="54" t="s">
        <v>39</v>
      </c>
      <c r="AW92" s="54" t="s">
        <v>39</v>
      </c>
      <c r="AX92" s="54" t="s">
        <v>41</v>
      </c>
      <c r="AY92" s="54" t="s">
        <v>41</v>
      </c>
      <c r="AZ92" s="54" t="s">
        <v>41</v>
      </c>
      <c r="BA92" s="54" t="s">
        <v>41</v>
      </c>
      <c r="BB92" s="54" t="s">
        <v>39</v>
      </c>
      <c r="BC92" s="54" t="s">
        <v>39</v>
      </c>
      <c r="BD92" s="54" t="s">
        <v>41</v>
      </c>
      <c r="BE92" s="54" t="s">
        <v>39</v>
      </c>
      <c r="BF92" s="54" t="s">
        <v>39</v>
      </c>
      <c r="BG92" s="54" t="s">
        <v>41</v>
      </c>
    </row>
    <row r="93" spans="1:59" s="55" customFormat="1" ht="11.25" customHeight="1">
      <c r="A93" s="95" t="s">
        <v>688</v>
      </c>
      <c r="B93" s="94"/>
      <c r="C93" s="94"/>
      <c r="D93" s="94"/>
      <c r="E93" s="94"/>
      <c r="F93" s="94"/>
      <c r="G93" s="91"/>
      <c r="H93" s="94" t="s">
        <v>2085</v>
      </c>
      <c r="I93" s="94"/>
      <c r="J93" s="94" t="s">
        <v>2649</v>
      </c>
      <c r="K93" s="94"/>
      <c r="L93" s="94" t="s">
        <v>1534</v>
      </c>
      <c r="M93" s="94" t="s">
        <v>39</v>
      </c>
      <c r="N93" s="94"/>
      <c r="O93" s="94" t="s">
        <v>39</v>
      </c>
      <c r="P93" s="94"/>
      <c r="Q93" s="94"/>
      <c r="R93" s="94" t="s">
        <v>2813</v>
      </c>
      <c r="S93" s="94"/>
      <c r="T93" s="94"/>
      <c r="U93" s="94"/>
      <c r="V93" s="94" t="s">
        <v>39</v>
      </c>
      <c r="W93" s="94" t="s">
        <v>39</v>
      </c>
      <c r="X93" s="94" t="s">
        <v>1813</v>
      </c>
      <c r="Y93" s="94" t="s">
        <v>692</v>
      </c>
      <c r="Z93" s="94" t="s">
        <v>1073</v>
      </c>
      <c r="AA93" s="91"/>
      <c r="AB93" s="94"/>
      <c r="AC93" s="94"/>
      <c r="AD93" s="94"/>
      <c r="AE93" s="94" t="s">
        <v>39</v>
      </c>
      <c r="AF93" s="94"/>
      <c r="AG93" s="91"/>
      <c r="AH93" s="91"/>
      <c r="AI93" s="94"/>
      <c r="AJ93" s="94"/>
      <c r="AK93" s="94" t="s">
        <v>1173</v>
      </c>
      <c r="AL93" s="91" t="s">
        <v>39</v>
      </c>
      <c r="AM93" s="94" t="s">
        <v>39</v>
      </c>
      <c r="AN93" s="94" t="s">
        <v>1173</v>
      </c>
      <c r="AO93" s="94" t="s">
        <v>39</v>
      </c>
      <c r="AP93" s="94"/>
      <c r="AQ93" s="91"/>
      <c r="AR93" s="94"/>
      <c r="AS93" s="94" t="s">
        <v>39</v>
      </c>
      <c r="AT93" s="91"/>
      <c r="AU93" s="94"/>
      <c r="AV93" s="94" t="s">
        <v>39</v>
      </c>
      <c r="AW93" s="94" t="s">
        <v>39</v>
      </c>
      <c r="AX93" s="94"/>
      <c r="AY93" s="94"/>
      <c r="AZ93" s="94" t="s">
        <v>1302</v>
      </c>
      <c r="BA93" s="94" t="s">
        <v>1361</v>
      </c>
      <c r="BB93" s="91"/>
      <c r="BC93" s="91" t="s">
        <v>39</v>
      </c>
      <c r="BD93" s="94"/>
      <c r="BE93" s="94" t="s">
        <v>39</v>
      </c>
      <c r="BF93" s="94" t="s">
        <v>39</v>
      </c>
      <c r="BG93" s="94"/>
    </row>
    <row r="94" spans="1:59" ht="22.5" customHeight="1">
      <c r="A94" s="53" t="s">
        <v>146</v>
      </c>
      <c r="B94" s="54" t="s">
        <v>39</v>
      </c>
      <c r="C94" s="54" t="s">
        <v>39</v>
      </c>
      <c r="D94" s="54" t="s">
        <v>39</v>
      </c>
      <c r="E94" s="54" t="s">
        <v>4567</v>
      </c>
      <c r="F94" s="54" t="s">
        <v>4568</v>
      </c>
      <c r="G94" s="49" t="s">
        <v>39</v>
      </c>
      <c r="H94" s="54" t="s">
        <v>41</v>
      </c>
      <c r="I94" s="54" t="s">
        <v>41</v>
      </c>
      <c r="J94" s="54" t="s">
        <v>41</v>
      </c>
      <c r="K94" s="49" t="s">
        <v>41</v>
      </c>
      <c r="L94" s="54" t="s">
        <v>41</v>
      </c>
      <c r="M94" s="54" t="s">
        <v>39</v>
      </c>
      <c r="N94" s="54" t="s">
        <v>41</v>
      </c>
      <c r="O94" s="54" t="s">
        <v>41</v>
      </c>
      <c r="P94" s="54" t="s">
        <v>41</v>
      </c>
      <c r="Q94" s="54" t="s">
        <v>41</v>
      </c>
      <c r="R94" s="54" t="s">
        <v>41</v>
      </c>
      <c r="S94" s="54" t="s">
        <v>505</v>
      </c>
      <c r="T94" s="54" t="s">
        <v>41</v>
      </c>
      <c r="U94" s="54" t="s">
        <v>41</v>
      </c>
      <c r="V94" s="54" t="s">
        <v>41</v>
      </c>
      <c r="W94" s="54" t="s">
        <v>41</v>
      </c>
      <c r="X94" s="54" t="s">
        <v>41</v>
      </c>
      <c r="Y94" s="54" t="s">
        <v>41</v>
      </c>
      <c r="Z94" s="54" t="s">
        <v>41</v>
      </c>
      <c r="AA94" s="15" t="s">
        <v>39</v>
      </c>
      <c r="AB94" s="54" t="s">
        <v>41</v>
      </c>
      <c r="AC94" s="54" t="s">
        <v>41</v>
      </c>
      <c r="AD94" s="54" t="s">
        <v>41</v>
      </c>
      <c r="AE94" s="54" t="s">
        <v>41</v>
      </c>
      <c r="AF94" s="54" t="s">
        <v>41</v>
      </c>
      <c r="AG94" s="54" t="s">
        <v>39</v>
      </c>
      <c r="AH94" s="54" t="s">
        <v>39</v>
      </c>
      <c r="AI94" s="49" t="s">
        <v>41</v>
      </c>
      <c r="AJ94" s="49" t="s">
        <v>41</v>
      </c>
      <c r="AK94" s="54" t="s">
        <v>41</v>
      </c>
      <c r="AL94" s="54" t="s">
        <v>39</v>
      </c>
      <c r="AM94" s="54" t="s">
        <v>41</v>
      </c>
      <c r="AN94" s="54" t="s">
        <v>41</v>
      </c>
      <c r="AO94" s="54" t="s">
        <v>41</v>
      </c>
      <c r="AP94" s="54" t="s">
        <v>41</v>
      </c>
      <c r="AQ94" s="54" t="s">
        <v>39</v>
      </c>
      <c r="AR94" s="54" t="s">
        <v>41</v>
      </c>
      <c r="AS94" s="54" t="s">
        <v>41</v>
      </c>
      <c r="AT94" s="65" t="s">
        <v>39</v>
      </c>
      <c r="AU94" s="49" t="s">
        <v>39</v>
      </c>
      <c r="AV94" s="54" t="s">
        <v>41</v>
      </c>
      <c r="AW94" s="54" t="s">
        <v>41</v>
      </c>
      <c r="AX94" s="54" t="s">
        <v>39</v>
      </c>
      <c r="AY94" s="54" t="s">
        <v>39</v>
      </c>
      <c r="AZ94" s="54" t="s">
        <v>41</v>
      </c>
      <c r="BA94" s="54" t="s">
        <v>41</v>
      </c>
      <c r="BB94" s="54" t="s">
        <v>39</v>
      </c>
      <c r="BC94" s="54" t="s">
        <v>41</v>
      </c>
      <c r="BD94" s="54" t="s">
        <v>41</v>
      </c>
      <c r="BE94" s="54" t="s">
        <v>41</v>
      </c>
      <c r="BF94" s="49" t="s">
        <v>41</v>
      </c>
      <c r="BG94" s="54" t="s">
        <v>449</v>
      </c>
    </row>
    <row r="95" spans="1:59" ht="11.25" customHeight="1">
      <c r="A95" s="95" t="s">
        <v>688</v>
      </c>
      <c r="B95" s="94"/>
      <c r="C95" s="94"/>
      <c r="D95" s="94"/>
      <c r="E95" s="94" t="s">
        <v>4566</v>
      </c>
      <c r="F95" s="94" t="s">
        <v>4569</v>
      </c>
      <c r="G95" s="91"/>
      <c r="H95" s="94" t="s">
        <v>2088</v>
      </c>
      <c r="I95" s="94"/>
      <c r="J95" s="94" t="s">
        <v>2673</v>
      </c>
      <c r="K95" s="94" t="s">
        <v>1168</v>
      </c>
      <c r="L95" s="94" t="s">
        <v>1168</v>
      </c>
      <c r="M95" s="94" t="s">
        <v>39</v>
      </c>
      <c r="N95" s="94" t="s">
        <v>1168</v>
      </c>
      <c r="O95" s="94" t="s">
        <v>1168</v>
      </c>
      <c r="P95" s="94" t="s">
        <v>1168</v>
      </c>
      <c r="Q95" s="94" t="s">
        <v>1168</v>
      </c>
      <c r="R95" s="94" t="s">
        <v>1168</v>
      </c>
      <c r="S95" s="94"/>
      <c r="T95" s="94" t="s">
        <v>1168</v>
      </c>
      <c r="U95" s="94" t="s">
        <v>1168</v>
      </c>
      <c r="V95" s="94" t="s">
        <v>1168</v>
      </c>
      <c r="W95" s="94" t="s">
        <v>1168</v>
      </c>
      <c r="X95" s="94" t="s">
        <v>1168</v>
      </c>
      <c r="Y95" s="94" t="s">
        <v>1168</v>
      </c>
      <c r="Z95" s="94" t="s">
        <v>1168</v>
      </c>
      <c r="AA95" s="91"/>
      <c r="AB95" s="94" t="s">
        <v>1168</v>
      </c>
      <c r="AC95" s="94" t="s">
        <v>1168</v>
      </c>
      <c r="AD95" s="94" t="s">
        <v>1168</v>
      </c>
      <c r="AE95" s="94" t="s">
        <v>1168</v>
      </c>
      <c r="AF95" s="94" t="s">
        <v>1168</v>
      </c>
      <c r="AG95" s="91"/>
      <c r="AH95" s="91"/>
      <c r="AI95" s="94" t="s">
        <v>1168</v>
      </c>
      <c r="AJ95" s="94" t="s">
        <v>1168</v>
      </c>
      <c r="AK95" s="94" t="s">
        <v>1168</v>
      </c>
      <c r="AL95" s="91" t="s">
        <v>39</v>
      </c>
      <c r="AM95" s="94" t="s">
        <v>1168</v>
      </c>
      <c r="AN95" s="94" t="s">
        <v>1168</v>
      </c>
      <c r="AO95" s="94" t="s">
        <v>1168</v>
      </c>
      <c r="AP95" s="94" t="s">
        <v>1168</v>
      </c>
      <c r="AQ95" s="91"/>
      <c r="AR95" s="94" t="s">
        <v>1168</v>
      </c>
      <c r="AS95" s="94" t="s">
        <v>1168</v>
      </c>
      <c r="AT95" s="91"/>
      <c r="AU95" s="94"/>
      <c r="AV95" s="94" t="s">
        <v>1168</v>
      </c>
      <c r="AW95" s="94" t="s">
        <v>1168</v>
      </c>
      <c r="AX95" s="94"/>
      <c r="AY95" s="94"/>
      <c r="AZ95" s="94" t="s">
        <v>1168</v>
      </c>
      <c r="BA95" s="94" t="s">
        <v>1168</v>
      </c>
      <c r="BB95" s="91"/>
      <c r="BC95" s="94" t="s">
        <v>1168</v>
      </c>
      <c r="BD95" s="94" t="s">
        <v>1168</v>
      </c>
      <c r="BE95" s="94" t="s">
        <v>1168</v>
      </c>
      <c r="BF95" s="94" t="s">
        <v>1168</v>
      </c>
      <c r="BG95" s="94"/>
    </row>
    <row r="96" spans="1:59" s="55" customFormat="1" ht="22.5" customHeight="1">
      <c r="A96" s="53" t="s">
        <v>154</v>
      </c>
      <c r="B96" s="54" t="s">
        <v>39</v>
      </c>
      <c r="C96" s="54" t="s">
        <v>39</v>
      </c>
      <c r="D96" s="54" t="s">
        <v>4451</v>
      </c>
      <c r="E96" s="54" t="s">
        <v>4579</v>
      </c>
      <c r="F96" s="54" t="s">
        <v>4579</v>
      </c>
      <c r="G96" s="49" t="s">
        <v>39</v>
      </c>
      <c r="H96" s="54" t="s">
        <v>2089</v>
      </c>
      <c r="I96" s="54" t="s">
        <v>2089</v>
      </c>
      <c r="J96" s="54" t="s">
        <v>2089</v>
      </c>
      <c r="K96" s="54" t="s">
        <v>302</v>
      </c>
      <c r="L96" s="54" t="s">
        <v>302</v>
      </c>
      <c r="M96" s="54" t="s">
        <v>39</v>
      </c>
      <c r="N96" s="54" t="s">
        <v>488</v>
      </c>
      <c r="O96" s="54" t="s">
        <v>1407</v>
      </c>
      <c r="P96" s="54" t="s">
        <v>345</v>
      </c>
      <c r="Q96" s="54" t="s">
        <v>671</v>
      </c>
      <c r="R96" s="54" t="s">
        <v>671</v>
      </c>
      <c r="S96" s="69" t="s">
        <v>509</v>
      </c>
      <c r="T96" s="54" t="s">
        <v>225</v>
      </c>
      <c r="U96" s="54" t="s">
        <v>316</v>
      </c>
      <c r="V96" s="54" t="s">
        <v>39</v>
      </c>
      <c r="W96" s="54" t="s">
        <v>39</v>
      </c>
      <c r="X96" s="54" t="s">
        <v>1822</v>
      </c>
      <c r="Y96" s="54" t="s">
        <v>734</v>
      </c>
      <c r="Z96" s="54" t="s">
        <v>1113</v>
      </c>
      <c r="AA96" s="15" t="s">
        <v>24</v>
      </c>
      <c r="AB96" s="54" t="s">
        <v>186</v>
      </c>
      <c r="AC96" s="54" t="s">
        <v>473</v>
      </c>
      <c r="AD96" s="54" t="s">
        <v>305</v>
      </c>
      <c r="AE96" s="54" t="s">
        <v>3762</v>
      </c>
      <c r="AF96" s="54" t="s">
        <v>521</v>
      </c>
      <c r="AG96" s="54" t="s">
        <v>55</v>
      </c>
      <c r="AH96" s="54" t="s">
        <v>39</v>
      </c>
      <c r="AI96" s="49" t="s">
        <v>39</v>
      </c>
      <c r="AJ96" s="49" t="s">
        <v>39</v>
      </c>
      <c r="AK96" s="54" t="s">
        <v>1220</v>
      </c>
      <c r="AL96" s="54" t="s">
        <v>4673</v>
      </c>
      <c r="AM96" s="54" t="s">
        <v>1220</v>
      </c>
      <c r="AN96" s="54" t="s">
        <v>1220</v>
      </c>
      <c r="AO96" s="54" t="s">
        <v>1220</v>
      </c>
      <c r="AP96" s="54" t="s">
        <v>93</v>
      </c>
      <c r="AQ96" s="54" t="s">
        <v>604</v>
      </c>
      <c r="AR96" s="49" t="s">
        <v>39</v>
      </c>
      <c r="AS96" s="54" t="s">
        <v>39</v>
      </c>
      <c r="AT96" s="49" t="s">
        <v>454</v>
      </c>
      <c r="AU96" s="49" t="s">
        <v>398</v>
      </c>
      <c r="AV96" s="54" t="s">
        <v>854</v>
      </c>
      <c r="AW96" s="54" t="s">
        <v>854</v>
      </c>
      <c r="AX96" s="54" t="s">
        <v>570</v>
      </c>
      <c r="AY96" s="54" t="s">
        <v>569</v>
      </c>
      <c r="AZ96" s="54" t="s">
        <v>1355</v>
      </c>
      <c r="BA96" s="54" t="s">
        <v>1277</v>
      </c>
      <c r="BB96" s="54" t="s">
        <v>39</v>
      </c>
      <c r="BC96" s="54" t="s">
        <v>39</v>
      </c>
      <c r="BD96" s="54" t="s">
        <v>193</v>
      </c>
      <c r="BE96" s="54" t="s">
        <v>924</v>
      </c>
      <c r="BF96" s="54" t="s">
        <v>924</v>
      </c>
      <c r="BG96" s="54" t="s">
        <v>446</v>
      </c>
    </row>
    <row r="97" spans="1:59" s="55" customFormat="1" ht="11.25" customHeight="1">
      <c r="A97" s="95" t="s">
        <v>688</v>
      </c>
      <c r="B97" s="94"/>
      <c r="C97" s="94"/>
      <c r="D97" s="94" t="s">
        <v>4427</v>
      </c>
      <c r="E97" s="94" t="s">
        <v>4581</v>
      </c>
      <c r="F97" s="94" t="s">
        <v>4580</v>
      </c>
      <c r="G97" s="91"/>
      <c r="H97" s="94" t="s">
        <v>2090</v>
      </c>
      <c r="I97" s="94"/>
      <c r="J97" s="94" t="s">
        <v>2674</v>
      </c>
      <c r="K97" s="94"/>
      <c r="L97" s="94" t="s">
        <v>1560</v>
      </c>
      <c r="M97" s="94" t="s">
        <v>39</v>
      </c>
      <c r="N97" s="94"/>
      <c r="O97" s="94" t="s">
        <v>1384</v>
      </c>
      <c r="P97" s="94"/>
      <c r="Q97" s="94"/>
      <c r="R97" s="94" t="s">
        <v>2826</v>
      </c>
      <c r="S97" s="94"/>
      <c r="T97" s="94"/>
      <c r="U97" s="94"/>
      <c r="V97" s="94" t="s">
        <v>39</v>
      </c>
      <c r="W97" s="94" t="s">
        <v>39</v>
      </c>
      <c r="X97" s="94" t="s">
        <v>1821</v>
      </c>
      <c r="Y97" s="94" t="s">
        <v>735</v>
      </c>
      <c r="Z97" s="94" t="s">
        <v>1112</v>
      </c>
      <c r="AA97" s="91"/>
      <c r="AB97" s="94"/>
      <c r="AC97" s="94"/>
      <c r="AD97" s="94"/>
      <c r="AE97" s="94" t="s">
        <v>3761</v>
      </c>
      <c r="AF97" s="94"/>
      <c r="AG97" s="91"/>
      <c r="AH97" s="91"/>
      <c r="AI97" s="94"/>
      <c r="AJ97" s="94"/>
      <c r="AK97" s="94" t="s">
        <v>1219</v>
      </c>
      <c r="AL97" s="91"/>
      <c r="AM97" s="94" t="s">
        <v>1219</v>
      </c>
      <c r="AN97" s="94" t="s">
        <v>1219</v>
      </c>
      <c r="AO97" s="94" t="s">
        <v>1219</v>
      </c>
      <c r="AP97" s="94"/>
      <c r="AQ97" s="91"/>
      <c r="AR97" s="94"/>
      <c r="AS97" s="94" t="s">
        <v>39</v>
      </c>
      <c r="AT97" s="91"/>
      <c r="AU97" s="94"/>
      <c r="AV97" s="94" t="s">
        <v>853</v>
      </c>
      <c r="AW97" s="94" t="s">
        <v>853</v>
      </c>
      <c r="AX97" s="94"/>
      <c r="AY97" s="94"/>
      <c r="AZ97" s="94" t="s">
        <v>1276</v>
      </c>
      <c r="BA97" s="94" t="s">
        <v>1276</v>
      </c>
      <c r="BB97" s="91"/>
      <c r="BC97" s="91" t="s">
        <v>39</v>
      </c>
      <c r="BD97" s="94"/>
      <c r="BE97" s="94" t="s">
        <v>923</v>
      </c>
      <c r="BF97" s="94" t="s">
        <v>923</v>
      </c>
      <c r="BG97" s="94"/>
    </row>
    <row r="98" spans="1:59" s="55" customFormat="1" ht="45" customHeight="1">
      <c r="A98" s="53" t="s">
        <v>99</v>
      </c>
      <c r="B98" s="54" t="s">
        <v>497</v>
      </c>
      <c r="C98" s="54" t="s">
        <v>39</v>
      </c>
      <c r="D98" s="54" t="s">
        <v>4452</v>
      </c>
      <c r="E98" s="116" t="s">
        <v>4584</v>
      </c>
      <c r="F98" s="116" t="s">
        <v>4582</v>
      </c>
      <c r="G98" s="69" t="s">
        <v>354</v>
      </c>
      <c r="H98" s="54" t="s">
        <v>2029</v>
      </c>
      <c r="I98" s="54" t="s">
        <v>2029</v>
      </c>
      <c r="J98" s="54" t="s">
        <v>2641</v>
      </c>
      <c r="K98" s="49" t="s">
        <v>296</v>
      </c>
      <c r="L98" s="54" t="s">
        <v>1545</v>
      </c>
      <c r="M98" s="54" t="s">
        <v>39</v>
      </c>
      <c r="N98" s="54" t="s">
        <v>100</v>
      </c>
      <c r="O98" s="54" t="s">
        <v>1417</v>
      </c>
      <c r="P98" s="54" t="s">
        <v>336</v>
      </c>
      <c r="Q98" s="54" t="s">
        <v>666</v>
      </c>
      <c r="R98" s="54" t="s">
        <v>2801</v>
      </c>
      <c r="S98" s="54" t="s">
        <v>506</v>
      </c>
      <c r="T98" s="54" t="s">
        <v>468</v>
      </c>
      <c r="U98" s="54" t="s">
        <v>315</v>
      </c>
      <c r="V98" s="54" t="s">
        <v>1870</v>
      </c>
      <c r="W98" s="54" t="s">
        <v>1855</v>
      </c>
      <c r="X98" s="54" t="s">
        <v>1817</v>
      </c>
      <c r="Y98" s="54" t="s">
        <v>736</v>
      </c>
      <c r="Z98" s="49" t="s">
        <v>1084</v>
      </c>
      <c r="AA98" s="15" t="s">
        <v>85</v>
      </c>
      <c r="AB98" s="54" t="s">
        <v>86</v>
      </c>
      <c r="AC98" s="54" t="s">
        <v>3360</v>
      </c>
      <c r="AD98" s="54" t="s">
        <v>3361</v>
      </c>
      <c r="AE98" s="54" t="s">
        <v>3760</v>
      </c>
      <c r="AF98" s="54" t="s">
        <v>515</v>
      </c>
      <c r="AG98" s="54" t="s">
        <v>227</v>
      </c>
      <c r="AH98" s="54" t="s">
        <v>39</v>
      </c>
      <c r="AI98" s="54" t="s">
        <v>538</v>
      </c>
      <c r="AJ98" s="54" t="s">
        <v>537</v>
      </c>
      <c r="AK98" s="54" t="s">
        <v>1179</v>
      </c>
      <c r="AL98" s="54" t="s">
        <v>39</v>
      </c>
      <c r="AM98" s="54" t="s">
        <v>1180</v>
      </c>
      <c r="AN98" s="54" t="s">
        <v>1179</v>
      </c>
      <c r="AO98" s="54" t="s">
        <v>1180</v>
      </c>
      <c r="AP98" s="54" t="s">
        <v>229</v>
      </c>
      <c r="AQ98" s="54" t="s">
        <v>609</v>
      </c>
      <c r="AR98" s="49" t="s">
        <v>385</v>
      </c>
      <c r="AS98" s="54" t="s">
        <v>1744</v>
      </c>
      <c r="AT98" s="49" t="s">
        <v>451</v>
      </c>
      <c r="AU98" s="49" t="s">
        <v>451</v>
      </c>
      <c r="AV98" s="54" t="s">
        <v>858</v>
      </c>
      <c r="AW98" s="54" t="s">
        <v>858</v>
      </c>
      <c r="AX98" s="54" t="s">
        <v>825</v>
      </c>
      <c r="AY98" s="54" t="s">
        <v>826</v>
      </c>
      <c r="AZ98" s="54" t="s">
        <v>825</v>
      </c>
      <c r="BA98" s="54" t="s">
        <v>1324</v>
      </c>
      <c r="BB98" s="54" t="s">
        <v>577</v>
      </c>
      <c r="BC98" s="54" t="s">
        <v>3081</v>
      </c>
      <c r="BD98" s="54" t="s">
        <v>588</v>
      </c>
      <c r="BE98" s="54" t="s">
        <v>957</v>
      </c>
      <c r="BF98" s="54" t="s">
        <v>957</v>
      </c>
      <c r="BG98" s="54" t="s">
        <v>432</v>
      </c>
    </row>
    <row r="99" spans="1:59" s="55" customFormat="1" ht="11.25" customHeight="1">
      <c r="A99" s="95" t="s">
        <v>688</v>
      </c>
      <c r="B99" s="94"/>
      <c r="C99" s="94"/>
      <c r="D99" s="94" t="s">
        <v>4427</v>
      </c>
      <c r="E99" s="94" t="s">
        <v>4585</v>
      </c>
      <c r="F99" s="94" t="s">
        <v>4583</v>
      </c>
      <c r="G99" s="91"/>
      <c r="H99" s="94" t="s">
        <v>2028</v>
      </c>
      <c r="I99" s="94"/>
      <c r="J99" s="94" t="s">
        <v>2028</v>
      </c>
      <c r="K99" s="94"/>
      <c r="L99" s="94" t="s">
        <v>1544</v>
      </c>
      <c r="M99" s="94" t="s">
        <v>39</v>
      </c>
      <c r="N99" s="94"/>
      <c r="O99" s="94" t="s">
        <v>1416</v>
      </c>
      <c r="P99" s="94"/>
      <c r="Q99" s="94"/>
      <c r="R99" s="94" t="s">
        <v>2799</v>
      </c>
      <c r="S99" s="94"/>
      <c r="T99" s="94"/>
      <c r="U99" s="94"/>
      <c r="V99" s="94" t="s">
        <v>1835</v>
      </c>
      <c r="W99" s="94" t="s">
        <v>1802</v>
      </c>
      <c r="X99" s="94" t="s">
        <v>1816</v>
      </c>
      <c r="Y99" s="94" t="s">
        <v>737</v>
      </c>
      <c r="Z99" s="94" t="s">
        <v>1083</v>
      </c>
      <c r="AA99" s="91"/>
      <c r="AB99" s="94"/>
      <c r="AC99" s="94"/>
      <c r="AD99" s="94"/>
      <c r="AE99" s="94" t="s">
        <v>3759</v>
      </c>
      <c r="AF99" s="94"/>
      <c r="AG99" s="91"/>
      <c r="AH99" s="91"/>
      <c r="AI99" s="94"/>
      <c r="AJ99" s="94"/>
      <c r="AK99" s="94" t="s">
        <v>1175</v>
      </c>
      <c r="AL99" s="91" t="s">
        <v>39</v>
      </c>
      <c r="AM99" s="94" t="s">
        <v>1176</v>
      </c>
      <c r="AN99" s="94" t="s">
        <v>1175</v>
      </c>
      <c r="AO99" s="94" t="s">
        <v>1176</v>
      </c>
      <c r="AP99" s="94"/>
      <c r="AQ99" s="91"/>
      <c r="AR99" s="94"/>
      <c r="AS99" s="94" t="s">
        <v>1730</v>
      </c>
      <c r="AT99" s="91"/>
      <c r="AU99" s="94"/>
      <c r="AV99" s="94" t="s">
        <v>857</v>
      </c>
      <c r="AW99" s="94" t="s">
        <v>857</v>
      </c>
      <c r="AX99" s="94"/>
      <c r="AY99" s="94"/>
      <c r="AZ99" s="94" t="s">
        <v>1322</v>
      </c>
      <c r="BA99" s="94" t="s">
        <v>1322</v>
      </c>
      <c r="BB99" s="91"/>
      <c r="BC99" s="91" t="s">
        <v>3080</v>
      </c>
      <c r="BD99" s="94"/>
      <c r="BE99" s="94" t="s">
        <v>952</v>
      </c>
      <c r="BF99" s="94" t="s">
        <v>952</v>
      </c>
      <c r="BG99" s="94"/>
    </row>
    <row r="100" spans="1:59" s="55" customFormat="1" ht="22.5" customHeight="1">
      <c r="A100" s="53" t="s">
        <v>137</v>
      </c>
      <c r="B100" s="54" t="s">
        <v>39</v>
      </c>
      <c r="C100" s="54" t="s">
        <v>39</v>
      </c>
      <c r="D100" s="54" t="s">
        <v>4452</v>
      </c>
      <c r="E100" s="54" t="s">
        <v>39</v>
      </c>
      <c r="F100" s="54" t="s">
        <v>39</v>
      </c>
      <c r="G100" s="49" t="s">
        <v>39</v>
      </c>
      <c r="H100" s="54" t="s">
        <v>2031</v>
      </c>
      <c r="I100" s="54" t="s">
        <v>2031</v>
      </c>
      <c r="J100" s="54" t="s">
        <v>2642</v>
      </c>
      <c r="K100" s="49" t="s">
        <v>39</v>
      </c>
      <c r="L100" s="54" t="s">
        <v>39</v>
      </c>
      <c r="M100" s="54" t="s">
        <v>39</v>
      </c>
      <c r="N100" s="54" t="s">
        <v>39</v>
      </c>
      <c r="O100" s="54" t="s">
        <v>39</v>
      </c>
      <c r="P100" s="54" t="s">
        <v>39</v>
      </c>
      <c r="Q100" s="54" t="s">
        <v>39</v>
      </c>
      <c r="R100" s="54" t="s">
        <v>39</v>
      </c>
      <c r="S100" s="54" t="s">
        <v>39</v>
      </c>
      <c r="T100" s="54" t="s">
        <v>39</v>
      </c>
      <c r="U100" s="54" t="s">
        <v>39</v>
      </c>
      <c r="V100" s="54" t="s">
        <v>39</v>
      </c>
      <c r="W100" s="54" t="s">
        <v>39</v>
      </c>
      <c r="X100" s="54" t="s">
        <v>39</v>
      </c>
      <c r="Y100" s="54" t="s">
        <v>39</v>
      </c>
      <c r="Z100" s="54" t="s">
        <v>39</v>
      </c>
      <c r="AA100" s="15" t="s">
        <v>39</v>
      </c>
      <c r="AB100" s="54" t="s">
        <v>39</v>
      </c>
      <c r="AC100" s="54" t="s">
        <v>39</v>
      </c>
      <c r="AD100" s="54" t="s">
        <v>39</v>
      </c>
      <c r="AE100" s="54" t="s">
        <v>3757</v>
      </c>
      <c r="AF100" s="54" t="s">
        <v>39</v>
      </c>
      <c r="AG100" s="54" t="s">
        <v>39</v>
      </c>
      <c r="AH100" s="54" t="s">
        <v>39</v>
      </c>
      <c r="AI100" s="49" t="s">
        <v>39</v>
      </c>
      <c r="AJ100" s="49" t="s">
        <v>39</v>
      </c>
      <c r="AK100" s="54" t="s">
        <v>39</v>
      </c>
      <c r="AL100" s="54" t="s">
        <v>39</v>
      </c>
      <c r="AM100" s="54" t="s">
        <v>39</v>
      </c>
      <c r="AN100" s="54" t="s">
        <v>39</v>
      </c>
      <c r="AO100" s="54" t="s">
        <v>39</v>
      </c>
      <c r="AP100" s="54" t="s">
        <v>39</v>
      </c>
      <c r="AQ100" s="54" t="s">
        <v>39</v>
      </c>
      <c r="AR100" s="69" t="s">
        <v>391</v>
      </c>
      <c r="AS100" s="54" t="s">
        <v>39</v>
      </c>
      <c r="AT100" s="65" t="s">
        <v>39</v>
      </c>
      <c r="AU100" s="49" t="s">
        <v>39</v>
      </c>
      <c r="AV100" s="54" t="s">
        <v>39</v>
      </c>
      <c r="AW100" s="54" t="s">
        <v>39</v>
      </c>
      <c r="AX100" s="54" t="s">
        <v>39</v>
      </c>
      <c r="AY100" s="54" t="s">
        <v>39</v>
      </c>
      <c r="AZ100" s="54" t="s">
        <v>39</v>
      </c>
      <c r="BA100" s="54" t="s">
        <v>39</v>
      </c>
      <c r="BB100" s="54" t="s">
        <v>39</v>
      </c>
      <c r="BC100" s="54" t="s">
        <v>39</v>
      </c>
      <c r="BD100" s="54" t="s">
        <v>39</v>
      </c>
      <c r="BE100" s="54" t="s">
        <v>39</v>
      </c>
      <c r="BF100" s="54" t="s">
        <v>39</v>
      </c>
      <c r="BG100" s="54" t="s">
        <v>39</v>
      </c>
    </row>
    <row r="101" spans="1:59" s="55" customFormat="1" ht="11.25" customHeight="1">
      <c r="A101" s="95" t="s">
        <v>688</v>
      </c>
      <c r="B101" s="94"/>
      <c r="C101" s="94"/>
      <c r="D101" s="94" t="s">
        <v>4427</v>
      </c>
      <c r="E101" s="94"/>
      <c r="F101" s="94"/>
      <c r="G101" s="91"/>
      <c r="H101" s="94" t="s">
        <v>2030</v>
      </c>
      <c r="I101" s="94"/>
      <c r="J101" s="94" t="s">
        <v>2030</v>
      </c>
      <c r="K101" s="94"/>
      <c r="L101" s="94" t="s">
        <v>39</v>
      </c>
      <c r="M101" s="94" t="s">
        <v>39</v>
      </c>
      <c r="N101" s="94"/>
      <c r="O101" s="94" t="s">
        <v>39</v>
      </c>
      <c r="P101" s="94"/>
      <c r="Q101" s="94"/>
      <c r="R101" s="94" t="s">
        <v>39</v>
      </c>
      <c r="S101" s="94"/>
      <c r="T101" s="94"/>
      <c r="U101" s="94"/>
      <c r="V101" s="94" t="s">
        <v>39</v>
      </c>
      <c r="W101" s="94" t="s">
        <v>39</v>
      </c>
      <c r="X101" s="94" t="s">
        <v>39</v>
      </c>
      <c r="Y101" s="94" t="s">
        <v>39</v>
      </c>
      <c r="Z101" s="94" t="s">
        <v>39</v>
      </c>
      <c r="AA101" s="91"/>
      <c r="AB101" s="94"/>
      <c r="AC101" s="94"/>
      <c r="AD101" s="94"/>
      <c r="AE101" s="94" t="s">
        <v>3756</v>
      </c>
      <c r="AF101" s="94"/>
      <c r="AG101" s="91"/>
      <c r="AH101" s="91"/>
      <c r="AI101" s="94"/>
      <c r="AJ101" s="94"/>
      <c r="AK101" s="94" t="s">
        <v>39</v>
      </c>
      <c r="AL101" s="91" t="s">
        <v>39</v>
      </c>
      <c r="AM101" s="94" t="s">
        <v>39</v>
      </c>
      <c r="AN101" s="94" t="s">
        <v>39</v>
      </c>
      <c r="AO101" s="94" t="s">
        <v>39</v>
      </c>
      <c r="AP101" s="94"/>
      <c r="AQ101" s="91"/>
      <c r="AR101" s="94"/>
      <c r="AS101" s="94" t="s">
        <v>39</v>
      </c>
      <c r="AT101" s="91"/>
      <c r="AU101" s="94"/>
      <c r="AV101" s="94" t="s">
        <v>39</v>
      </c>
      <c r="AW101" s="94" t="s">
        <v>39</v>
      </c>
      <c r="AX101" s="94"/>
      <c r="AY101" s="94"/>
      <c r="AZ101" s="94" t="s">
        <v>39</v>
      </c>
      <c r="BA101" s="94" t="s">
        <v>39</v>
      </c>
      <c r="BB101" s="91"/>
      <c r="BC101" s="91" t="s">
        <v>39</v>
      </c>
      <c r="BD101" s="94"/>
      <c r="BE101" s="94" t="s">
        <v>39</v>
      </c>
      <c r="BF101" s="94" t="s">
        <v>39</v>
      </c>
      <c r="BG101" s="94"/>
    </row>
    <row r="102" spans="1:59" s="55" customFormat="1" ht="15" customHeight="1">
      <c r="A102" s="56"/>
      <c r="B102" s="56"/>
      <c r="C102" s="56"/>
      <c r="D102" s="56"/>
      <c r="H102" s="3"/>
      <c r="I102" s="3"/>
      <c r="J102" s="3"/>
      <c r="M102" s="56"/>
      <c r="N102" s="3"/>
      <c r="O102" s="3"/>
      <c r="Q102" s="3"/>
      <c r="R102" s="3"/>
      <c r="S102" s="3"/>
      <c r="T102" s="120"/>
      <c r="V102" s="56"/>
      <c r="W102" s="56"/>
      <c r="X102" s="56"/>
      <c r="Y102" s="56"/>
      <c r="Z102" s="56"/>
      <c r="AA102" s="4"/>
      <c r="AB102" s="121"/>
      <c r="AC102" s="4"/>
      <c r="AD102" s="121"/>
      <c r="AE102" s="4"/>
      <c r="AF102" s="4"/>
      <c r="AG102" s="4"/>
      <c r="AH102" s="4"/>
      <c r="AI102" s="4"/>
      <c r="AJ102" s="4"/>
      <c r="AK102" s="4"/>
      <c r="AL102" s="146"/>
      <c r="AM102" s="4"/>
      <c r="AN102" s="4"/>
      <c r="AO102" s="4"/>
      <c r="AP102" s="4"/>
      <c r="AQ102" s="4"/>
      <c r="AX102" s="4"/>
      <c r="AY102" s="4"/>
      <c r="AZ102" s="4"/>
      <c r="BA102" s="4"/>
      <c r="BB102" s="4"/>
      <c r="BC102" s="4"/>
      <c r="BD102" s="121"/>
      <c r="BE102" s="4"/>
      <c r="BF102" s="4"/>
    </row>
    <row r="103" spans="1:59" s="55" customFormat="1" ht="22.5" customHeight="1">
      <c r="A103" s="50" t="s">
        <v>70</v>
      </c>
      <c r="B103" s="57" t="str">
        <f>B1</f>
        <v>Allianz Unfall Aktiv</v>
      </c>
      <c r="C103" s="51" t="s">
        <v>4413</v>
      </c>
      <c r="D103" s="51" t="s">
        <v>4414</v>
      </c>
      <c r="E103" s="57" t="str">
        <f>E1</f>
        <v>Ammerländer Comfort</v>
      </c>
      <c r="F103" s="57" t="str">
        <f>F1</f>
        <v>Ammerländer Exclusiv</v>
      </c>
      <c r="G103" s="57" t="str">
        <f t="shared" ref="G103:BD103" si="2">G1</f>
        <v>AXA ohne Beitragsrückgew.
(Stand 04-2010)</v>
      </c>
      <c r="H103" s="6" t="str">
        <f>H1</f>
        <v>Baden Badener Top 2008
(Stand 11-2007)</v>
      </c>
      <c r="I103" s="6" t="str">
        <f>I1</f>
        <v>Baden Badener Top 2011
(Stand 03-2012)</v>
      </c>
      <c r="J103" s="6" t="str">
        <f>J1</f>
        <v>Baden Badener Top 2012
(Stand 03-2013)</v>
      </c>
      <c r="K103" s="57" t="str">
        <f t="shared" si="2"/>
        <v>Basler Ambiente Top
(Stand 01-2009)</v>
      </c>
      <c r="L103" s="6" t="str">
        <f t="shared" si="2"/>
        <v>Basler Ambiente Top
(Stand 04-2011)</v>
      </c>
      <c r="M103" s="57" t="str">
        <f>M1</f>
        <v>Chubb (Gruppenunfall)</v>
      </c>
      <c r="N103" s="6" t="str">
        <f t="shared" si="2"/>
        <v>Condor Comfort
(Stand 01-2009)</v>
      </c>
      <c r="O103" s="6" t="str">
        <f t="shared" si="2"/>
        <v>Debeka
(Stand 01-2008)</v>
      </c>
      <c r="P103" s="6" t="str">
        <f>P1</f>
        <v>Dt. Ring up-unfallprotect max (Stand 10-2010)</v>
      </c>
      <c r="Q103" s="6" t="str">
        <f t="shared" si="2"/>
        <v>DEVK Komplett
(Stand 05-2011)</v>
      </c>
      <c r="R103" s="6" t="str">
        <f t="shared" si="2"/>
        <v>DEVK Komplett
(Stand 12-2012)</v>
      </c>
      <c r="S103" s="6" t="str">
        <f t="shared" si="2"/>
        <v>ERGO Unfall life
(Stand 04-2010)</v>
      </c>
      <c r="T103" s="6" t="str">
        <f t="shared" si="2"/>
        <v>Generali Komfort Plus
(Stand 10-2012)</v>
      </c>
      <c r="U103" s="6" t="str">
        <f t="shared" si="2"/>
        <v>Gothaer Unfall Top 2010 Plus (01-2013)</v>
      </c>
      <c r="V103" s="57" t="str">
        <f>V1</f>
        <v>Grundeigentümer (Regulär)
Pro Domo Basis (10-2009)</v>
      </c>
      <c r="W103" s="57" t="str">
        <f>W1</f>
        <v>Grundeigentümer (Regulär)
Pro Domo Komfort (10-2009)</v>
      </c>
      <c r="X103" s="57" t="str">
        <f>X1</f>
        <v>Grundeigentümer (Regulär)
Pro Domo Premium (02-2010)</v>
      </c>
      <c r="Y103" s="57" t="str">
        <f>Y1</f>
        <v>HKD Vollschutz
(Stand 01-2012)</v>
      </c>
      <c r="Z103" s="57" t="str">
        <f>Z1</f>
        <v>Interlloyd Eurosecure 2005</v>
      </c>
      <c r="AA103" s="6" t="str">
        <f t="shared" si="2"/>
        <v>Interlloyd Protect
(Stand 2007)</v>
      </c>
      <c r="AB103" s="6" t="str">
        <f t="shared" si="2"/>
        <v>Interlloyd Premium
(Stand 01-2010)</v>
      </c>
      <c r="AC103" s="6" t="str">
        <f t="shared" si="2"/>
        <v>Interrisk XL (Plus-Taxe)
(Stand 07-2011)</v>
      </c>
      <c r="AD103" s="6" t="str">
        <f t="shared" si="2"/>
        <v>Interrisk XXL (Maxi-Taxe)
(Stand 07-2011)</v>
      </c>
      <c r="AE103" s="6" t="str">
        <f>AE1</f>
        <v>Janitos MLP Classic 2007
(Stand 01-2008)</v>
      </c>
      <c r="AF103" s="6" t="str">
        <f t="shared" si="2"/>
        <v>Janitos Balance
(Stand 04-2011)</v>
      </c>
      <c r="AG103" s="6" t="str">
        <f t="shared" si="2"/>
        <v>KRAVAG afm Familien-UV
(Stand 07-2008)</v>
      </c>
      <c r="AH103" s="6" t="str">
        <f t="shared" si="2"/>
        <v>KRAVAG afm Gruppen-UV
(Stand 07-2008)</v>
      </c>
      <c r="AI103" s="5" t="str">
        <f t="shared" si="2"/>
        <v>nationale suisse Basis-Plus
(Stand 01-2008)</v>
      </c>
      <c r="AJ103" s="5" t="str">
        <f t="shared" si="2"/>
        <v>nationale suisse Ideal
(Stand 01-2008)</v>
      </c>
      <c r="AK103" s="57" t="str">
        <f t="shared" si="2"/>
        <v>Prokundo ExklusivPaket
(Stand 01-2012)</v>
      </c>
      <c r="AL103" s="57" t="str">
        <f>AL1</f>
        <v>Prokundo Gleichgewicht</v>
      </c>
      <c r="AM103" s="57" t="str">
        <f t="shared" si="2"/>
        <v>Prokundo Komfort
(Stand 01-2012)</v>
      </c>
      <c r="AN103" s="57" t="str">
        <f>AN1</f>
        <v>Prokundo ExklusivPaket
(Stand 08-2012)</v>
      </c>
      <c r="AO103" s="57" t="str">
        <f>AO1</f>
        <v>Prokundo Komfort
(Stand 08-2012)</v>
      </c>
      <c r="AP103" s="6" t="str">
        <f t="shared" si="2"/>
        <v>Provinzial Top
(Stand 04-2009)</v>
      </c>
      <c r="AQ103" s="6" t="str">
        <f t="shared" si="2"/>
        <v>Rhion Plus
(Stand 04-2011)</v>
      </c>
      <c r="AR103" s="57" t="str">
        <f>AR1</f>
        <v>R+V Exklusiv
(Stand 07-2010)</v>
      </c>
      <c r="AS103" s="57" t="str">
        <f>AS1</f>
        <v>R+V PrivatPolice (classic)
(Stand 07-2012)</v>
      </c>
      <c r="AT103" s="6" t="str">
        <f t="shared" si="2"/>
        <v>Signal Iduna Basis
(Stand 05-2001)</v>
      </c>
      <c r="AU103" s="57" t="str">
        <f t="shared" si="2"/>
        <v>Signal Iduna Exklusiv
(Stand 11-2009)</v>
      </c>
      <c r="AV103" s="57" t="str">
        <f t="shared" si="2"/>
        <v>Signal Iduna Exklusiv
(Stand 10-2011)</v>
      </c>
      <c r="AW103" s="57" t="str">
        <f t="shared" si="2"/>
        <v>Signal Iduna Exklusiv (ÖD)
z.B. PVAG, VÖDAG
(Stand 10-2011)</v>
      </c>
      <c r="AX103" s="57" t="str">
        <f t="shared" si="2"/>
        <v>SLP Primus
(Stand 07-2010)</v>
      </c>
      <c r="AY103" s="57" t="str">
        <f t="shared" si="2"/>
        <v>SLP Primus Plus
(Stand 07-2010)</v>
      </c>
      <c r="AZ103" s="57" t="str">
        <f t="shared" si="2"/>
        <v>SLP Primus
(Stand 04-2012)</v>
      </c>
      <c r="BA103" s="57" t="str">
        <f t="shared" si="2"/>
        <v>SLP Primus Plus
(Stand 04-2012)</v>
      </c>
      <c r="BB103" s="6" t="str">
        <f t="shared" si="2"/>
        <v>Stuttgarter
(Stand 07-2010)</v>
      </c>
      <c r="BC103" s="6" t="str">
        <f t="shared" si="2"/>
        <v>VGH AUB 2008
(Stand 11-2010)</v>
      </c>
      <c r="BD103" s="6" t="str">
        <f t="shared" si="2"/>
        <v>VHV Exklusiv
(Stand 04-2011)</v>
      </c>
      <c r="BE103" s="57" t="str">
        <f>BE1</f>
        <v>Württembergische
(Stand 11-2009)</v>
      </c>
      <c r="BF103" s="57" t="str">
        <f>BF1</f>
        <v>Württembergische Top
(Stand 11-2009)</v>
      </c>
      <c r="BG103" s="57" t="str">
        <f>BG1</f>
        <v>Zurich Makler Top-Schutz
(Stand 04-2011)</v>
      </c>
    </row>
    <row r="104" spans="1:59" s="55" customFormat="1" ht="22.5" customHeight="1">
      <c r="A104" s="53" t="s">
        <v>59</v>
      </c>
      <c r="B104" s="69" t="s">
        <v>501</v>
      </c>
      <c r="C104" s="54" t="s">
        <v>281</v>
      </c>
      <c r="D104" s="54" t="s">
        <v>281</v>
      </c>
      <c r="E104" s="54" t="s">
        <v>39</v>
      </c>
      <c r="F104" s="54" t="s">
        <v>39</v>
      </c>
      <c r="G104" s="49" t="s">
        <v>358</v>
      </c>
      <c r="H104" s="54" t="s">
        <v>198</v>
      </c>
      <c r="I104" s="54" t="s">
        <v>198</v>
      </c>
      <c r="J104" s="54" t="s">
        <v>2660</v>
      </c>
      <c r="K104" s="49" t="s">
        <v>292</v>
      </c>
      <c r="L104" s="54" t="s">
        <v>292</v>
      </c>
      <c r="M104" s="54" t="s">
        <v>1018</v>
      </c>
      <c r="N104" s="54" t="s">
        <v>490</v>
      </c>
      <c r="O104" s="54" t="s">
        <v>39</v>
      </c>
      <c r="P104" s="54" t="s">
        <v>338</v>
      </c>
      <c r="Q104" s="54" t="s">
        <v>667</v>
      </c>
      <c r="R104" s="54" t="s">
        <v>667</v>
      </c>
      <c r="S104" s="69" t="s">
        <v>508</v>
      </c>
      <c r="T104" s="54" t="s">
        <v>1759</v>
      </c>
      <c r="U104" s="54" t="s">
        <v>39</v>
      </c>
      <c r="V104" s="54" t="s">
        <v>39</v>
      </c>
      <c r="W104" s="54" t="s">
        <v>39</v>
      </c>
      <c r="X104" s="54" t="s">
        <v>39</v>
      </c>
      <c r="Y104" s="69" t="s">
        <v>39</v>
      </c>
      <c r="Z104" s="49" t="s">
        <v>1092</v>
      </c>
      <c r="AA104" s="17" t="s">
        <v>188</v>
      </c>
      <c r="AB104" s="54" t="s">
        <v>188</v>
      </c>
      <c r="AC104" s="54" t="s">
        <v>39</v>
      </c>
      <c r="AD104" s="54" t="s">
        <v>39</v>
      </c>
      <c r="AE104" s="54" t="s">
        <v>39</v>
      </c>
      <c r="AF104" s="54" t="s">
        <v>39</v>
      </c>
      <c r="AG104" s="54" t="s">
        <v>240</v>
      </c>
      <c r="AH104" s="54" t="s">
        <v>240</v>
      </c>
      <c r="AI104" s="54" t="s">
        <v>39</v>
      </c>
      <c r="AJ104" s="54" t="s">
        <v>39</v>
      </c>
      <c r="AK104" s="54" t="s">
        <v>39</v>
      </c>
      <c r="AL104" s="54" t="s">
        <v>4424</v>
      </c>
      <c r="AM104" s="54" t="s">
        <v>39</v>
      </c>
      <c r="AN104" s="54" t="s">
        <v>39</v>
      </c>
      <c r="AO104" s="54" t="s">
        <v>39</v>
      </c>
      <c r="AP104" s="54" t="s">
        <v>680</v>
      </c>
      <c r="AQ104" s="49" t="s">
        <v>592</v>
      </c>
      <c r="AR104" s="49" t="s">
        <v>392</v>
      </c>
      <c r="AS104" s="54" t="s">
        <v>392</v>
      </c>
      <c r="AT104" s="65" t="s">
        <v>39</v>
      </c>
      <c r="AU104" s="54" t="s">
        <v>39</v>
      </c>
      <c r="AV104" s="54" t="s">
        <v>39</v>
      </c>
      <c r="AW104" s="54" t="s">
        <v>39</v>
      </c>
      <c r="AX104" s="69" t="s">
        <v>39</v>
      </c>
      <c r="AY104" s="69" t="s">
        <v>39</v>
      </c>
      <c r="AZ104" s="54" t="s">
        <v>39</v>
      </c>
      <c r="BA104" s="54" t="s">
        <v>39</v>
      </c>
      <c r="BB104" s="49" t="s">
        <v>578</v>
      </c>
      <c r="BC104" s="49" t="s">
        <v>39</v>
      </c>
      <c r="BD104" s="54" t="s">
        <v>39</v>
      </c>
      <c r="BE104" s="54" t="s">
        <v>39</v>
      </c>
      <c r="BF104" s="54" t="s">
        <v>39</v>
      </c>
      <c r="BG104" s="54" t="s">
        <v>433</v>
      </c>
    </row>
    <row r="105" spans="1:59" s="55" customFormat="1" ht="11.25" customHeight="1">
      <c r="A105" s="95" t="s">
        <v>688</v>
      </c>
      <c r="B105" s="94"/>
      <c r="C105" s="94"/>
      <c r="D105" s="94"/>
      <c r="E105" s="94"/>
      <c r="F105" s="94"/>
      <c r="G105" s="91"/>
      <c r="H105" s="94" t="s">
        <v>2024</v>
      </c>
      <c r="I105" s="94"/>
      <c r="J105" s="94" t="s">
        <v>2659</v>
      </c>
      <c r="K105" s="94"/>
      <c r="L105" s="94" t="s">
        <v>1563</v>
      </c>
      <c r="M105" s="94" t="s">
        <v>1017</v>
      </c>
      <c r="N105" s="94"/>
      <c r="O105" s="94" t="s">
        <v>39</v>
      </c>
      <c r="P105" s="94"/>
      <c r="Q105" s="94"/>
      <c r="R105" s="94" t="s">
        <v>2791</v>
      </c>
      <c r="S105" s="94"/>
      <c r="T105" s="94"/>
      <c r="U105" s="94"/>
      <c r="V105" s="94" t="s">
        <v>39</v>
      </c>
      <c r="W105" s="94" t="s">
        <v>39</v>
      </c>
      <c r="X105" s="94" t="s">
        <v>39</v>
      </c>
      <c r="Y105" s="94" t="s">
        <v>39</v>
      </c>
      <c r="Z105" s="94" t="s">
        <v>1091</v>
      </c>
      <c r="AA105" s="91"/>
      <c r="AB105" s="94"/>
      <c r="AC105" s="94"/>
      <c r="AD105" s="94"/>
      <c r="AE105" s="94" t="s">
        <v>39</v>
      </c>
      <c r="AF105" s="94"/>
      <c r="AG105" s="91"/>
      <c r="AH105" s="91"/>
      <c r="AI105" s="94"/>
      <c r="AJ105" s="94"/>
      <c r="AK105" s="94" t="s">
        <v>39</v>
      </c>
      <c r="AL105" s="91"/>
      <c r="AM105" s="94" t="s">
        <v>39</v>
      </c>
      <c r="AN105" s="94" t="s">
        <v>39</v>
      </c>
      <c r="AO105" s="94" t="s">
        <v>39</v>
      </c>
      <c r="AP105" s="94"/>
      <c r="AQ105" s="91"/>
      <c r="AR105" s="94"/>
      <c r="AS105" s="94" t="s">
        <v>1742</v>
      </c>
      <c r="AT105" s="91"/>
      <c r="AU105" s="94"/>
      <c r="AV105" s="94" t="s">
        <v>39</v>
      </c>
      <c r="AW105" s="94" t="s">
        <v>39</v>
      </c>
      <c r="AX105" s="94"/>
      <c r="AY105" s="94"/>
      <c r="AZ105" s="94" t="s">
        <v>39</v>
      </c>
      <c r="BA105" s="94" t="s">
        <v>39</v>
      </c>
      <c r="BB105" s="91"/>
      <c r="BC105" s="91" t="s">
        <v>39</v>
      </c>
      <c r="BD105" s="94"/>
      <c r="BE105" s="94" t="s">
        <v>39</v>
      </c>
      <c r="BF105" s="94" t="s">
        <v>39</v>
      </c>
      <c r="BG105" s="94"/>
    </row>
    <row r="106" spans="1:59" s="55" customFormat="1" ht="21" customHeight="1">
      <c r="A106" s="53" t="s">
        <v>82</v>
      </c>
      <c r="B106" s="54" t="s">
        <v>41</v>
      </c>
      <c r="C106" s="54" t="s">
        <v>41</v>
      </c>
      <c r="D106" s="54" t="s">
        <v>41</v>
      </c>
      <c r="E106" s="54" t="s">
        <v>4415</v>
      </c>
      <c r="F106" s="54" t="s">
        <v>4415</v>
      </c>
      <c r="G106" s="49" t="s">
        <v>41</v>
      </c>
      <c r="H106" s="54" t="s">
        <v>41</v>
      </c>
      <c r="I106" s="54" t="s">
        <v>41</v>
      </c>
      <c r="J106" s="54" t="s">
        <v>41</v>
      </c>
      <c r="K106" s="49" t="s">
        <v>41</v>
      </c>
      <c r="L106" s="54" t="s">
        <v>41</v>
      </c>
      <c r="M106" s="54" t="s">
        <v>41</v>
      </c>
      <c r="N106" s="54" t="s">
        <v>41</v>
      </c>
      <c r="O106" s="54" t="s">
        <v>41</v>
      </c>
      <c r="P106" s="54" t="s">
        <v>339</v>
      </c>
      <c r="Q106" s="54" t="s">
        <v>41</v>
      </c>
      <c r="R106" s="54" t="s">
        <v>41</v>
      </c>
      <c r="S106" s="54" t="s">
        <v>41</v>
      </c>
      <c r="T106" s="54" t="s">
        <v>41</v>
      </c>
      <c r="U106" s="54" t="s">
        <v>41</v>
      </c>
      <c r="V106" s="54" t="s">
        <v>41</v>
      </c>
      <c r="W106" s="54" t="s">
        <v>41</v>
      </c>
      <c r="X106" s="54" t="s">
        <v>41</v>
      </c>
      <c r="Y106" s="54" t="s">
        <v>41</v>
      </c>
      <c r="Z106" s="54" t="s">
        <v>41</v>
      </c>
      <c r="AA106" s="15" t="s">
        <v>41</v>
      </c>
      <c r="AB106" s="54" t="s">
        <v>41</v>
      </c>
      <c r="AC106" s="54" t="s">
        <v>41</v>
      </c>
      <c r="AD106" s="54" t="s">
        <v>41</v>
      </c>
      <c r="AE106" s="54" t="s">
        <v>41</v>
      </c>
      <c r="AF106" s="54" t="s">
        <v>41</v>
      </c>
      <c r="AG106" s="49" t="s">
        <v>41</v>
      </c>
      <c r="AH106" s="54" t="s">
        <v>41</v>
      </c>
      <c r="AI106" s="49" t="s">
        <v>41</v>
      </c>
      <c r="AJ106" s="49" t="s">
        <v>41</v>
      </c>
      <c r="AK106" s="54" t="s">
        <v>41</v>
      </c>
      <c r="AL106" s="54" t="s">
        <v>4660</v>
      </c>
      <c r="AM106" s="54" t="s">
        <v>41</v>
      </c>
      <c r="AN106" s="54" t="s">
        <v>41</v>
      </c>
      <c r="AO106" s="54" t="s">
        <v>41</v>
      </c>
      <c r="AP106" s="54" t="s">
        <v>41</v>
      </c>
      <c r="AQ106" s="49" t="s">
        <v>41</v>
      </c>
      <c r="AR106" s="49" t="s">
        <v>41</v>
      </c>
      <c r="AS106" s="54" t="s">
        <v>41</v>
      </c>
      <c r="AT106" s="65" t="s">
        <v>41</v>
      </c>
      <c r="AU106" s="49" t="s">
        <v>41</v>
      </c>
      <c r="AV106" s="54" t="s">
        <v>41</v>
      </c>
      <c r="AW106" s="54" t="s">
        <v>41</v>
      </c>
      <c r="AX106" s="49" t="s">
        <v>41</v>
      </c>
      <c r="AY106" s="49" t="s">
        <v>41</v>
      </c>
      <c r="AZ106" s="54" t="s">
        <v>41</v>
      </c>
      <c r="BA106" s="54" t="s">
        <v>41</v>
      </c>
      <c r="BB106" s="49" t="s">
        <v>41</v>
      </c>
      <c r="BC106" s="54" t="s">
        <v>41</v>
      </c>
      <c r="BD106" s="54" t="s">
        <v>41</v>
      </c>
      <c r="BE106" s="54" t="s">
        <v>41</v>
      </c>
      <c r="BF106" s="54" t="s">
        <v>41</v>
      </c>
      <c r="BG106" s="54" t="s">
        <v>41</v>
      </c>
    </row>
    <row r="107" spans="1:59" s="55" customFormat="1" ht="11.25" customHeight="1">
      <c r="A107" s="95" t="s">
        <v>688</v>
      </c>
      <c r="B107" s="94"/>
      <c r="C107" s="94" t="s">
        <v>4453</v>
      </c>
      <c r="D107" s="94" t="s">
        <v>4453</v>
      </c>
      <c r="E107" s="94" t="s">
        <v>4586</v>
      </c>
      <c r="F107" s="94" t="s">
        <v>4586</v>
      </c>
      <c r="G107" s="91"/>
      <c r="H107" s="94" t="s">
        <v>2081</v>
      </c>
      <c r="I107" s="94"/>
      <c r="J107" s="94" t="s">
        <v>2081</v>
      </c>
      <c r="K107" s="94"/>
      <c r="L107" s="94" t="s">
        <v>1567</v>
      </c>
      <c r="M107" s="94" t="s">
        <v>1015</v>
      </c>
      <c r="N107" s="94"/>
      <c r="O107" s="94" t="s">
        <v>1252</v>
      </c>
      <c r="P107" s="94"/>
      <c r="Q107" s="94"/>
      <c r="R107" s="94" t="s">
        <v>2841</v>
      </c>
      <c r="S107" s="94"/>
      <c r="T107" s="94"/>
      <c r="U107" s="94"/>
      <c r="V107" s="94" t="s">
        <v>1252</v>
      </c>
      <c r="W107" s="94" t="s">
        <v>1252</v>
      </c>
      <c r="X107" s="94" t="s">
        <v>1252</v>
      </c>
      <c r="Y107" s="94" t="s">
        <v>738</v>
      </c>
      <c r="Z107" s="94" t="s">
        <v>1089</v>
      </c>
      <c r="AA107" s="91"/>
      <c r="AB107" s="94"/>
      <c r="AC107" s="94"/>
      <c r="AD107" s="94"/>
      <c r="AE107" s="94" t="s">
        <v>3772</v>
      </c>
      <c r="AF107" s="94"/>
      <c r="AG107" s="91"/>
      <c r="AH107" s="91"/>
      <c r="AI107" s="94"/>
      <c r="AJ107" s="94"/>
      <c r="AK107" s="94" t="s">
        <v>1252</v>
      </c>
      <c r="AL107" s="91"/>
      <c r="AM107" s="94" t="s">
        <v>1252</v>
      </c>
      <c r="AN107" s="94" t="s">
        <v>1252</v>
      </c>
      <c r="AO107" s="94" t="s">
        <v>1252</v>
      </c>
      <c r="AP107" s="94"/>
      <c r="AQ107" s="91"/>
      <c r="AR107" s="94"/>
      <c r="AS107" s="94" t="s">
        <v>1740</v>
      </c>
      <c r="AT107" s="91"/>
      <c r="AU107" s="94"/>
      <c r="AV107" s="94" t="s">
        <v>874</v>
      </c>
      <c r="AW107" s="94" t="s">
        <v>874</v>
      </c>
      <c r="AX107" s="94"/>
      <c r="AY107" s="94"/>
      <c r="AZ107" s="94" t="s">
        <v>1252</v>
      </c>
      <c r="BA107" s="94" t="s">
        <v>1252</v>
      </c>
      <c r="BB107" s="91"/>
      <c r="BC107" s="94" t="s">
        <v>1252</v>
      </c>
      <c r="BD107" s="94"/>
      <c r="BE107" s="94" t="s">
        <v>917</v>
      </c>
      <c r="BF107" s="94" t="s">
        <v>917</v>
      </c>
      <c r="BG107" s="94"/>
    </row>
    <row r="108" spans="1:59" s="55" customFormat="1" ht="22.5" customHeight="1">
      <c r="A108" s="58" t="s">
        <v>49</v>
      </c>
      <c r="B108" s="54" t="s">
        <v>228</v>
      </c>
      <c r="C108" s="54" t="s">
        <v>228</v>
      </c>
      <c r="D108" s="54" t="s">
        <v>108</v>
      </c>
      <c r="E108" s="54" t="s">
        <v>4588</v>
      </c>
      <c r="F108" s="54" t="s">
        <v>4589</v>
      </c>
      <c r="G108" s="49" t="s">
        <v>228</v>
      </c>
      <c r="H108" s="54" t="s">
        <v>2083</v>
      </c>
      <c r="I108" s="54" t="s">
        <v>2103</v>
      </c>
      <c r="J108" s="54" t="s">
        <v>2842</v>
      </c>
      <c r="K108" s="49" t="s">
        <v>47</v>
      </c>
      <c r="L108" s="54" t="s">
        <v>607</v>
      </c>
      <c r="M108" s="54" t="s">
        <v>2163</v>
      </c>
      <c r="N108" s="54" t="s">
        <v>48</v>
      </c>
      <c r="O108" s="54" t="s">
        <v>892</v>
      </c>
      <c r="P108" s="54" t="s">
        <v>340</v>
      </c>
      <c r="Q108" s="54" t="s">
        <v>228</v>
      </c>
      <c r="R108" s="54" t="s">
        <v>892</v>
      </c>
      <c r="S108" s="54" t="s">
        <v>228</v>
      </c>
      <c r="T108" s="54" t="s">
        <v>1760</v>
      </c>
      <c r="U108" s="54" t="s">
        <v>47</v>
      </c>
      <c r="V108" s="54" t="s">
        <v>2601</v>
      </c>
      <c r="W108" s="54" t="s">
        <v>2845</v>
      </c>
      <c r="X108" s="54" t="s">
        <v>1760</v>
      </c>
      <c r="Y108" s="54" t="s">
        <v>587</v>
      </c>
      <c r="Z108" s="49" t="s">
        <v>1090</v>
      </c>
      <c r="AA108" s="54" t="s">
        <v>47</v>
      </c>
      <c r="AB108" s="54" t="s">
        <v>1781</v>
      </c>
      <c r="AC108" s="54" t="s">
        <v>2849</v>
      </c>
      <c r="AD108" s="54" t="s">
        <v>2850</v>
      </c>
      <c r="AE108" s="54" t="s">
        <v>1760</v>
      </c>
      <c r="AF108" s="54" t="s">
        <v>108</v>
      </c>
      <c r="AG108" s="54" t="s">
        <v>48</v>
      </c>
      <c r="AH108" s="54" t="s">
        <v>48</v>
      </c>
      <c r="AI108" s="54" t="s">
        <v>228</v>
      </c>
      <c r="AJ108" s="54" t="s">
        <v>228</v>
      </c>
      <c r="AK108" s="54" t="s">
        <v>1187</v>
      </c>
      <c r="AL108" s="54" t="s">
        <v>2852</v>
      </c>
      <c r="AM108" s="54" t="s">
        <v>1251</v>
      </c>
      <c r="AN108" s="54" t="s">
        <v>1187</v>
      </c>
      <c r="AO108" s="54" t="s">
        <v>1251</v>
      </c>
      <c r="AP108" s="54" t="s">
        <v>47</v>
      </c>
      <c r="AQ108" s="54" t="s">
        <v>607</v>
      </c>
      <c r="AR108" s="49" t="s">
        <v>382</v>
      </c>
      <c r="AS108" s="54" t="s">
        <v>382</v>
      </c>
      <c r="AT108" s="65" t="s">
        <v>228</v>
      </c>
      <c r="AU108" s="49" t="s">
        <v>228</v>
      </c>
      <c r="AV108" s="54" t="s">
        <v>892</v>
      </c>
      <c r="AW108" s="54" t="s">
        <v>892</v>
      </c>
      <c r="AX108" s="54" t="s">
        <v>608</v>
      </c>
      <c r="AY108" s="54" t="s">
        <v>562</v>
      </c>
      <c r="AZ108" s="54" t="s">
        <v>2851</v>
      </c>
      <c r="BA108" s="54" t="s">
        <v>587</v>
      </c>
      <c r="BB108" s="54" t="s">
        <v>228</v>
      </c>
      <c r="BC108" s="54" t="s">
        <v>892</v>
      </c>
      <c r="BD108" s="54" t="s">
        <v>587</v>
      </c>
      <c r="BE108" s="54" t="s">
        <v>607</v>
      </c>
      <c r="BF108" s="54" t="s">
        <v>607</v>
      </c>
      <c r="BG108" s="54" t="s">
        <v>47</v>
      </c>
    </row>
    <row r="109" spans="1:59" s="55" customFormat="1" ht="11.25" customHeight="1">
      <c r="A109" s="95" t="s">
        <v>688</v>
      </c>
      <c r="B109" s="94"/>
      <c r="C109" s="94" t="s">
        <v>4454</v>
      </c>
      <c r="D109" s="94" t="s">
        <v>4455</v>
      </c>
      <c r="E109" s="94" t="s">
        <v>4590</v>
      </c>
      <c r="F109" s="94" t="s">
        <v>4587</v>
      </c>
      <c r="G109" s="91"/>
      <c r="H109" s="94" t="s">
        <v>2082</v>
      </c>
      <c r="I109" s="94"/>
      <c r="J109" s="94" t="s">
        <v>2082</v>
      </c>
      <c r="K109" s="94"/>
      <c r="L109" s="94" t="s">
        <v>1567</v>
      </c>
      <c r="M109" s="94" t="s">
        <v>1014</v>
      </c>
      <c r="N109" s="94"/>
      <c r="O109" s="94" t="s">
        <v>1250</v>
      </c>
      <c r="P109" s="94"/>
      <c r="Q109" s="94"/>
      <c r="R109" s="94" t="s">
        <v>2841</v>
      </c>
      <c r="S109" s="94"/>
      <c r="T109" s="94"/>
      <c r="U109" s="94"/>
      <c r="V109" s="94" t="s">
        <v>1250</v>
      </c>
      <c r="W109" s="94" t="s">
        <v>1834</v>
      </c>
      <c r="X109" s="94" t="s">
        <v>1793</v>
      </c>
      <c r="Y109" s="94" t="s">
        <v>739</v>
      </c>
      <c r="Z109" s="94" t="s">
        <v>1089</v>
      </c>
      <c r="AA109" s="91"/>
      <c r="AB109" s="94"/>
      <c r="AC109" s="94"/>
      <c r="AD109" s="94"/>
      <c r="AE109" s="94" t="s">
        <v>3769</v>
      </c>
      <c r="AF109" s="94"/>
      <c r="AG109" s="91"/>
      <c r="AH109" s="91"/>
      <c r="AI109" s="94"/>
      <c r="AJ109" s="94"/>
      <c r="AK109" s="94" t="s">
        <v>1186</v>
      </c>
      <c r="AL109" s="91" t="s">
        <v>4661</v>
      </c>
      <c r="AM109" s="94" t="s">
        <v>1250</v>
      </c>
      <c r="AN109" s="94" t="s">
        <v>1186</v>
      </c>
      <c r="AO109" s="94" t="s">
        <v>1250</v>
      </c>
      <c r="AP109" s="94"/>
      <c r="AQ109" s="91"/>
      <c r="AR109" s="94"/>
      <c r="AS109" s="94" t="s">
        <v>1720</v>
      </c>
      <c r="AT109" s="91"/>
      <c r="AU109" s="94"/>
      <c r="AV109" s="94" t="s">
        <v>893</v>
      </c>
      <c r="AW109" s="94" t="s">
        <v>893</v>
      </c>
      <c r="AX109" s="94"/>
      <c r="AY109" s="94"/>
      <c r="AZ109" s="94" t="s">
        <v>1336</v>
      </c>
      <c r="BA109" s="94" t="s">
        <v>1336</v>
      </c>
      <c r="BB109" s="91"/>
      <c r="BC109" s="94" t="s">
        <v>1250</v>
      </c>
      <c r="BD109" s="94"/>
      <c r="BE109" s="94" t="s">
        <v>966</v>
      </c>
      <c r="BF109" s="94" t="s">
        <v>966</v>
      </c>
      <c r="BG109" s="94"/>
    </row>
    <row r="110" spans="1:59" s="55" customFormat="1" ht="22.5" customHeight="1">
      <c r="A110" s="53" t="s">
        <v>156</v>
      </c>
      <c r="B110" s="54" t="s">
        <v>39</v>
      </c>
      <c r="C110" s="54" t="s">
        <v>41</v>
      </c>
      <c r="D110" s="54" t="s">
        <v>41</v>
      </c>
      <c r="E110" s="54" t="s">
        <v>41</v>
      </c>
      <c r="F110" s="54" t="s">
        <v>41</v>
      </c>
      <c r="G110" s="69" t="s">
        <v>39</v>
      </c>
      <c r="H110" s="54" t="s">
        <v>41</v>
      </c>
      <c r="I110" s="54" t="s">
        <v>41</v>
      </c>
      <c r="J110" s="54" t="s">
        <v>41</v>
      </c>
      <c r="K110" s="54" t="s">
        <v>39</v>
      </c>
      <c r="L110" s="54" t="s">
        <v>39</v>
      </c>
      <c r="M110" s="54" t="s">
        <v>39</v>
      </c>
      <c r="N110" s="54" t="s">
        <v>41</v>
      </c>
      <c r="O110" s="54" t="s">
        <v>39</v>
      </c>
      <c r="P110" s="54" t="s">
        <v>41</v>
      </c>
      <c r="Q110" s="54" t="s">
        <v>39</v>
      </c>
      <c r="R110" s="54" t="s">
        <v>39</v>
      </c>
      <c r="S110" s="69" t="s">
        <v>39</v>
      </c>
      <c r="T110" s="54" t="s">
        <v>39</v>
      </c>
      <c r="U110" s="54" t="s">
        <v>41</v>
      </c>
      <c r="V110" s="54" t="s">
        <v>39</v>
      </c>
      <c r="W110" s="54" t="s">
        <v>39</v>
      </c>
      <c r="X110" s="54" t="s">
        <v>41</v>
      </c>
      <c r="Y110" s="54" t="s">
        <v>41</v>
      </c>
      <c r="Z110" s="54" t="s">
        <v>41</v>
      </c>
      <c r="AA110" s="15" t="s">
        <v>41</v>
      </c>
      <c r="AB110" s="54" t="s">
        <v>41</v>
      </c>
      <c r="AC110" s="54" t="s">
        <v>3367</v>
      </c>
      <c r="AD110" s="54" t="s">
        <v>3367</v>
      </c>
      <c r="AE110" s="54" t="s">
        <v>41</v>
      </c>
      <c r="AF110" s="54" t="s">
        <v>41</v>
      </c>
      <c r="AG110" s="49" t="s">
        <v>41</v>
      </c>
      <c r="AH110" s="54" t="s">
        <v>41</v>
      </c>
      <c r="AI110" s="49" t="s">
        <v>41</v>
      </c>
      <c r="AJ110" s="49" t="s">
        <v>41</v>
      </c>
      <c r="AK110" s="54" t="s">
        <v>41</v>
      </c>
      <c r="AL110" s="54" t="s">
        <v>39</v>
      </c>
      <c r="AM110" s="54" t="s">
        <v>41</v>
      </c>
      <c r="AN110" s="54" t="s">
        <v>41</v>
      </c>
      <c r="AO110" s="54" t="s">
        <v>41</v>
      </c>
      <c r="AP110" s="54" t="s">
        <v>39</v>
      </c>
      <c r="AQ110" s="54" t="s">
        <v>41</v>
      </c>
      <c r="AR110" s="49" t="s">
        <v>41</v>
      </c>
      <c r="AS110" s="54" t="s">
        <v>41</v>
      </c>
      <c r="AT110" s="73" t="s">
        <v>39</v>
      </c>
      <c r="AU110" s="69" t="s">
        <v>39</v>
      </c>
      <c r="AV110" s="54" t="s">
        <v>39</v>
      </c>
      <c r="AW110" s="54" t="s">
        <v>39</v>
      </c>
      <c r="AX110" s="54" t="s">
        <v>41</v>
      </c>
      <c r="AY110" s="54" t="s">
        <v>41</v>
      </c>
      <c r="AZ110" s="54" t="s">
        <v>41</v>
      </c>
      <c r="BA110" s="54" t="s">
        <v>41</v>
      </c>
      <c r="BB110" s="54" t="s">
        <v>39</v>
      </c>
      <c r="BC110" s="54" t="s">
        <v>39</v>
      </c>
      <c r="BD110" s="54" t="s">
        <v>41</v>
      </c>
      <c r="BE110" s="54" t="s">
        <v>39</v>
      </c>
      <c r="BF110" s="54" t="s">
        <v>39</v>
      </c>
      <c r="BG110" s="54" t="s">
        <v>41</v>
      </c>
    </row>
    <row r="111" spans="1:59" s="55" customFormat="1" ht="11.25" customHeight="1">
      <c r="A111" s="95" t="s">
        <v>688</v>
      </c>
      <c r="B111" s="94"/>
      <c r="C111" s="94" t="s">
        <v>4456</v>
      </c>
      <c r="D111" s="94" t="s">
        <v>4456</v>
      </c>
      <c r="E111" s="94" t="s">
        <v>4592</v>
      </c>
      <c r="F111" s="94" t="s">
        <v>4591</v>
      </c>
      <c r="G111" s="91"/>
      <c r="H111" s="94" t="s">
        <v>2080</v>
      </c>
      <c r="I111" s="94"/>
      <c r="J111" s="94" t="s">
        <v>2080</v>
      </c>
      <c r="K111" s="94"/>
      <c r="L111" s="94" t="s">
        <v>39</v>
      </c>
      <c r="M111" s="94" t="s">
        <v>39</v>
      </c>
      <c r="N111" s="94"/>
      <c r="O111" s="94" t="s">
        <v>1419</v>
      </c>
      <c r="P111" s="94"/>
      <c r="Q111" s="94"/>
      <c r="R111" s="94" t="s">
        <v>39</v>
      </c>
      <c r="S111" s="94"/>
      <c r="T111" s="94"/>
      <c r="U111" s="94"/>
      <c r="V111" s="94" t="s">
        <v>39</v>
      </c>
      <c r="W111" s="94" t="s">
        <v>39</v>
      </c>
      <c r="X111" s="94" t="s">
        <v>1830</v>
      </c>
      <c r="Y111" s="94" t="s">
        <v>740</v>
      </c>
      <c r="Z111" s="94" t="s">
        <v>1076</v>
      </c>
      <c r="AA111" s="91"/>
      <c r="AB111" s="94"/>
      <c r="AC111" s="94"/>
      <c r="AD111" s="94"/>
      <c r="AE111" s="94" t="s">
        <v>3773</v>
      </c>
      <c r="AF111" s="94"/>
      <c r="AG111" s="91"/>
      <c r="AH111" s="91"/>
      <c r="AI111" s="94"/>
      <c r="AJ111" s="94"/>
      <c r="AK111" s="94" t="s">
        <v>1237</v>
      </c>
      <c r="AL111" s="91" t="s">
        <v>39</v>
      </c>
      <c r="AM111" s="94" t="s">
        <v>1237</v>
      </c>
      <c r="AN111" s="94" t="s">
        <v>1237</v>
      </c>
      <c r="AO111" s="94" t="s">
        <v>1237</v>
      </c>
      <c r="AP111" s="94"/>
      <c r="AQ111" s="91"/>
      <c r="AR111" s="94"/>
      <c r="AS111" s="94" t="s">
        <v>1731</v>
      </c>
      <c r="AT111" s="91"/>
      <c r="AU111" s="94"/>
      <c r="AV111" s="94" t="s">
        <v>39</v>
      </c>
      <c r="AW111" s="94" t="s">
        <v>39</v>
      </c>
      <c r="AX111" s="94"/>
      <c r="AY111" s="94"/>
      <c r="AZ111" s="94" t="s">
        <v>1331</v>
      </c>
      <c r="BA111" s="94" t="s">
        <v>1331</v>
      </c>
      <c r="BB111" s="91"/>
      <c r="BC111" s="91" t="s">
        <v>39</v>
      </c>
      <c r="BD111" s="94"/>
      <c r="BE111" s="94" t="s">
        <v>39</v>
      </c>
      <c r="BF111" s="94" t="s">
        <v>39</v>
      </c>
      <c r="BG111" s="94"/>
    </row>
    <row r="112" spans="1:59" s="110" customFormat="1" ht="11.25" customHeight="1">
      <c r="A112" s="53" t="s">
        <v>4321</v>
      </c>
      <c r="B112" s="54"/>
      <c r="C112" s="54" t="s">
        <v>4465</v>
      </c>
      <c r="D112" s="54" t="s">
        <v>4465</v>
      </c>
      <c r="E112" s="54" t="s">
        <v>4596</v>
      </c>
      <c r="F112" s="54" t="s">
        <v>4595</v>
      </c>
      <c r="G112" s="129"/>
      <c r="H112" s="184"/>
      <c r="I112" s="184"/>
      <c r="J112" s="184"/>
      <c r="K112" s="184"/>
      <c r="L112" s="184"/>
      <c r="M112" s="54"/>
      <c r="N112" s="184"/>
      <c r="O112" s="184"/>
      <c r="P112" s="184"/>
      <c r="Q112" s="184"/>
      <c r="R112" s="184"/>
      <c r="S112" s="184"/>
      <c r="T112" s="184"/>
      <c r="U112" s="184"/>
      <c r="V112" s="184"/>
      <c r="W112" s="184"/>
      <c r="X112" s="184"/>
      <c r="Y112" s="184"/>
      <c r="Z112" s="184"/>
      <c r="AA112" s="129"/>
      <c r="AB112" s="184"/>
      <c r="AC112" s="184"/>
      <c r="AD112" s="184"/>
      <c r="AE112" s="184"/>
      <c r="AF112" s="184"/>
      <c r="AG112" s="129"/>
      <c r="AH112" s="129"/>
      <c r="AI112" s="184"/>
      <c r="AJ112" s="184"/>
      <c r="AK112" s="184"/>
      <c r="AL112" s="54" t="s">
        <v>4663</v>
      </c>
      <c r="AM112" s="184"/>
      <c r="AN112" s="184"/>
      <c r="AO112" s="184"/>
      <c r="AP112" s="184"/>
      <c r="AQ112" s="129"/>
      <c r="AR112" s="184"/>
      <c r="AS112" s="184"/>
      <c r="AT112" s="129"/>
      <c r="AU112" s="184"/>
      <c r="AV112" s="184"/>
      <c r="AW112" s="184"/>
      <c r="AX112" s="184"/>
      <c r="AY112" s="184"/>
      <c r="AZ112" s="184"/>
      <c r="BA112" s="184"/>
      <c r="BB112" s="129"/>
      <c r="BC112" s="129"/>
      <c r="BD112" s="184"/>
      <c r="BE112" s="184"/>
      <c r="BF112" s="184"/>
      <c r="BG112" s="184"/>
    </row>
    <row r="113" spans="1:59" s="55" customFormat="1" ht="11.25" customHeight="1">
      <c r="A113" s="95" t="s">
        <v>688</v>
      </c>
      <c r="B113" s="94"/>
      <c r="C113" s="94" t="s">
        <v>4466</v>
      </c>
      <c r="D113" s="94" t="s">
        <v>4466</v>
      </c>
      <c r="E113" s="94" t="s">
        <v>4594</v>
      </c>
      <c r="F113" s="94" t="s">
        <v>4593</v>
      </c>
      <c r="G113" s="182"/>
      <c r="H113" s="183"/>
      <c r="I113" s="183"/>
      <c r="J113" s="183"/>
      <c r="K113" s="183"/>
      <c r="L113" s="183"/>
      <c r="M113" s="94" t="s">
        <v>39</v>
      </c>
      <c r="N113" s="183"/>
      <c r="O113" s="183"/>
      <c r="P113" s="183"/>
      <c r="Q113" s="183"/>
      <c r="R113" s="183"/>
      <c r="S113" s="183"/>
      <c r="T113" s="183"/>
      <c r="U113" s="183"/>
      <c r="V113" s="183"/>
      <c r="W113" s="183"/>
      <c r="X113" s="183"/>
      <c r="Y113" s="183"/>
      <c r="Z113" s="183"/>
      <c r="AA113" s="182"/>
      <c r="AB113" s="183"/>
      <c r="AC113" s="183"/>
      <c r="AD113" s="183"/>
      <c r="AE113" s="183"/>
      <c r="AF113" s="183"/>
      <c r="AG113" s="182"/>
      <c r="AH113" s="182"/>
      <c r="AI113" s="183"/>
      <c r="AJ113" s="183"/>
      <c r="AK113" s="183"/>
      <c r="AL113" s="91" t="s">
        <v>4662</v>
      </c>
      <c r="AM113" s="183"/>
      <c r="AN113" s="183"/>
      <c r="AO113" s="183"/>
      <c r="AP113" s="183"/>
      <c r="AQ113" s="182"/>
      <c r="AR113" s="183"/>
      <c r="AS113" s="183"/>
      <c r="AT113" s="182"/>
      <c r="AU113" s="183"/>
      <c r="AV113" s="183"/>
      <c r="AW113" s="183"/>
      <c r="AX113" s="183"/>
      <c r="AY113" s="183"/>
      <c r="AZ113" s="183"/>
      <c r="BA113" s="183"/>
      <c r="BB113" s="182"/>
      <c r="BC113" s="182"/>
      <c r="BD113" s="183"/>
      <c r="BE113" s="183"/>
      <c r="BF113" s="183"/>
      <c r="BG113" s="183"/>
    </row>
    <row r="114" spans="1:59" s="55" customFormat="1" ht="15" customHeight="1">
      <c r="A114" s="154"/>
      <c r="B114" s="184"/>
      <c r="C114" s="184"/>
      <c r="D114" s="184"/>
      <c r="E114" s="184"/>
      <c r="F114" s="184"/>
      <c r="H114" s="3"/>
      <c r="I114" s="3"/>
      <c r="J114" s="3"/>
      <c r="M114" s="184"/>
      <c r="N114" s="3"/>
      <c r="O114" s="3"/>
      <c r="Q114" s="3"/>
      <c r="R114" s="3"/>
      <c r="S114" s="3"/>
      <c r="T114" s="120"/>
      <c r="V114" s="56"/>
      <c r="W114" s="56"/>
      <c r="X114" s="56"/>
      <c r="Y114" s="56"/>
      <c r="Z114" s="56"/>
      <c r="AA114" s="4"/>
      <c r="AB114" s="121"/>
      <c r="AC114" s="4"/>
      <c r="AD114" s="121"/>
      <c r="AE114" s="4"/>
      <c r="AF114" s="4"/>
      <c r="AG114" s="4"/>
      <c r="AH114" s="4"/>
      <c r="AI114" s="4"/>
      <c r="AJ114" s="4"/>
      <c r="AK114" s="4"/>
      <c r="AL114" s="129"/>
      <c r="AM114" s="4"/>
      <c r="AN114" s="4"/>
      <c r="AO114" s="4"/>
      <c r="AP114" s="4"/>
      <c r="AQ114" s="4"/>
      <c r="AX114" s="4"/>
      <c r="AY114" s="4"/>
      <c r="AZ114" s="4"/>
      <c r="BA114" s="4"/>
      <c r="BB114" s="4"/>
      <c r="BC114" s="4"/>
      <c r="BD114" s="121"/>
      <c r="BE114" s="4"/>
      <c r="BF114" s="4"/>
    </row>
    <row r="115" spans="1:59" s="55" customFormat="1" ht="22.5" customHeight="1">
      <c r="A115" s="50" t="s">
        <v>71</v>
      </c>
      <c r="B115" s="57" t="str">
        <f>B1</f>
        <v>Allianz Unfall Aktiv</v>
      </c>
      <c r="C115" s="51" t="s">
        <v>4413</v>
      </c>
      <c r="D115" s="51" t="s">
        <v>4414</v>
      </c>
      <c r="E115" s="57" t="str">
        <f>E1</f>
        <v>Ammerländer Comfort</v>
      </c>
      <c r="F115" s="57" t="str">
        <f>F1</f>
        <v>Ammerländer Exclusiv</v>
      </c>
      <c r="G115" s="57" t="str">
        <f t="shared" ref="G115:BD115" si="3">G1</f>
        <v>AXA ohne Beitragsrückgew.
(Stand 04-2010)</v>
      </c>
      <c r="H115" s="6" t="str">
        <f>H1</f>
        <v>Baden Badener Top 2008
(Stand 11-2007)</v>
      </c>
      <c r="I115" s="6" t="str">
        <f>I1</f>
        <v>Baden Badener Top 2011
(Stand 03-2012)</v>
      </c>
      <c r="J115" s="6" t="str">
        <f>J1</f>
        <v>Baden Badener Top 2012
(Stand 03-2013)</v>
      </c>
      <c r="K115" s="57" t="str">
        <f t="shared" si="3"/>
        <v>Basler Ambiente Top
(Stand 01-2009)</v>
      </c>
      <c r="L115" s="6" t="str">
        <f t="shared" si="3"/>
        <v>Basler Ambiente Top
(Stand 04-2011)</v>
      </c>
      <c r="M115" s="57" t="str">
        <f>M1</f>
        <v>Chubb (Gruppenunfall)</v>
      </c>
      <c r="N115" s="6" t="str">
        <f t="shared" si="3"/>
        <v>Condor Comfort
(Stand 01-2009)</v>
      </c>
      <c r="O115" s="6" t="str">
        <f t="shared" si="3"/>
        <v>Debeka
(Stand 01-2008)</v>
      </c>
      <c r="P115" s="6" t="str">
        <f>P1</f>
        <v>Dt. Ring up-unfallprotect max (Stand 10-2010)</v>
      </c>
      <c r="Q115" s="6" t="str">
        <f t="shared" si="3"/>
        <v>DEVK Komplett
(Stand 05-2011)</v>
      </c>
      <c r="R115" s="6" t="str">
        <f t="shared" si="3"/>
        <v>DEVK Komplett
(Stand 12-2012)</v>
      </c>
      <c r="S115" s="6" t="str">
        <f t="shared" si="3"/>
        <v>ERGO Unfall life
(Stand 04-2010)</v>
      </c>
      <c r="T115" s="6" t="str">
        <f t="shared" si="3"/>
        <v>Generali Komfort Plus
(Stand 10-2012)</v>
      </c>
      <c r="U115" s="6" t="str">
        <f t="shared" si="3"/>
        <v>Gothaer Unfall Top 2010 Plus (01-2013)</v>
      </c>
      <c r="V115" s="57" t="str">
        <f>V1</f>
        <v>Grundeigentümer (Regulär)
Pro Domo Basis (10-2009)</v>
      </c>
      <c r="W115" s="57" t="str">
        <f>W1</f>
        <v>Grundeigentümer (Regulär)
Pro Domo Komfort (10-2009)</v>
      </c>
      <c r="X115" s="57" t="str">
        <f>X1</f>
        <v>Grundeigentümer (Regulär)
Pro Domo Premium (02-2010)</v>
      </c>
      <c r="Y115" s="57" t="str">
        <f>Y1</f>
        <v>HKD Vollschutz
(Stand 01-2012)</v>
      </c>
      <c r="Z115" s="57" t="str">
        <f>Z1</f>
        <v>Interlloyd Eurosecure 2005</v>
      </c>
      <c r="AA115" s="6" t="str">
        <f t="shared" si="3"/>
        <v>Interlloyd Protect
(Stand 2007)</v>
      </c>
      <c r="AB115" s="6" t="str">
        <f t="shared" si="3"/>
        <v>Interlloyd Premium
(Stand 01-2010)</v>
      </c>
      <c r="AC115" s="6" t="str">
        <f t="shared" si="3"/>
        <v>Interrisk XL (Plus-Taxe)
(Stand 07-2011)</v>
      </c>
      <c r="AD115" s="6" t="str">
        <f t="shared" si="3"/>
        <v>Interrisk XXL (Maxi-Taxe)
(Stand 07-2011)</v>
      </c>
      <c r="AE115" s="6" t="str">
        <f>AE1</f>
        <v>Janitos MLP Classic 2007
(Stand 01-2008)</v>
      </c>
      <c r="AF115" s="6" t="str">
        <f t="shared" si="3"/>
        <v>Janitos Balance
(Stand 04-2011)</v>
      </c>
      <c r="AG115" s="6" t="str">
        <f t="shared" si="3"/>
        <v>KRAVAG afm Familien-UV
(Stand 07-2008)</v>
      </c>
      <c r="AH115" s="6" t="str">
        <f t="shared" si="3"/>
        <v>KRAVAG afm Gruppen-UV
(Stand 07-2008)</v>
      </c>
      <c r="AI115" s="5" t="str">
        <f t="shared" si="3"/>
        <v>nationale suisse Basis-Plus
(Stand 01-2008)</v>
      </c>
      <c r="AJ115" s="5" t="str">
        <f t="shared" si="3"/>
        <v>nationale suisse Ideal
(Stand 01-2008)</v>
      </c>
      <c r="AK115" s="57" t="str">
        <f t="shared" si="3"/>
        <v>Prokundo ExklusivPaket
(Stand 01-2012)</v>
      </c>
      <c r="AL115" s="57" t="str">
        <f>AL1</f>
        <v>Prokundo Gleichgewicht</v>
      </c>
      <c r="AM115" s="57" t="str">
        <f t="shared" si="3"/>
        <v>Prokundo Komfort
(Stand 01-2012)</v>
      </c>
      <c r="AN115" s="57" t="str">
        <f>AN1</f>
        <v>Prokundo ExklusivPaket
(Stand 08-2012)</v>
      </c>
      <c r="AO115" s="57" t="str">
        <f>AO1</f>
        <v>Prokundo Komfort
(Stand 08-2012)</v>
      </c>
      <c r="AP115" s="6" t="str">
        <f t="shared" si="3"/>
        <v>Provinzial Top
(Stand 04-2009)</v>
      </c>
      <c r="AQ115" s="6" t="str">
        <f t="shared" si="3"/>
        <v>Rhion Plus
(Stand 04-2011)</v>
      </c>
      <c r="AR115" s="57" t="str">
        <f>AR1</f>
        <v>R+V Exklusiv
(Stand 07-2010)</v>
      </c>
      <c r="AS115" s="57" t="str">
        <f>AS1</f>
        <v>R+V PrivatPolice (classic)
(Stand 07-2012)</v>
      </c>
      <c r="AT115" s="6" t="str">
        <f t="shared" si="3"/>
        <v>Signal Iduna Basis
(Stand 05-2001)</v>
      </c>
      <c r="AU115" s="57" t="str">
        <f t="shared" si="3"/>
        <v>Signal Iduna Exklusiv
(Stand 11-2009)</v>
      </c>
      <c r="AV115" s="57" t="str">
        <f t="shared" si="3"/>
        <v>Signal Iduna Exklusiv
(Stand 10-2011)</v>
      </c>
      <c r="AW115" s="57" t="str">
        <f t="shared" si="3"/>
        <v>Signal Iduna Exklusiv (ÖD)
z.B. PVAG, VÖDAG
(Stand 10-2011)</v>
      </c>
      <c r="AX115" s="57" t="str">
        <f t="shared" si="3"/>
        <v>SLP Primus
(Stand 07-2010)</v>
      </c>
      <c r="AY115" s="57" t="str">
        <f t="shared" si="3"/>
        <v>SLP Primus Plus
(Stand 07-2010)</v>
      </c>
      <c r="AZ115" s="57" t="str">
        <f t="shared" si="3"/>
        <v>SLP Primus
(Stand 04-2012)</v>
      </c>
      <c r="BA115" s="57" t="str">
        <f t="shared" si="3"/>
        <v>SLP Primus Plus
(Stand 04-2012)</v>
      </c>
      <c r="BB115" s="6" t="str">
        <f t="shared" si="3"/>
        <v>Stuttgarter
(Stand 07-2010)</v>
      </c>
      <c r="BC115" s="6" t="str">
        <f t="shared" si="3"/>
        <v>VGH AUB 2008
(Stand 11-2010)</v>
      </c>
      <c r="BD115" s="6" t="str">
        <f t="shared" si="3"/>
        <v>VHV Exklusiv
(Stand 04-2011)</v>
      </c>
      <c r="BE115" s="57" t="str">
        <f>BE1</f>
        <v>Württembergische
(Stand 11-2009)</v>
      </c>
      <c r="BF115" s="57" t="str">
        <f>BF1</f>
        <v>Württembergische Top
(Stand 11-2009)</v>
      </c>
      <c r="BG115" s="57" t="str">
        <f>BG1</f>
        <v>Zurich Makler Top-Schutz
(Stand 04-2011)</v>
      </c>
    </row>
    <row r="116" spans="1:59" s="55" customFormat="1" ht="22.5" customHeight="1">
      <c r="A116" s="53" t="s">
        <v>76</v>
      </c>
      <c r="B116" s="54" t="s">
        <v>242</v>
      </c>
      <c r="C116" s="54" t="s">
        <v>242</v>
      </c>
      <c r="D116" s="54" t="s">
        <v>264</v>
      </c>
      <c r="E116" s="54" t="s">
        <v>4599</v>
      </c>
      <c r="F116" s="54" t="s">
        <v>4597</v>
      </c>
      <c r="G116" s="49" t="s">
        <v>242</v>
      </c>
      <c r="H116" s="54" t="s">
        <v>1123</v>
      </c>
      <c r="I116" s="54" t="s">
        <v>1123</v>
      </c>
      <c r="J116" s="54" t="s">
        <v>2640</v>
      </c>
      <c r="K116" s="49" t="s">
        <v>242</v>
      </c>
      <c r="L116" s="54" t="s">
        <v>242</v>
      </c>
      <c r="M116" s="54" t="s">
        <v>1060</v>
      </c>
      <c r="N116" s="54" t="s">
        <v>242</v>
      </c>
      <c r="O116" s="54" t="s">
        <v>242</v>
      </c>
      <c r="P116" s="54" t="s">
        <v>194</v>
      </c>
      <c r="Q116" s="54" t="s">
        <v>242</v>
      </c>
      <c r="R116" s="54" t="s">
        <v>242</v>
      </c>
      <c r="S116" s="54" t="s">
        <v>242</v>
      </c>
      <c r="T116" s="54" t="s">
        <v>242</v>
      </c>
      <c r="U116" s="54" t="s">
        <v>242</v>
      </c>
      <c r="V116" s="54" t="s">
        <v>242</v>
      </c>
      <c r="W116" s="54" t="s">
        <v>1853</v>
      </c>
      <c r="X116" s="54" t="s">
        <v>1815</v>
      </c>
      <c r="Y116" s="54" t="s">
        <v>119</v>
      </c>
      <c r="Z116" s="54" t="s">
        <v>1123</v>
      </c>
      <c r="AA116" s="15" t="s">
        <v>41</v>
      </c>
      <c r="AB116" s="54" t="s">
        <v>652</v>
      </c>
      <c r="AC116" s="54" t="s">
        <v>3380</v>
      </c>
      <c r="AD116" s="54" t="s">
        <v>119</v>
      </c>
      <c r="AE116" s="54" t="s">
        <v>3559</v>
      </c>
      <c r="AF116" s="54" t="s">
        <v>520</v>
      </c>
      <c r="AG116" s="49" t="s">
        <v>242</v>
      </c>
      <c r="AH116" s="54" t="s">
        <v>242</v>
      </c>
      <c r="AI116" s="49" t="s">
        <v>536</v>
      </c>
      <c r="AJ116" s="49" t="s">
        <v>536</v>
      </c>
      <c r="AK116" s="54" t="s">
        <v>1239</v>
      </c>
      <c r="AL116" s="54" t="s">
        <v>4664</v>
      </c>
      <c r="AM116" s="54" t="s">
        <v>1241</v>
      </c>
      <c r="AN116" s="54" t="s">
        <v>1239</v>
      </c>
      <c r="AO116" s="54" t="s">
        <v>1241</v>
      </c>
      <c r="AP116" s="54" t="s">
        <v>242</v>
      </c>
      <c r="AQ116" s="54" t="s">
        <v>597</v>
      </c>
      <c r="AR116" s="49" t="s">
        <v>242</v>
      </c>
      <c r="AS116" s="54" t="s">
        <v>242</v>
      </c>
      <c r="AT116" s="65" t="s">
        <v>242</v>
      </c>
      <c r="AU116" s="49" t="s">
        <v>242</v>
      </c>
      <c r="AV116" s="54" t="s">
        <v>242</v>
      </c>
      <c r="AW116" s="54" t="s">
        <v>242</v>
      </c>
      <c r="AX116" s="54" t="s">
        <v>194</v>
      </c>
      <c r="AY116" s="54" t="s">
        <v>194</v>
      </c>
      <c r="AZ116" s="54" t="s">
        <v>1333</v>
      </c>
      <c r="BA116" s="54" t="s">
        <v>1333</v>
      </c>
      <c r="BB116" s="54" t="s">
        <v>242</v>
      </c>
      <c r="BC116" s="54" t="s">
        <v>242</v>
      </c>
      <c r="BD116" s="54" t="s">
        <v>1333</v>
      </c>
      <c r="BE116" s="54" t="s">
        <v>242</v>
      </c>
      <c r="BF116" s="54" t="s">
        <v>242</v>
      </c>
      <c r="BG116" s="54" t="s">
        <v>443</v>
      </c>
    </row>
    <row r="117" spans="1:59" s="55" customFormat="1" ht="11.25" customHeight="1">
      <c r="A117" s="95" t="s">
        <v>688</v>
      </c>
      <c r="B117" s="94"/>
      <c r="C117" s="94" t="s">
        <v>894</v>
      </c>
      <c r="D117" s="94" t="s">
        <v>4457</v>
      </c>
      <c r="E117" s="94" t="s">
        <v>894</v>
      </c>
      <c r="F117" s="94" t="s">
        <v>4598</v>
      </c>
      <c r="G117" s="91"/>
      <c r="H117" s="94" t="s">
        <v>2079</v>
      </c>
      <c r="I117" s="94"/>
      <c r="J117" s="94" t="s">
        <v>2639</v>
      </c>
      <c r="K117" s="94"/>
      <c r="L117" s="94" t="s">
        <v>1568</v>
      </c>
      <c r="M117" s="94" t="s">
        <v>1059</v>
      </c>
      <c r="N117" s="94"/>
      <c r="O117" s="94" t="s">
        <v>1395</v>
      </c>
      <c r="P117" s="94"/>
      <c r="Q117" s="94"/>
      <c r="R117" s="94" t="s">
        <v>2840</v>
      </c>
      <c r="S117" s="94"/>
      <c r="T117" s="94"/>
      <c r="U117" s="94"/>
      <c r="V117" s="94" t="s">
        <v>1395</v>
      </c>
      <c r="W117" s="94" t="s">
        <v>1854</v>
      </c>
      <c r="X117" s="94" t="s">
        <v>1814</v>
      </c>
      <c r="Y117" s="94" t="s">
        <v>741</v>
      </c>
      <c r="Z117" s="94" t="s">
        <v>1122</v>
      </c>
      <c r="AA117" s="91"/>
      <c r="AB117" s="94"/>
      <c r="AC117" s="94"/>
      <c r="AD117" s="94"/>
      <c r="AE117" s="94" t="s">
        <v>3788</v>
      </c>
      <c r="AF117" s="94"/>
      <c r="AG117" s="91"/>
      <c r="AH117" s="91"/>
      <c r="AI117" s="94"/>
      <c r="AJ117" s="94"/>
      <c r="AK117" s="94" t="s">
        <v>1240</v>
      </c>
      <c r="AL117" s="91" t="s">
        <v>4665</v>
      </c>
      <c r="AM117" s="94" t="s">
        <v>1238</v>
      </c>
      <c r="AN117" s="94" t="s">
        <v>1240</v>
      </c>
      <c r="AO117" s="94" t="s">
        <v>1238</v>
      </c>
      <c r="AP117" s="94"/>
      <c r="AQ117" s="91"/>
      <c r="AR117" s="94"/>
      <c r="AS117" s="94" t="s">
        <v>1732</v>
      </c>
      <c r="AT117" s="91"/>
      <c r="AU117" s="94"/>
      <c r="AV117" s="94" t="s">
        <v>894</v>
      </c>
      <c r="AW117" s="94" t="s">
        <v>894</v>
      </c>
      <c r="AX117" s="94"/>
      <c r="AY117" s="94"/>
      <c r="AZ117" s="94" t="s">
        <v>1335</v>
      </c>
      <c r="BA117" s="94" t="s">
        <v>1335</v>
      </c>
      <c r="BB117" s="91"/>
      <c r="BC117" s="94" t="s">
        <v>1395</v>
      </c>
      <c r="BD117" s="94"/>
      <c r="BE117" s="94" t="s">
        <v>965</v>
      </c>
      <c r="BF117" s="94" t="s">
        <v>965</v>
      </c>
      <c r="BG117" s="94"/>
    </row>
    <row r="118" spans="1:59" s="55" customFormat="1" ht="22.5" customHeight="1">
      <c r="A118" s="53" t="s">
        <v>134</v>
      </c>
      <c r="B118" s="54" t="s">
        <v>39</v>
      </c>
      <c r="C118" s="54" t="s">
        <v>39</v>
      </c>
      <c r="D118" s="49" t="s">
        <v>4448</v>
      </c>
      <c r="E118" s="54" t="s">
        <v>3108</v>
      </c>
      <c r="F118" s="54" t="s">
        <v>3108</v>
      </c>
      <c r="G118" s="49" t="s">
        <v>39</v>
      </c>
      <c r="H118" s="54" t="s">
        <v>322</v>
      </c>
      <c r="I118" s="54" t="s">
        <v>322</v>
      </c>
      <c r="J118" s="54" t="s">
        <v>322</v>
      </c>
      <c r="K118" s="54" t="s">
        <v>39</v>
      </c>
      <c r="L118" s="54" t="s">
        <v>39</v>
      </c>
      <c r="M118" s="54" t="s">
        <v>39</v>
      </c>
      <c r="N118" s="54" t="s">
        <v>39</v>
      </c>
      <c r="O118" s="54" t="s">
        <v>39</v>
      </c>
      <c r="P118" s="54" t="s">
        <v>335</v>
      </c>
      <c r="Q118" s="54" t="s">
        <v>668</v>
      </c>
      <c r="R118" s="54" t="s">
        <v>668</v>
      </c>
      <c r="S118" s="49" t="s">
        <v>39</v>
      </c>
      <c r="T118" s="54" t="s">
        <v>39</v>
      </c>
      <c r="U118" s="54" t="s">
        <v>317</v>
      </c>
      <c r="V118" s="54" t="s">
        <v>39</v>
      </c>
      <c r="W118" s="54" t="s">
        <v>39</v>
      </c>
      <c r="X118" s="54" t="s">
        <v>39</v>
      </c>
      <c r="Y118" s="49" t="s">
        <v>742</v>
      </c>
      <c r="Z118" s="49" t="s">
        <v>195</v>
      </c>
      <c r="AA118" s="17" t="s">
        <v>321</v>
      </c>
      <c r="AB118" s="54" t="s">
        <v>321</v>
      </c>
      <c r="AC118" s="54" t="s">
        <v>474</v>
      </c>
      <c r="AD118" s="54" t="s">
        <v>3364</v>
      </c>
      <c r="AE118" s="54" t="s">
        <v>3791</v>
      </c>
      <c r="AF118" s="54" t="s">
        <v>287</v>
      </c>
      <c r="AG118" s="54" t="s">
        <v>39</v>
      </c>
      <c r="AH118" s="54" t="s">
        <v>39</v>
      </c>
      <c r="AI118" s="49" t="s">
        <v>39</v>
      </c>
      <c r="AJ118" s="49" t="s">
        <v>39</v>
      </c>
      <c r="AK118" s="54" t="s">
        <v>1192</v>
      </c>
      <c r="AL118" s="54" t="s">
        <v>39</v>
      </c>
      <c r="AM118" s="54" t="s">
        <v>39</v>
      </c>
      <c r="AN118" s="54" t="s">
        <v>1192</v>
      </c>
      <c r="AO118" s="54" t="s">
        <v>39</v>
      </c>
      <c r="AP118" s="54" t="s">
        <v>548</v>
      </c>
      <c r="AQ118" s="54" t="s">
        <v>39</v>
      </c>
      <c r="AR118" s="49" t="s">
        <v>39</v>
      </c>
      <c r="AS118" s="54" t="s">
        <v>39</v>
      </c>
      <c r="AT118" s="54" t="s">
        <v>452</v>
      </c>
      <c r="AU118" s="49" t="s">
        <v>453</v>
      </c>
      <c r="AV118" s="54" t="s">
        <v>453</v>
      </c>
      <c r="AW118" s="54" t="s">
        <v>453</v>
      </c>
      <c r="AX118" s="54" t="s">
        <v>563</v>
      </c>
      <c r="AY118" s="54" t="s">
        <v>564</v>
      </c>
      <c r="AZ118" s="54" t="s">
        <v>1371</v>
      </c>
      <c r="BA118" s="54" t="s">
        <v>1372</v>
      </c>
      <c r="BB118" s="54" t="s">
        <v>39</v>
      </c>
      <c r="BC118" s="54" t="s">
        <v>39</v>
      </c>
      <c r="BD118" s="54" t="s">
        <v>195</v>
      </c>
      <c r="BE118" s="54" t="s">
        <v>39</v>
      </c>
      <c r="BF118" s="54" t="s">
        <v>39</v>
      </c>
      <c r="BG118" s="54" t="s">
        <v>439</v>
      </c>
    </row>
    <row r="119" spans="1:59" s="55" customFormat="1" ht="11.25" customHeight="1">
      <c r="A119" s="95" t="s">
        <v>688</v>
      </c>
      <c r="B119" s="94"/>
      <c r="C119" s="94"/>
      <c r="D119" s="94" t="s">
        <v>4427</v>
      </c>
      <c r="E119" s="94" t="s">
        <v>4600</v>
      </c>
      <c r="F119" s="94" t="s">
        <v>4600</v>
      </c>
      <c r="G119" s="91"/>
      <c r="H119" s="94" t="s">
        <v>2036</v>
      </c>
      <c r="I119" s="94"/>
      <c r="J119" s="94" t="s">
        <v>2036</v>
      </c>
      <c r="K119" s="94"/>
      <c r="L119" s="94" t="s">
        <v>39</v>
      </c>
      <c r="M119" s="94" t="s">
        <v>39</v>
      </c>
      <c r="N119" s="94"/>
      <c r="O119" s="94" t="s">
        <v>39</v>
      </c>
      <c r="P119" s="94"/>
      <c r="Q119" s="94"/>
      <c r="R119" s="94" t="s">
        <v>2839</v>
      </c>
      <c r="S119" s="94"/>
      <c r="T119" s="94"/>
      <c r="U119" s="94"/>
      <c r="V119" s="94" t="s">
        <v>39</v>
      </c>
      <c r="W119" s="94" t="s">
        <v>39</v>
      </c>
      <c r="X119" s="94" t="s">
        <v>39</v>
      </c>
      <c r="Y119" s="94" t="s">
        <v>743</v>
      </c>
      <c r="Z119" s="94" t="s">
        <v>1100</v>
      </c>
      <c r="AA119" s="91"/>
      <c r="AB119" s="94"/>
      <c r="AC119" s="94"/>
      <c r="AD119" s="94"/>
      <c r="AE119" s="94" t="s">
        <v>3790</v>
      </c>
      <c r="AF119" s="94"/>
      <c r="AG119" s="91"/>
      <c r="AH119" s="91"/>
      <c r="AI119" s="94"/>
      <c r="AJ119" s="94"/>
      <c r="AK119" s="94" t="s">
        <v>1191</v>
      </c>
      <c r="AL119" s="91" t="s">
        <v>39</v>
      </c>
      <c r="AM119" s="94" t="s">
        <v>39</v>
      </c>
      <c r="AN119" s="94" t="s">
        <v>1191</v>
      </c>
      <c r="AO119" s="94" t="s">
        <v>39</v>
      </c>
      <c r="AP119" s="94"/>
      <c r="AQ119" s="91"/>
      <c r="AR119" s="94"/>
      <c r="AS119" s="94" t="s">
        <v>39</v>
      </c>
      <c r="AT119" s="91"/>
      <c r="AU119" s="94"/>
      <c r="AV119" s="94" t="s">
        <v>859</v>
      </c>
      <c r="AW119" s="94" t="s">
        <v>859</v>
      </c>
      <c r="AX119" s="94"/>
      <c r="AY119" s="94"/>
      <c r="AZ119" s="94" t="s">
        <v>1370</v>
      </c>
      <c r="BA119" s="94" t="s">
        <v>1337</v>
      </c>
      <c r="BB119" s="91"/>
      <c r="BC119" s="91" t="s">
        <v>39</v>
      </c>
      <c r="BD119" s="94"/>
      <c r="BE119" s="94" t="s">
        <v>39</v>
      </c>
      <c r="BF119" s="94" t="s">
        <v>39</v>
      </c>
      <c r="BG119" s="94"/>
    </row>
    <row r="120" spans="1:59" s="55" customFormat="1" ht="22.5" customHeight="1">
      <c r="A120" s="53" t="s">
        <v>135</v>
      </c>
      <c r="B120" s="54" t="s">
        <v>39</v>
      </c>
      <c r="C120" s="54" t="s">
        <v>39</v>
      </c>
      <c r="D120" s="54" t="s">
        <v>39</v>
      </c>
      <c r="E120" s="54" t="s">
        <v>39</v>
      </c>
      <c r="F120" s="54" t="s">
        <v>39</v>
      </c>
      <c r="G120" s="49" t="s">
        <v>39</v>
      </c>
      <c r="H120" s="54" t="s">
        <v>323</v>
      </c>
      <c r="I120" s="54" t="s">
        <v>323</v>
      </c>
      <c r="J120" s="54" t="s">
        <v>323</v>
      </c>
      <c r="K120" s="49" t="s">
        <v>39</v>
      </c>
      <c r="L120" s="54" t="s">
        <v>39</v>
      </c>
      <c r="M120" s="54" t="s">
        <v>39</v>
      </c>
      <c r="N120" s="54" t="s">
        <v>493</v>
      </c>
      <c r="O120" s="54" t="s">
        <v>39</v>
      </c>
      <c r="P120" s="54" t="s">
        <v>39</v>
      </c>
      <c r="Q120" s="54" t="s">
        <v>41</v>
      </c>
      <c r="R120" s="54" t="s">
        <v>41</v>
      </c>
      <c r="S120" s="54" t="s">
        <v>39</v>
      </c>
      <c r="T120" s="54" t="s">
        <v>39</v>
      </c>
      <c r="U120" s="54" t="s">
        <v>39</v>
      </c>
      <c r="V120" s="54" t="s">
        <v>39</v>
      </c>
      <c r="W120" s="54" t="s">
        <v>39</v>
      </c>
      <c r="X120" s="54" t="s">
        <v>39</v>
      </c>
      <c r="Y120" s="49" t="s">
        <v>744</v>
      </c>
      <c r="Z120" s="49" t="s">
        <v>39</v>
      </c>
      <c r="AA120" s="15" t="s">
        <v>39</v>
      </c>
      <c r="AB120" s="54" t="s">
        <v>39</v>
      </c>
      <c r="AC120" s="54" t="s">
        <v>39</v>
      </c>
      <c r="AD120" s="54" t="s">
        <v>39</v>
      </c>
      <c r="AE120" s="54" t="s">
        <v>39</v>
      </c>
      <c r="AF120" s="54" t="s">
        <v>39</v>
      </c>
      <c r="AG120" s="54" t="s">
        <v>39</v>
      </c>
      <c r="AH120" s="54" t="s">
        <v>39</v>
      </c>
      <c r="AI120" s="49" t="s">
        <v>39</v>
      </c>
      <c r="AJ120" s="49" t="s">
        <v>39</v>
      </c>
      <c r="AK120" s="54" t="s">
        <v>39</v>
      </c>
      <c r="AL120" s="54" t="s">
        <v>39</v>
      </c>
      <c r="AM120" s="54" t="s">
        <v>39</v>
      </c>
      <c r="AN120" s="54" t="s">
        <v>39</v>
      </c>
      <c r="AO120" s="54" t="s">
        <v>39</v>
      </c>
      <c r="AP120" s="54" t="s">
        <v>219</v>
      </c>
      <c r="AQ120" s="54" t="s">
        <v>598</v>
      </c>
      <c r="AR120" s="49" t="s">
        <v>39</v>
      </c>
      <c r="AS120" s="54" t="s">
        <v>39</v>
      </c>
      <c r="AT120" s="65" t="s">
        <v>39</v>
      </c>
      <c r="AU120" s="49" t="s">
        <v>39</v>
      </c>
      <c r="AV120" s="54" t="s">
        <v>39</v>
      </c>
      <c r="AW120" s="54" t="s">
        <v>39</v>
      </c>
      <c r="AX120" s="54" t="s">
        <v>39</v>
      </c>
      <c r="AY120" s="54" t="s">
        <v>219</v>
      </c>
      <c r="AZ120" s="54" t="s">
        <v>39</v>
      </c>
      <c r="BA120" s="54" t="s">
        <v>1339</v>
      </c>
      <c r="BB120" s="54" t="s">
        <v>39</v>
      </c>
      <c r="BC120" s="54" t="s">
        <v>39</v>
      </c>
      <c r="BD120" s="54" t="s">
        <v>39</v>
      </c>
      <c r="BE120" s="54" t="s">
        <v>39</v>
      </c>
      <c r="BF120" s="54" t="s">
        <v>39</v>
      </c>
      <c r="BG120" s="54" t="s">
        <v>422</v>
      </c>
    </row>
    <row r="121" spans="1:59" s="55" customFormat="1" ht="11.25" customHeight="1">
      <c r="A121" s="95" t="s">
        <v>688</v>
      </c>
      <c r="B121" s="94"/>
      <c r="C121" s="94"/>
      <c r="D121" s="94"/>
      <c r="E121" s="94"/>
      <c r="F121" s="94"/>
      <c r="G121" s="91"/>
      <c r="H121" s="94" t="s">
        <v>2037</v>
      </c>
      <c r="I121" s="94"/>
      <c r="J121" s="94" t="s">
        <v>2037</v>
      </c>
      <c r="K121" s="94"/>
      <c r="L121" s="94" t="s">
        <v>39</v>
      </c>
      <c r="M121" s="94" t="s">
        <v>39</v>
      </c>
      <c r="N121" s="94"/>
      <c r="O121" s="94" t="s">
        <v>39</v>
      </c>
      <c r="P121" s="94"/>
      <c r="Q121" s="94"/>
      <c r="R121" s="94" t="s">
        <v>2808</v>
      </c>
      <c r="S121" s="94"/>
      <c r="T121" s="94"/>
      <c r="U121" s="94"/>
      <c r="V121" s="94" t="s">
        <v>39</v>
      </c>
      <c r="W121" s="94" t="s">
        <v>39</v>
      </c>
      <c r="X121" s="94" t="s">
        <v>39</v>
      </c>
      <c r="Y121" s="94" t="s">
        <v>745</v>
      </c>
      <c r="Z121" s="94" t="s">
        <v>39</v>
      </c>
      <c r="AA121" s="91"/>
      <c r="AB121" s="94"/>
      <c r="AC121" s="94"/>
      <c r="AD121" s="94"/>
      <c r="AE121" s="94" t="s">
        <v>39</v>
      </c>
      <c r="AF121" s="94"/>
      <c r="AG121" s="91"/>
      <c r="AH121" s="91"/>
      <c r="AI121" s="94"/>
      <c r="AJ121" s="94"/>
      <c r="AK121" s="94" t="s">
        <v>39</v>
      </c>
      <c r="AL121" s="91" t="s">
        <v>39</v>
      </c>
      <c r="AM121" s="94" t="s">
        <v>39</v>
      </c>
      <c r="AN121" s="94" t="s">
        <v>39</v>
      </c>
      <c r="AO121" s="94" t="s">
        <v>39</v>
      </c>
      <c r="AP121" s="94"/>
      <c r="AQ121" s="91"/>
      <c r="AR121" s="94"/>
      <c r="AS121" s="94" t="s">
        <v>39</v>
      </c>
      <c r="AT121" s="91"/>
      <c r="AU121" s="94"/>
      <c r="AV121" s="94" t="s">
        <v>39</v>
      </c>
      <c r="AW121" s="94" t="s">
        <v>39</v>
      </c>
      <c r="AX121" s="94"/>
      <c r="AY121" s="94"/>
      <c r="AZ121" s="94" t="s">
        <v>39</v>
      </c>
      <c r="BA121" s="94" t="s">
        <v>1338</v>
      </c>
      <c r="BB121" s="91"/>
      <c r="BC121" s="91" t="s">
        <v>39</v>
      </c>
      <c r="BD121" s="94"/>
      <c r="BE121" s="94" t="s">
        <v>39</v>
      </c>
      <c r="BF121" s="94" t="s">
        <v>39</v>
      </c>
      <c r="BG121" s="94"/>
    </row>
    <row r="122" spans="1:59" s="55" customFormat="1" ht="22.5" customHeight="1">
      <c r="A122" s="53" t="s">
        <v>5</v>
      </c>
      <c r="B122" s="49" t="s">
        <v>619</v>
      </c>
      <c r="C122" s="49" t="s">
        <v>39</v>
      </c>
      <c r="D122" s="49" t="s">
        <v>39</v>
      </c>
      <c r="E122" s="54" t="s">
        <v>4638</v>
      </c>
      <c r="F122" s="54" t="s">
        <v>4638</v>
      </c>
      <c r="G122" s="49" t="s">
        <v>293</v>
      </c>
      <c r="H122" s="54" t="s">
        <v>619</v>
      </c>
      <c r="I122" s="54" t="s">
        <v>619</v>
      </c>
      <c r="J122" s="54" t="s">
        <v>619</v>
      </c>
      <c r="K122" s="49" t="s">
        <v>619</v>
      </c>
      <c r="L122" s="54" t="s">
        <v>619</v>
      </c>
      <c r="M122" s="49" t="s">
        <v>39</v>
      </c>
      <c r="N122" s="54" t="s">
        <v>619</v>
      </c>
      <c r="O122" s="54" t="s">
        <v>39</v>
      </c>
      <c r="P122" s="54" t="s">
        <v>619</v>
      </c>
      <c r="Q122" s="54" t="s">
        <v>619</v>
      </c>
      <c r="R122" s="54" t="s">
        <v>619</v>
      </c>
      <c r="S122" s="49" t="s">
        <v>619</v>
      </c>
      <c r="T122" s="54" t="s">
        <v>619</v>
      </c>
      <c r="U122" s="54" t="s">
        <v>619</v>
      </c>
      <c r="V122" s="54" t="s">
        <v>619</v>
      </c>
      <c r="W122" s="54" t="s">
        <v>619</v>
      </c>
      <c r="X122" s="54" t="s">
        <v>619</v>
      </c>
      <c r="Y122" s="54" t="s">
        <v>719</v>
      </c>
      <c r="Z122" s="49" t="s">
        <v>640</v>
      </c>
      <c r="AA122" s="15" t="s">
        <v>41</v>
      </c>
      <c r="AB122" s="54" t="s">
        <v>639</v>
      </c>
      <c r="AC122" s="54" t="s">
        <v>619</v>
      </c>
      <c r="AD122" s="54" t="s">
        <v>619</v>
      </c>
      <c r="AE122" s="54" t="s">
        <v>619</v>
      </c>
      <c r="AF122" s="54" t="s">
        <v>619</v>
      </c>
      <c r="AG122" s="54" t="s">
        <v>526</v>
      </c>
      <c r="AH122" s="54" t="s">
        <v>39</v>
      </c>
      <c r="AI122" s="49" t="s">
        <v>640</v>
      </c>
      <c r="AJ122" s="49" t="s">
        <v>640</v>
      </c>
      <c r="AK122" s="54" t="s">
        <v>619</v>
      </c>
      <c r="AL122" s="54" t="s">
        <v>4656</v>
      </c>
      <c r="AM122" s="54" t="s">
        <v>619</v>
      </c>
      <c r="AN122" s="54" t="s">
        <v>619</v>
      </c>
      <c r="AO122" s="54" t="s">
        <v>619</v>
      </c>
      <c r="AP122" s="54" t="s">
        <v>641</v>
      </c>
      <c r="AQ122" s="54" t="s">
        <v>610</v>
      </c>
      <c r="AR122" s="49" t="s">
        <v>640</v>
      </c>
      <c r="AS122" s="54" t="s">
        <v>640</v>
      </c>
      <c r="AT122" s="49" t="s">
        <v>462</v>
      </c>
      <c r="AU122" s="49" t="s">
        <v>619</v>
      </c>
      <c r="AV122" s="54" t="s">
        <v>619</v>
      </c>
      <c r="AW122" s="54" t="s">
        <v>619</v>
      </c>
      <c r="AX122" s="49" t="s">
        <v>640</v>
      </c>
      <c r="AY122" s="49" t="s">
        <v>640</v>
      </c>
      <c r="AZ122" s="54" t="s">
        <v>640</v>
      </c>
      <c r="BA122" s="54" t="s">
        <v>640</v>
      </c>
      <c r="BB122" s="54" t="s">
        <v>223</v>
      </c>
      <c r="BC122" s="49" t="s">
        <v>619</v>
      </c>
      <c r="BD122" s="54" t="s">
        <v>640</v>
      </c>
      <c r="BE122" s="49" t="s">
        <v>619</v>
      </c>
      <c r="BF122" s="49" t="s">
        <v>619</v>
      </c>
      <c r="BG122" s="54" t="s">
        <v>642</v>
      </c>
    </row>
    <row r="123" spans="1:59" s="55" customFormat="1" ht="11.25" customHeight="1">
      <c r="A123" s="95" t="s">
        <v>688</v>
      </c>
      <c r="B123" s="94"/>
      <c r="C123" s="94"/>
      <c r="D123" s="94"/>
      <c r="E123" s="94" t="s">
        <v>4549</v>
      </c>
      <c r="F123" s="94" t="s">
        <v>4548</v>
      </c>
      <c r="G123" s="91"/>
      <c r="H123" s="94" t="s">
        <v>2035</v>
      </c>
      <c r="I123" s="94"/>
      <c r="J123" s="94" t="s">
        <v>2658</v>
      </c>
      <c r="K123" s="94"/>
      <c r="L123" s="94" t="s">
        <v>1559</v>
      </c>
      <c r="M123" s="94" t="s">
        <v>39</v>
      </c>
      <c r="N123" s="94"/>
      <c r="O123" s="94" t="s">
        <v>39</v>
      </c>
      <c r="P123" s="94"/>
      <c r="Q123" s="94"/>
      <c r="R123" s="94" t="s">
        <v>2825</v>
      </c>
      <c r="S123" s="94"/>
      <c r="T123" s="94"/>
      <c r="U123" s="94"/>
      <c r="V123" s="94" t="s">
        <v>1874</v>
      </c>
      <c r="W123" s="94" t="s">
        <v>1874</v>
      </c>
      <c r="X123" s="94" t="s">
        <v>1874</v>
      </c>
      <c r="Y123" s="94" t="s">
        <v>746</v>
      </c>
      <c r="Z123" s="94" t="s">
        <v>1085</v>
      </c>
      <c r="AA123" s="91"/>
      <c r="AB123" s="94"/>
      <c r="AC123" s="94"/>
      <c r="AD123" s="94"/>
      <c r="AE123" s="94" t="s">
        <v>1874</v>
      </c>
      <c r="AF123" s="94"/>
      <c r="AG123" s="91"/>
      <c r="AH123" s="91"/>
      <c r="AI123" s="94"/>
      <c r="AJ123" s="94"/>
      <c r="AK123" s="94" t="s">
        <v>1222</v>
      </c>
      <c r="AL123" s="91" t="s">
        <v>4657</v>
      </c>
      <c r="AM123" s="94" t="s">
        <v>1222</v>
      </c>
      <c r="AN123" s="94" t="s">
        <v>1222</v>
      </c>
      <c r="AO123" s="94" t="s">
        <v>1222</v>
      </c>
      <c r="AP123" s="94"/>
      <c r="AQ123" s="91"/>
      <c r="AR123" s="94"/>
      <c r="AS123" s="94" t="s">
        <v>1741</v>
      </c>
      <c r="AT123" s="91"/>
      <c r="AU123" s="94"/>
      <c r="AV123" s="94" t="s">
        <v>887</v>
      </c>
      <c r="AW123" s="94" t="s">
        <v>887</v>
      </c>
      <c r="AX123" s="94"/>
      <c r="AY123" s="94"/>
      <c r="AZ123" s="94" t="s">
        <v>1323</v>
      </c>
      <c r="BA123" s="94" t="s">
        <v>1325</v>
      </c>
      <c r="BB123" s="91"/>
      <c r="BC123" s="94" t="s">
        <v>1874</v>
      </c>
      <c r="BD123" s="94"/>
      <c r="BE123" s="94" t="s">
        <v>950</v>
      </c>
      <c r="BF123" s="94" t="s">
        <v>948</v>
      </c>
      <c r="BG123" s="94"/>
    </row>
    <row r="124" spans="1:59" s="55" customFormat="1" ht="15" customHeight="1">
      <c r="A124" s="56"/>
      <c r="B124" s="56"/>
      <c r="C124" s="56"/>
      <c r="D124" s="56"/>
      <c r="H124" s="3"/>
      <c r="I124" s="3"/>
      <c r="J124" s="3"/>
      <c r="M124" s="56"/>
      <c r="N124" s="3"/>
      <c r="O124" s="3"/>
      <c r="Q124" s="3"/>
      <c r="R124" s="3"/>
      <c r="S124" s="3"/>
      <c r="T124" s="120"/>
      <c r="V124" s="56"/>
      <c r="W124" s="56"/>
      <c r="X124" s="56"/>
      <c r="Y124" s="56"/>
      <c r="Z124" s="56"/>
      <c r="AA124" s="4"/>
      <c r="AB124" s="121"/>
      <c r="AC124" s="4"/>
      <c r="AD124" s="121"/>
      <c r="AE124" s="4"/>
      <c r="AF124" s="4"/>
      <c r="AG124" s="4"/>
      <c r="AH124" s="4"/>
      <c r="AI124" s="4"/>
      <c r="AJ124" s="4"/>
      <c r="AK124" s="4"/>
      <c r="AL124" s="146"/>
      <c r="AM124" s="4"/>
      <c r="AN124" s="4"/>
      <c r="AO124" s="4"/>
      <c r="AP124" s="4"/>
      <c r="AQ124" s="4"/>
      <c r="AX124" s="4"/>
      <c r="AY124" s="4"/>
      <c r="AZ124" s="4"/>
      <c r="BA124" s="4"/>
      <c r="BB124" s="4"/>
      <c r="BC124" s="4"/>
      <c r="BD124" s="121"/>
      <c r="BE124" s="4"/>
      <c r="BF124" s="4"/>
    </row>
    <row r="125" spans="1:59" s="55" customFormat="1" ht="22.5" customHeight="1">
      <c r="A125" s="50" t="s">
        <v>72</v>
      </c>
      <c r="B125" s="57" t="str">
        <f>B1</f>
        <v>Allianz Unfall Aktiv</v>
      </c>
      <c r="C125" s="51" t="s">
        <v>4413</v>
      </c>
      <c r="D125" s="51" t="s">
        <v>4414</v>
      </c>
      <c r="E125" s="57" t="str">
        <f>E1</f>
        <v>Ammerländer Comfort</v>
      </c>
      <c r="F125" s="57" t="str">
        <f>F1</f>
        <v>Ammerländer Exclusiv</v>
      </c>
      <c r="G125" s="57" t="str">
        <f t="shared" ref="G125:BD125" si="4">G1</f>
        <v>AXA ohne Beitragsrückgew.
(Stand 04-2010)</v>
      </c>
      <c r="H125" s="6" t="str">
        <f>H1</f>
        <v>Baden Badener Top 2008
(Stand 11-2007)</v>
      </c>
      <c r="I125" s="6" t="str">
        <f>I1</f>
        <v>Baden Badener Top 2011
(Stand 03-2012)</v>
      </c>
      <c r="J125" s="6" t="str">
        <f>J1</f>
        <v>Baden Badener Top 2012
(Stand 03-2013)</v>
      </c>
      <c r="K125" s="57" t="str">
        <f t="shared" si="4"/>
        <v>Basler Ambiente Top
(Stand 01-2009)</v>
      </c>
      <c r="L125" s="6" t="str">
        <f t="shared" si="4"/>
        <v>Basler Ambiente Top
(Stand 04-2011)</v>
      </c>
      <c r="M125" s="57" t="str">
        <f>M1</f>
        <v>Chubb (Gruppenunfall)</v>
      </c>
      <c r="N125" s="6" t="str">
        <f t="shared" si="4"/>
        <v>Condor Comfort
(Stand 01-2009)</v>
      </c>
      <c r="O125" s="6" t="str">
        <f t="shared" si="4"/>
        <v>Debeka
(Stand 01-2008)</v>
      </c>
      <c r="P125" s="6" t="str">
        <f>P1</f>
        <v>Dt. Ring up-unfallprotect max (Stand 10-2010)</v>
      </c>
      <c r="Q125" s="6" t="str">
        <f t="shared" si="4"/>
        <v>DEVK Komplett
(Stand 05-2011)</v>
      </c>
      <c r="R125" s="6" t="str">
        <f t="shared" si="4"/>
        <v>DEVK Komplett
(Stand 12-2012)</v>
      </c>
      <c r="S125" s="6" t="str">
        <f t="shared" si="4"/>
        <v>ERGO Unfall life
(Stand 04-2010)</v>
      </c>
      <c r="T125" s="6" t="str">
        <f t="shared" si="4"/>
        <v>Generali Komfort Plus
(Stand 10-2012)</v>
      </c>
      <c r="U125" s="6" t="str">
        <f t="shared" si="4"/>
        <v>Gothaer Unfall Top 2010 Plus (01-2013)</v>
      </c>
      <c r="V125" s="57" t="str">
        <f>V1</f>
        <v>Grundeigentümer (Regulär)
Pro Domo Basis (10-2009)</v>
      </c>
      <c r="W125" s="57" t="str">
        <f>W1</f>
        <v>Grundeigentümer (Regulär)
Pro Domo Komfort (10-2009)</v>
      </c>
      <c r="X125" s="57" t="str">
        <f>X1</f>
        <v>Grundeigentümer (Regulär)
Pro Domo Premium (02-2010)</v>
      </c>
      <c r="Y125" s="57" t="str">
        <f>Y1</f>
        <v>HKD Vollschutz
(Stand 01-2012)</v>
      </c>
      <c r="Z125" s="57" t="str">
        <f>Z1</f>
        <v>Interlloyd Eurosecure 2005</v>
      </c>
      <c r="AA125" s="6" t="str">
        <f t="shared" si="4"/>
        <v>Interlloyd Protect
(Stand 2007)</v>
      </c>
      <c r="AB125" s="6" t="str">
        <f t="shared" si="4"/>
        <v>Interlloyd Premium
(Stand 01-2010)</v>
      </c>
      <c r="AC125" s="6" t="str">
        <f t="shared" si="4"/>
        <v>Interrisk XL (Plus-Taxe)
(Stand 07-2011)</v>
      </c>
      <c r="AD125" s="6" t="str">
        <f t="shared" si="4"/>
        <v>Interrisk XXL (Maxi-Taxe)
(Stand 07-2011)</v>
      </c>
      <c r="AE125" s="6" t="str">
        <f>AE1</f>
        <v>Janitos MLP Classic 2007
(Stand 01-2008)</v>
      </c>
      <c r="AF125" s="6" t="str">
        <f t="shared" si="4"/>
        <v>Janitos Balance
(Stand 04-2011)</v>
      </c>
      <c r="AG125" s="6" t="str">
        <f t="shared" si="4"/>
        <v>KRAVAG afm Familien-UV
(Stand 07-2008)</v>
      </c>
      <c r="AH125" s="6" t="str">
        <f t="shared" si="4"/>
        <v>KRAVAG afm Gruppen-UV
(Stand 07-2008)</v>
      </c>
      <c r="AI125" s="5" t="str">
        <f t="shared" si="4"/>
        <v>nationale suisse Basis-Plus
(Stand 01-2008)</v>
      </c>
      <c r="AJ125" s="5" t="str">
        <f t="shared" si="4"/>
        <v>nationale suisse Ideal
(Stand 01-2008)</v>
      </c>
      <c r="AK125" s="57" t="str">
        <f t="shared" si="4"/>
        <v>Prokundo ExklusivPaket
(Stand 01-2012)</v>
      </c>
      <c r="AL125" s="62" t="str">
        <f>AL1</f>
        <v>Prokundo Gleichgewicht</v>
      </c>
      <c r="AM125" s="57" t="str">
        <f t="shared" si="4"/>
        <v>Prokundo Komfort
(Stand 01-2012)</v>
      </c>
      <c r="AN125" s="57" t="str">
        <f>AN1</f>
        <v>Prokundo ExklusivPaket
(Stand 08-2012)</v>
      </c>
      <c r="AO125" s="57" t="str">
        <f>AO1</f>
        <v>Prokundo Komfort
(Stand 08-2012)</v>
      </c>
      <c r="AP125" s="6" t="str">
        <f t="shared" si="4"/>
        <v>Provinzial Top
(Stand 04-2009)</v>
      </c>
      <c r="AQ125" s="6" t="str">
        <f t="shared" si="4"/>
        <v>Rhion Plus
(Stand 04-2011)</v>
      </c>
      <c r="AR125" s="57" t="str">
        <f>AR1</f>
        <v>R+V Exklusiv
(Stand 07-2010)</v>
      </c>
      <c r="AS125" s="57" t="str">
        <f>AS1</f>
        <v>R+V PrivatPolice (classic)
(Stand 07-2012)</v>
      </c>
      <c r="AT125" s="6" t="str">
        <f t="shared" si="4"/>
        <v>Signal Iduna Basis
(Stand 05-2001)</v>
      </c>
      <c r="AU125" s="57" t="str">
        <f t="shared" si="4"/>
        <v>Signal Iduna Exklusiv
(Stand 11-2009)</v>
      </c>
      <c r="AV125" s="57" t="str">
        <f t="shared" si="4"/>
        <v>Signal Iduna Exklusiv
(Stand 10-2011)</v>
      </c>
      <c r="AW125" s="57" t="str">
        <f t="shared" si="4"/>
        <v>Signal Iduna Exklusiv (ÖD)
z.B. PVAG, VÖDAG
(Stand 10-2011)</v>
      </c>
      <c r="AX125" s="57" t="str">
        <f t="shared" si="4"/>
        <v>SLP Primus
(Stand 07-2010)</v>
      </c>
      <c r="AY125" s="57" t="str">
        <f t="shared" si="4"/>
        <v>SLP Primus Plus
(Stand 07-2010)</v>
      </c>
      <c r="AZ125" s="57" t="str">
        <f t="shared" si="4"/>
        <v>SLP Primus
(Stand 04-2012)</v>
      </c>
      <c r="BA125" s="57" t="str">
        <f t="shared" si="4"/>
        <v>SLP Primus Plus
(Stand 04-2012)</v>
      </c>
      <c r="BB125" s="6" t="str">
        <f t="shared" si="4"/>
        <v>Stuttgarter
(Stand 07-2010)</v>
      </c>
      <c r="BC125" s="6" t="str">
        <f t="shared" si="4"/>
        <v>VGH AUB 2008
(Stand 11-2010)</v>
      </c>
      <c r="BD125" s="6" t="str">
        <f t="shared" si="4"/>
        <v>VHV Exklusiv
(Stand 04-2011)</v>
      </c>
      <c r="BE125" s="57" t="str">
        <f>BE1</f>
        <v>Württembergische
(Stand 11-2009)</v>
      </c>
      <c r="BF125" s="57" t="str">
        <f>BF1</f>
        <v>Württembergische Top
(Stand 11-2009)</v>
      </c>
      <c r="BG125" s="57" t="str">
        <f>BG1</f>
        <v>Zurich Makler Top-Schutz
(Stand 04-2011)</v>
      </c>
    </row>
    <row r="126" spans="1:59" s="55" customFormat="1" ht="22.5" customHeight="1">
      <c r="A126" s="53" t="s">
        <v>4</v>
      </c>
      <c r="B126" s="54" t="s">
        <v>58</v>
      </c>
      <c r="C126" s="54" t="s">
        <v>4467</v>
      </c>
      <c r="D126" s="54" t="s">
        <v>4468</v>
      </c>
      <c r="E126" s="54" t="s">
        <v>4601</v>
      </c>
      <c r="F126" s="54" t="s">
        <v>4602</v>
      </c>
      <c r="G126" s="49" t="s">
        <v>23</v>
      </c>
      <c r="H126" s="54" t="s">
        <v>125</v>
      </c>
      <c r="I126" s="54" t="s">
        <v>125</v>
      </c>
      <c r="J126" s="54" t="s">
        <v>2634</v>
      </c>
      <c r="K126" s="49" t="s">
        <v>294</v>
      </c>
      <c r="L126" s="54" t="s">
        <v>1527</v>
      </c>
      <c r="M126" s="54" t="s">
        <v>23</v>
      </c>
      <c r="N126" s="54" t="s">
        <v>23</v>
      </c>
      <c r="O126" s="54" t="s">
        <v>58</v>
      </c>
      <c r="P126" s="54" t="s">
        <v>89</v>
      </c>
      <c r="Q126" s="54" t="s">
        <v>23</v>
      </c>
      <c r="R126" s="54" t="s">
        <v>23</v>
      </c>
      <c r="S126" s="54" t="s">
        <v>58</v>
      </c>
      <c r="T126" s="54" t="s">
        <v>1761</v>
      </c>
      <c r="U126" s="54" t="s">
        <v>58</v>
      </c>
      <c r="V126" s="54" t="s">
        <v>23</v>
      </c>
      <c r="W126" s="54" t="s">
        <v>23</v>
      </c>
      <c r="X126" s="54" t="s">
        <v>23</v>
      </c>
      <c r="Y126" s="54" t="s">
        <v>747</v>
      </c>
      <c r="Z126" s="54" t="s">
        <v>1094</v>
      </c>
      <c r="AA126" s="15" t="s">
        <v>23</v>
      </c>
      <c r="AB126" s="54" t="s">
        <v>1876</v>
      </c>
      <c r="AC126" s="54" t="s">
        <v>481</v>
      </c>
      <c r="AD126" s="54" t="s">
        <v>89</v>
      </c>
      <c r="AE126" s="54" t="s">
        <v>23</v>
      </c>
      <c r="AF126" s="54" t="s">
        <v>23</v>
      </c>
      <c r="AG126" s="54" t="s">
        <v>58</v>
      </c>
      <c r="AH126" s="54" t="s">
        <v>58</v>
      </c>
      <c r="AI126" s="54" t="s">
        <v>23</v>
      </c>
      <c r="AJ126" s="54" t="s">
        <v>23</v>
      </c>
      <c r="AK126" s="54" t="s">
        <v>89</v>
      </c>
      <c r="AL126" s="54" t="s">
        <v>39</v>
      </c>
      <c r="AM126" s="54" t="s">
        <v>89</v>
      </c>
      <c r="AN126" s="54" t="s">
        <v>89</v>
      </c>
      <c r="AO126" s="54" t="s">
        <v>89</v>
      </c>
      <c r="AP126" s="54" t="s">
        <v>89</v>
      </c>
      <c r="AQ126" s="54" t="s">
        <v>595</v>
      </c>
      <c r="AR126" s="69" t="s">
        <v>383</v>
      </c>
      <c r="AS126" s="54" t="s">
        <v>1722</v>
      </c>
      <c r="AT126" s="49" t="s">
        <v>397</v>
      </c>
      <c r="AU126" s="49" t="s">
        <v>397</v>
      </c>
      <c r="AV126" s="54" t="s">
        <v>397</v>
      </c>
      <c r="AW126" s="54" t="s">
        <v>397</v>
      </c>
      <c r="AX126" s="54" t="s">
        <v>58</v>
      </c>
      <c r="AY126" s="54" t="s">
        <v>89</v>
      </c>
      <c r="AZ126" s="54" t="s">
        <v>58</v>
      </c>
      <c r="BA126" s="54" t="s">
        <v>89</v>
      </c>
      <c r="BB126" s="54" t="s">
        <v>89</v>
      </c>
      <c r="BC126" s="54" t="s">
        <v>3071</v>
      </c>
      <c r="BD126" s="54" t="s">
        <v>1777</v>
      </c>
      <c r="BE126" s="54" t="s">
        <v>919</v>
      </c>
      <c r="BF126" s="54" t="s">
        <v>919</v>
      </c>
      <c r="BG126" s="54" t="s">
        <v>444</v>
      </c>
    </row>
    <row r="127" spans="1:59" s="55" customFormat="1" ht="11.25" customHeight="1">
      <c r="A127" s="95" t="s">
        <v>688</v>
      </c>
      <c r="B127" s="94"/>
      <c r="C127" s="94" t="s">
        <v>1019</v>
      </c>
      <c r="D127" s="94" t="s">
        <v>4469</v>
      </c>
      <c r="E127" s="94" t="s">
        <v>4603</v>
      </c>
      <c r="F127" s="94" t="s">
        <v>4606</v>
      </c>
      <c r="G127" s="91"/>
      <c r="H127" s="94" t="s">
        <v>2053</v>
      </c>
      <c r="I127" s="94"/>
      <c r="J127" s="94" t="s">
        <v>2053</v>
      </c>
      <c r="K127" s="94"/>
      <c r="L127" s="94" t="s">
        <v>1526</v>
      </c>
      <c r="M127" s="94" t="s">
        <v>1019</v>
      </c>
      <c r="N127" s="94"/>
      <c r="O127" s="94" t="s">
        <v>1406</v>
      </c>
      <c r="P127" s="94"/>
      <c r="Q127" s="94"/>
      <c r="R127" s="94" t="s">
        <v>2833</v>
      </c>
      <c r="S127" s="94"/>
      <c r="T127" s="94"/>
      <c r="U127" s="94"/>
      <c r="V127" s="94" t="s">
        <v>1384</v>
      </c>
      <c r="W127" s="94" t="s">
        <v>1384</v>
      </c>
      <c r="X127" s="94" t="s">
        <v>1384</v>
      </c>
      <c r="Y127" s="94" t="s">
        <v>748</v>
      </c>
      <c r="Z127" s="94" t="s">
        <v>1093</v>
      </c>
      <c r="AA127" s="91"/>
      <c r="AB127" s="94" t="s">
        <v>1384</v>
      </c>
      <c r="AC127" s="94"/>
      <c r="AD127" s="94"/>
      <c r="AE127" s="94" t="s">
        <v>1384</v>
      </c>
      <c r="AF127" s="94"/>
      <c r="AG127" s="91"/>
      <c r="AH127" s="91"/>
      <c r="AI127" s="94"/>
      <c r="AJ127" s="94"/>
      <c r="AK127" s="94" t="s">
        <v>1219</v>
      </c>
      <c r="AL127" s="91" t="s">
        <v>39</v>
      </c>
      <c r="AM127" s="94" t="s">
        <v>1219</v>
      </c>
      <c r="AN127" s="94" t="s">
        <v>1219</v>
      </c>
      <c r="AO127" s="94" t="s">
        <v>1219</v>
      </c>
      <c r="AP127" s="94"/>
      <c r="AQ127" s="91"/>
      <c r="AR127" s="94"/>
      <c r="AS127" s="94" t="s">
        <v>1721</v>
      </c>
      <c r="AT127" s="91"/>
      <c r="AU127" s="94"/>
      <c r="AV127" s="94" t="s">
        <v>851</v>
      </c>
      <c r="AW127" s="94" t="s">
        <v>851</v>
      </c>
      <c r="AX127" s="94"/>
      <c r="AY127" s="94"/>
      <c r="AZ127" s="94" t="s">
        <v>1274</v>
      </c>
      <c r="BA127" s="94" t="s">
        <v>1274</v>
      </c>
      <c r="BB127" s="91"/>
      <c r="BC127" s="94" t="s">
        <v>2893</v>
      </c>
      <c r="BD127" s="94"/>
      <c r="BE127" s="94" t="s">
        <v>920</v>
      </c>
      <c r="BF127" s="94" t="s">
        <v>920</v>
      </c>
      <c r="BG127" s="94"/>
    </row>
    <row r="128" spans="1:59" s="55" customFormat="1" ht="22.5" customHeight="1">
      <c r="A128" s="53" t="s">
        <v>3</v>
      </c>
      <c r="B128" s="54" t="s">
        <v>39</v>
      </c>
      <c r="C128" s="49" t="s">
        <v>39</v>
      </c>
      <c r="D128" s="49" t="s">
        <v>39</v>
      </c>
      <c r="E128" s="54" t="s">
        <v>4607</v>
      </c>
      <c r="F128" s="54" t="s">
        <v>4607</v>
      </c>
      <c r="G128" s="49" t="s">
        <v>319</v>
      </c>
      <c r="H128" s="54" t="s">
        <v>41</v>
      </c>
      <c r="I128" s="54" t="s">
        <v>41</v>
      </c>
      <c r="J128" s="54" t="s">
        <v>41</v>
      </c>
      <c r="K128" s="49" t="s">
        <v>41</v>
      </c>
      <c r="L128" s="54" t="s">
        <v>41</v>
      </c>
      <c r="M128" s="49" t="s">
        <v>384</v>
      </c>
      <c r="N128" s="54" t="s">
        <v>39</v>
      </c>
      <c r="O128" s="54" t="s">
        <v>39</v>
      </c>
      <c r="P128" s="54" t="s">
        <v>342</v>
      </c>
      <c r="Q128" s="54" t="s">
        <v>39</v>
      </c>
      <c r="R128" s="54" t="s">
        <v>39</v>
      </c>
      <c r="S128" s="54" t="s">
        <v>39</v>
      </c>
      <c r="T128" s="54" t="s">
        <v>41</v>
      </c>
      <c r="U128" s="54" t="s">
        <v>319</v>
      </c>
      <c r="V128" s="54" t="s">
        <v>39</v>
      </c>
      <c r="W128" s="54" t="s">
        <v>39</v>
      </c>
      <c r="X128" s="54" t="s">
        <v>39</v>
      </c>
      <c r="Y128" s="49" t="s">
        <v>41</v>
      </c>
      <c r="Z128" s="49" t="s">
        <v>384</v>
      </c>
      <c r="AA128" s="15" t="s">
        <v>41</v>
      </c>
      <c r="AB128" s="54" t="s">
        <v>41</v>
      </c>
      <c r="AC128" s="54" t="s">
        <v>41</v>
      </c>
      <c r="AD128" s="54" t="s">
        <v>41</v>
      </c>
      <c r="AE128" s="54" t="s">
        <v>39</v>
      </c>
      <c r="AF128" s="54" t="s">
        <v>39</v>
      </c>
      <c r="AG128" s="54" t="s">
        <v>39</v>
      </c>
      <c r="AH128" s="54" t="s">
        <v>39</v>
      </c>
      <c r="AI128" s="54" t="s">
        <v>534</v>
      </c>
      <c r="AJ128" s="54" t="s">
        <v>534</v>
      </c>
      <c r="AK128" s="54" t="s">
        <v>1243</v>
      </c>
      <c r="AL128" s="54" t="s">
        <v>39</v>
      </c>
      <c r="AM128" s="54" t="s">
        <v>1243</v>
      </c>
      <c r="AN128" s="54" t="s">
        <v>1243</v>
      </c>
      <c r="AO128" s="54" t="s">
        <v>1243</v>
      </c>
      <c r="AP128" s="54" t="s">
        <v>39</v>
      </c>
      <c r="AQ128" s="49" t="s">
        <v>41</v>
      </c>
      <c r="AR128" s="49" t="s">
        <v>384</v>
      </c>
      <c r="AS128" s="54" t="s">
        <v>1724</v>
      </c>
      <c r="AT128" s="73" t="s">
        <v>39</v>
      </c>
      <c r="AU128" s="49" t="s">
        <v>41</v>
      </c>
      <c r="AV128" s="54" t="s">
        <v>41</v>
      </c>
      <c r="AW128" s="54" t="s">
        <v>41</v>
      </c>
      <c r="AX128" s="54" t="s">
        <v>41</v>
      </c>
      <c r="AY128" s="54" t="s">
        <v>41</v>
      </c>
      <c r="AZ128" s="54" t="s">
        <v>41</v>
      </c>
      <c r="BA128" s="54" t="s">
        <v>41</v>
      </c>
      <c r="BB128" s="54" t="s">
        <v>39</v>
      </c>
      <c r="BC128" s="54" t="s">
        <v>39</v>
      </c>
      <c r="BD128" s="54" t="s">
        <v>41</v>
      </c>
      <c r="BE128" s="80" t="s">
        <v>39</v>
      </c>
      <c r="BF128" s="80" t="s">
        <v>39</v>
      </c>
      <c r="BG128" s="54" t="s">
        <v>425</v>
      </c>
    </row>
    <row r="129" spans="1:59" s="55" customFormat="1" ht="11.25" customHeight="1">
      <c r="A129" s="95" t="s">
        <v>688</v>
      </c>
      <c r="B129" s="94"/>
      <c r="C129" s="94"/>
      <c r="D129" s="94"/>
      <c r="E129" s="94" t="s">
        <v>4604</v>
      </c>
      <c r="F129" s="94" t="s">
        <v>4605</v>
      </c>
      <c r="G129" s="91"/>
      <c r="H129" s="94" t="s">
        <v>2054</v>
      </c>
      <c r="I129" s="94"/>
      <c r="J129" s="94" t="s">
        <v>2054</v>
      </c>
      <c r="K129" s="94"/>
      <c r="L129" s="94" t="s">
        <v>1569</v>
      </c>
      <c r="M129" s="94" t="s">
        <v>1020</v>
      </c>
      <c r="N129" s="94"/>
      <c r="O129" s="94" t="s">
        <v>1405</v>
      </c>
      <c r="P129" s="94"/>
      <c r="Q129" s="94"/>
      <c r="R129" s="94" t="s">
        <v>2834</v>
      </c>
      <c r="S129" s="94"/>
      <c r="T129" s="94"/>
      <c r="U129" s="94"/>
      <c r="V129" s="94" t="s">
        <v>1383</v>
      </c>
      <c r="W129" s="94" t="s">
        <v>1383</v>
      </c>
      <c r="X129" s="94" t="s">
        <v>1383</v>
      </c>
      <c r="Y129" s="94" t="s">
        <v>749</v>
      </c>
      <c r="Z129" s="94" t="s">
        <v>1095</v>
      </c>
      <c r="AA129" s="91"/>
      <c r="AB129" s="94"/>
      <c r="AC129" s="94"/>
      <c r="AD129" s="94"/>
      <c r="AE129" s="94" t="s">
        <v>1383</v>
      </c>
      <c r="AF129" s="94"/>
      <c r="AG129" s="91"/>
      <c r="AH129" s="91"/>
      <c r="AI129" s="94"/>
      <c r="AJ129" s="94"/>
      <c r="AK129" s="94" t="s">
        <v>1242</v>
      </c>
      <c r="AL129" s="91" t="s">
        <v>39</v>
      </c>
      <c r="AM129" s="94" t="s">
        <v>1242</v>
      </c>
      <c r="AN129" s="94" t="s">
        <v>1242</v>
      </c>
      <c r="AO129" s="94" t="s">
        <v>1242</v>
      </c>
      <c r="AP129" s="94"/>
      <c r="AQ129" s="91"/>
      <c r="AR129" s="94"/>
      <c r="AS129" s="94" t="s">
        <v>1723</v>
      </c>
      <c r="AT129" s="91"/>
      <c r="AU129" s="94"/>
      <c r="AV129" s="94" t="s">
        <v>849</v>
      </c>
      <c r="AW129" s="94" t="s">
        <v>849</v>
      </c>
      <c r="AX129" s="94"/>
      <c r="AY129" s="94"/>
      <c r="AZ129" s="94" t="s">
        <v>1330</v>
      </c>
      <c r="BA129" s="94" t="s">
        <v>1330</v>
      </c>
      <c r="BB129" s="91"/>
      <c r="BC129" s="94" t="s">
        <v>2603</v>
      </c>
      <c r="BD129" s="94"/>
      <c r="BE129" s="94" t="s">
        <v>922</v>
      </c>
      <c r="BF129" s="94" t="s">
        <v>922</v>
      </c>
      <c r="BG129" s="94"/>
    </row>
    <row r="130" spans="1:59" s="55" customFormat="1" ht="22.5" customHeight="1">
      <c r="A130" s="58" t="s">
        <v>2836</v>
      </c>
      <c r="B130" s="54" t="s">
        <v>39</v>
      </c>
      <c r="C130" s="54" t="s">
        <v>39</v>
      </c>
      <c r="D130" s="54" t="s">
        <v>4470</v>
      </c>
      <c r="E130" s="54" t="s">
        <v>750</v>
      </c>
      <c r="F130" s="54" t="s">
        <v>750</v>
      </c>
      <c r="G130" s="49" t="s">
        <v>118</v>
      </c>
      <c r="H130" s="54" t="s">
        <v>750</v>
      </c>
      <c r="I130" s="54" t="s">
        <v>750</v>
      </c>
      <c r="J130" s="54" t="s">
        <v>750</v>
      </c>
      <c r="K130" s="54" t="s">
        <v>39</v>
      </c>
      <c r="L130" s="54" t="s">
        <v>39</v>
      </c>
      <c r="M130" s="54" t="s">
        <v>750</v>
      </c>
      <c r="N130" s="54" t="s">
        <v>494</v>
      </c>
      <c r="O130" s="54" t="s">
        <v>39</v>
      </c>
      <c r="P130" s="54" t="s">
        <v>259</v>
      </c>
      <c r="Q130" s="54" t="s">
        <v>654</v>
      </c>
      <c r="R130" s="54" t="s">
        <v>396</v>
      </c>
      <c r="S130" s="54" t="s">
        <v>750</v>
      </c>
      <c r="T130" s="54" t="s">
        <v>226</v>
      </c>
      <c r="U130" s="54" t="s">
        <v>750</v>
      </c>
      <c r="V130" s="54" t="s">
        <v>39</v>
      </c>
      <c r="W130" s="54" t="s">
        <v>39</v>
      </c>
      <c r="X130" s="54" t="s">
        <v>259</v>
      </c>
      <c r="Y130" s="54" t="s">
        <v>750</v>
      </c>
      <c r="Z130" s="54" t="s">
        <v>750</v>
      </c>
      <c r="AA130" s="17" t="s">
        <v>91</v>
      </c>
      <c r="AB130" s="54" t="s">
        <v>750</v>
      </c>
      <c r="AC130" s="54" t="s">
        <v>750</v>
      </c>
      <c r="AD130" s="54" t="s">
        <v>750</v>
      </c>
      <c r="AE130" s="54" t="s">
        <v>39</v>
      </c>
      <c r="AF130" s="54" t="s">
        <v>39</v>
      </c>
      <c r="AG130" s="54" t="s">
        <v>236</v>
      </c>
      <c r="AH130" s="54" t="s">
        <v>236</v>
      </c>
      <c r="AI130" s="49" t="s">
        <v>39</v>
      </c>
      <c r="AJ130" s="49" t="s">
        <v>39</v>
      </c>
      <c r="AK130" s="54" t="s">
        <v>1184</v>
      </c>
      <c r="AL130" s="73" t="s">
        <v>39</v>
      </c>
      <c r="AM130" s="54" t="s">
        <v>39</v>
      </c>
      <c r="AN130" s="54" t="s">
        <v>1184</v>
      </c>
      <c r="AO130" s="54" t="s">
        <v>39</v>
      </c>
      <c r="AP130" s="54" t="s">
        <v>92</v>
      </c>
      <c r="AQ130" s="54" t="s">
        <v>118</v>
      </c>
      <c r="AR130" s="54" t="s">
        <v>39</v>
      </c>
      <c r="AS130" s="54" t="s">
        <v>39</v>
      </c>
      <c r="AT130" s="65" t="s">
        <v>396</v>
      </c>
      <c r="AU130" s="49" t="s">
        <v>396</v>
      </c>
      <c r="AV130" s="54" t="s">
        <v>396</v>
      </c>
      <c r="AW130" s="54" t="s">
        <v>396</v>
      </c>
      <c r="AX130" s="54" t="s">
        <v>118</v>
      </c>
      <c r="AY130" s="54" t="s">
        <v>118</v>
      </c>
      <c r="AZ130" s="54" t="s">
        <v>226</v>
      </c>
      <c r="BA130" s="54" t="s">
        <v>226</v>
      </c>
      <c r="BB130" s="54" t="s">
        <v>259</v>
      </c>
      <c r="BC130" s="54" t="s">
        <v>750</v>
      </c>
      <c r="BD130" s="54" t="s">
        <v>750</v>
      </c>
      <c r="BE130" s="54" t="s">
        <v>921</v>
      </c>
      <c r="BF130" s="54" t="s">
        <v>921</v>
      </c>
      <c r="BG130" s="54" t="s">
        <v>424</v>
      </c>
    </row>
    <row r="131" spans="1:59" s="55" customFormat="1" ht="11.25" customHeight="1">
      <c r="A131" s="95" t="s">
        <v>688</v>
      </c>
      <c r="B131" s="94"/>
      <c r="C131" s="94"/>
      <c r="D131" s="94" t="s">
        <v>4471</v>
      </c>
      <c r="E131" s="94" t="s">
        <v>4608</v>
      </c>
      <c r="F131" s="94" t="s">
        <v>4609</v>
      </c>
      <c r="G131" s="91"/>
      <c r="H131" s="94" t="s">
        <v>2056</v>
      </c>
      <c r="I131" s="94"/>
      <c r="J131" s="94" t="s">
        <v>2056</v>
      </c>
      <c r="K131" s="94"/>
      <c r="L131" s="94" t="s">
        <v>39</v>
      </c>
      <c r="M131" s="94" t="s">
        <v>1021</v>
      </c>
      <c r="N131" s="94"/>
      <c r="O131" s="94" t="s">
        <v>39</v>
      </c>
      <c r="P131" s="94"/>
      <c r="Q131" s="94"/>
      <c r="R131" s="94" t="s">
        <v>2835</v>
      </c>
      <c r="S131" s="94"/>
      <c r="T131" s="94"/>
      <c r="U131" s="94"/>
      <c r="V131" s="94" t="s">
        <v>39</v>
      </c>
      <c r="W131" s="94" t="s">
        <v>39</v>
      </c>
      <c r="X131" s="94" t="s">
        <v>1797</v>
      </c>
      <c r="Y131" s="94" t="s">
        <v>727</v>
      </c>
      <c r="Z131" s="94" t="s">
        <v>1098</v>
      </c>
      <c r="AA131" s="91"/>
      <c r="AB131" s="94"/>
      <c r="AC131" s="94"/>
      <c r="AD131" s="94"/>
      <c r="AE131" s="94" t="s">
        <v>39</v>
      </c>
      <c r="AF131" s="94"/>
      <c r="AG131" s="91"/>
      <c r="AH131" s="91"/>
      <c r="AI131" s="94"/>
      <c r="AJ131" s="94"/>
      <c r="AK131" s="94" t="s">
        <v>1183</v>
      </c>
      <c r="AL131" s="91" t="s">
        <v>39</v>
      </c>
      <c r="AM131" s="94" t="s">
        <v>39</v>
      </c>
      <c r="AN131" s="94" t="s">
        <v>1183</v>
      </c>
      <c r="AO131" s="94" t="s">
        <v>39</v>
      </c>
      <c r="AP131" s="94"/>
      <c r="AQ131" s="91"/>
      <c r="AR131" s="94"/>
      <c r="AS131" s="94" t="s">
        <v>39</v>
      </c>
      <c r="AT131" s="91"/>
      <c r="AU131" s="94"/>
      <c r="AV131" s="94" t="s">
        <v>848</v>
      </c>
      <c r="AW131" s="94" t="s">
        <v>848</v>
      </c>
      <c r="AX131" s="94"/>
      <c r="AY131" s="94"/>
      <c r="AZ131" s="94" t="s">
        <v>1275</v>
      </c>
      <c r="BA131" s="94" t="s">
        <v>1275</v>
      </c>
      <c r="BB131" s="91"/>
      <c r="BC131" s="94" t="s">
        <v>1896</v>
      </c>
      <c r="BD131" s="94"/>
      <c r="BE131" s="94" t="s">
        <v>967</v>
      </c>
      <c r="BF131" s="94" t="s">
        <v>967</v>
      </c>
      <c r="BG131" s="94"/>
    </row>
    <row r="132" spans="1:59" s="55" customFormat="1" ht="22.5" customHeight="1">
      <c r="A132" s="58" t="s">
        <v>22</v>
      </c>
      <c r="B132" s="69" t="s">
        <v>502</v>
      </c>
      <c r="C132" s="54" t="s">
        <v>39</v>
      </c>
      <c r="D132" s="54" t="s">
        <v>39</v>
      </c>
      <c r="E132" s="54" t="s">
        <v>4611</v>
      </c>
      <c r="F132" s="54" t="s">
        <v>4611</v>
      </c>
      <c r="G132" s="69" t="s">
        <v>39</v>
      </c>
      <c r="H132" s="54" t="s">
        <v>126</v>
      </c>
      <c r="I132" s="54" t="s">
        <v>126</v>
      </c>
      <c r="J132" s="54" t="s">
        <v>126</v>
      </c>
      <c r="K132" s="49" t="s">
        <v>283</v>
      </c>
      <c r="L132" s="54" t="s">
        <v>1531</v>
      </c>
      <c r="M132" s="54" t="s">
        <v>1023</v>
      </c>
      <c r="N132" s="54" t="s">
        <v>39</v>
      </c>
      <c r="O132" s="54" t="s">
        <v>39</v>
      </c>
      <c r="P132" s="54" t="s">
        <v>41</v>
      </c>
      <c r="Q132" s="54" t="s">
        <v>39</v>
      </c>
      <c r="R132" s="54" t="s">
        <v>39</v>
      </c>
      <c r="S132" s="54" t="s">
        <v>50</v>
      </c>
      <c r="T132" s="54" t="s">
        <v>39</v>
      </c>
      <c r="U132" s="54" t="s">
        <v>41</v>
      </c>
      <c r="V132" s="54" t="s">
        <v>39</v>
      </c>
      <c r="W132" s="54" t="s">
        <v>39</v>
      </c>
      <c r="X132" s="54" t="s">
        <v>1097</v>
      </c>
      <c r="Y132" s="49" t="s">
        <v>41</v>
      </c>
      <c r="Z132" s="49" t="s">
        <v>1097</v>
      </c>
      <c r="AA132" s="15" t="s">
        <v>39</v>
      </c>
      <c r="AB132" s="54" t="s">
        <v>81</v>
      </c>
      <c r="AC132" s="54" t="s">
        <v>81</v>
      </c>
      <c r="AD132" s="54" t="s">
        <v>41</v>
      </c>
      <c r="AE132" s="54" t="s">
        <v>39</v>
      </c>
      <c r="AF132" s="54" t="s">
        <v>39</v>
      </c>
      <c r="AG132" s="54" t="s">
        <v>39</v>
      </c>
      <c r="AH132" s="54" t="s">
        <v>39</v>
      </c>
      <c r="AI132" s="54" t="s">
        <v>533</v>
      </c>
      <c r="AJ132" s="54" t="s">
        <v>533</v>
      </c>
      <c r="AK132" s="54" t="s">
        <v>41</v>
      </c>
      <c r="AL132" s="73" t="s">
        <v>39</v>
      </c>
      <c r="AM132" s="54" t="s">
        <v>41</v>
      </c>
      <c r="AN132" s="54" t="s">
        <v>41</v>
      </c>
      <c r="AO132" s="54" t="s">
        <v>41</v>
      </c>
      <c r="AP132" s="54" t="s">
        <v>90</v>
      </c>
      <c r="AQ132" s="49" t="s">
        <v>596</v>
      </c>
      <c r="AR132" s="49" t="s">
        <v>41</v>
      </c>
      <c r="AS132" s="54" t="s">
        <v>41</v>
      </c>
      <c r="AT132" s="73" t="s">
        <v>39</v>
      </c>
      <c r="AU132" s="49" t="s">
        <v>41</v>
      </c>
      <c r="AV132" s="54" t="s">
        <v>41</v>
      </c>
      <c r="AW132" s="54" t="s">
        <v>41</v>
      </c>
      <c r="AX132" s="54" t="s">
        <v>568</v>
      </c>
      <c r="AY132" s="54" t="s">
        <v>121</v>
      </c>
      <c r="AZ132" s="54" t="s">
        <v>568</v>
      </c>
      <c r="BA132" s="54" t="s">
        <v>121</v>
      </c>
      <c r="BB132" s="54" t="s">
        <v>39</v>
      </c>
      <c r="BC132" s="54" t="s">
        <v>39</v>
      </c>
      <c r="BD132" s="54" t="s">
        <v>616</v>
      </c>
      <c r="BE132" s="54" t="s">
        <v>78</v>
      </c>
      <c r="BF132" s="54" t="s">
        <v>78</v>
      </c>
      <c r="BG132" s="54" t="s">
        <v>41</v>
      </c>
    </row>
    <row r="133" spans="1:59" s="55" customFormat="1" ht="11.25" customHeight="1">
      <c r="A133" s="95" t="s">
        <v>688</v>
      </c>
      <c r="B133" s="94"/>
      <c r="C133" s="94"/>
      <c r="D133" s="94"/>
      <c r="E133" s="94" t="s">
        <v>4612</v>
      </c>
      <c r="F133" s="94" t="s">
        <v>4610</v>
      </c>
      <c r="G133" s="91"/>
      <c r="H133" s="94" t="s">
        <v>2053</v>
      </c>
      <c r="I133" s="94"/>
      <c r="J133" s="94" t="s">
        <v>2053</v>
      </c>
      <c r="K133" s="94"/>
      <c r="L133" s="94" t="s">
        <v>1530</v>
      </c>
      <c r="M133" s="94" t="s">
        <v>1022</v>
      </c>
      <c r="N133" s="94"/>
      <c r="O133" s="94" t="s">
        <v>39</v>
      </c>
      <c r="P133" s="94"/>
      <c r="Q133" s="94"/>
      <c r="R133" s="94" t="s">
        <v>39</v>
      </c>
      <c r="S133" s="94"/>
      <c r="T133" s="94"/>
      <c r="U133" s="94"/>
      <c r="V133" s="94" t="s">
        <v>39</v>
      </c>
      <c r="W133" s="94" t="s">
        <v>39</v>
      </c>
      <c r="X133" s="94" t="s">
        <v>1796</v>
      </c>
      <c r="Y133" s="94" t="s">
        <v>751</v>
      </c>
      <c r="Z133" s="94" t="s">
        <v>1096</v>
      </c>
      <c r="AA133" s="91"/>
      <c r="AB133" s="94"/>
      <c r="AC133" s="94"/>
      <c r="AD133" s="94"/>
      <c r="AE133" s="94" t="s">
        <v>39</v>
      </c>
      <c r="AF133" s="94"/>
      <c r="AG133" s="91"/>
      <c r="AH133" s="91"/>
      <c r="AI133" s="94"/>
      <c r="AJ133" s="94"/>
      <c r="AK133" s="94" t="s">
        <v>1226</v>
      </c>
      <c r="AL133" s="91" t="s">
        <v>39</v>
      </c>
      <c r="AM133" s="94" t="s">
        <v>1226</v>
      </c>
      <c r="AN133" s="94" t="s">
        <v>1226</v>
      </c>
      <c r="AO133" s="94" t="s">
        <v>1226</v>
      </c>
      <c r="AP133" s="94"/>
      <c r="AQ133" s="91"/>
      <c r="AR133" s="94"/>
      <c r="AS133" s="94" t="s">
        <v>1743</v>
      </c>
      <c r="AT133" s="91"/>
      <c r="AU133" s="94"/>
      <c r="AV133" s="94" t="s">
        <v>850</v>
      </c>
      <c r="AW133" s="94" t="s">
        <v>850</v>
      </c>
      <c r="AX133" s="94"/>
      <c r="AY133" s="94"/>
      <c r="AZ133" s="94" t="s">
        <v>1273</v>
      </c>
      <c r="BA133" s="94" t="s">
        <v>1273</v>
      </c>
      <c r="BB133" s="91"/>
      <c r="BC133" s="91" t="s">
        <v>39</v>
      </c>
      <c r="BD133" s="94"/>
      <c r="BE133" s="94" t="s">
        <v>968</v>
      </c>
      <c r="BF133" s="94" t="s">
        <v>968</v>
      </c>
      <c r="BG133" s="94"/>
    </row>
    <row r="134" spans="1:59" s="55" customFormat="1" ht="22.5" customHeight="1">
      <c r="A134" s="53" t="s">
        <v>128</v>
      </c>
      <c r="B134" s="49" t="s">
        <v>39</v>
      </c>
      <c r="C134" s="49" t="s">
        <v>4472</v>
      </c>
      <c r="D134" s="49" t="s">
        <v>4472</v>
      </c>
      <c r="E134" s="54" t="s">
        <v>4613</v>
      </c>
      <c r="F134" s="54" t="s">
        <v>4614</v>
      </c>
      <c r="G134" s="49" t="s">
        <v>129</v>
      </c>
      <c r="H134" s="54" t="s">
        <v>632</v>
      </c>
      <c r="I134" s="54" t="s">
        <v>632</v>
      </c>
      <c r="J134" s="54" t="s">
        <v>632</v>
      </c>
      <c r="K134" s="49" t="s">
        <v>301</v>
      </c>
      <c r="L134" s="54" t="s">
        <v>301</v>
      </c>
      <c r="M134" s="49" t="s">
        <v>129</v>
      </c>
      <c r="N134" s="54" t="s">
        <v>129</v>
      </c>
      <c r="O134" s="54" t="s">
        <v>129</v>
      </c>
      <c r="P134" s="54" t="s">
        <v>205</v>
      </c>
      <c r="Q134" s="54" t="s">
        <v>669</v>
      </c>
      <c r="R134" s="54" t="s">
        <v>2832</v>
      </c>
      <c r="S134" s="54" t="s">
        <v>39</v>
      </c>
      <c r="T134" s="54" t="s">
        <v>1762</v>
      </c>
      <c r="U134" s="54" t="s">
        <v>130</v>
      </c>
      <c r="V134" s="54" t="s">
        <v>129</v>
      </c>
      <c r="W134" s="54" t="s">
        <v>129</v>
      </c>
      <c r="X134" s="54" t="s">
        <v>129</v>
      </c>
      <c r="Y134" s="49" t="s">
        <v>205</v>
      </c>
      <c r="Z134" s="49" t="s">
        <v>204</v>
      </c>
      <c r="AA134" s="15" t="s">
        <v>129</v>
      </c>
      <c r="AB134" s="54" t="s">
        <v>1877</v>
      </c>
      <c r="AC134" s="54" t="s">
        <v>482</v>
      </c>
      <c r="AD134" s="54" t="s">
        <v>304</v>
      </c>
      <c r="AE134" s="54" t="s">
        <v>129</v>
      </c>
      <c r="AF134" s="54" t="s">
        <v>517</v>
      </c>
      <c r="AG134" s="54" t="s">
        <v>39</v>
      </c>
      <c r="AH134" s="54" t="s">
        <v>39</v>
      </c>
      <c r="AI134" s="54" t="s">
        <v>541</v>
      </c>
      <c r="AJ134" s="54" t="s">
        <v>541</v>
      </c>
      <c r="AK134" s="54" t="s">
        <v>1217</v>
      </c>
      <c r="AL134" s="54" t="s">
        <v>39</v>
      </c>
      <c r="AM134" s="54" t="s">
        <v>1217</v>
      </c>
      <c r="AN134" s="54" t="s">
        <v>1217</v>
      </c>
      <c r="AO134" s="54" t="s">
        <v>1217</v>
      </c>
      <c r="AP134" s="54" t="s">
        <v>39</v>
      </c>
      <c r="AQ134" s="49" t="s">
        <v>130</v>
      </c>
      <c r="AR134" s="49" t="s">
        <v>393</v>
      </c>
      <c r="AS134" s="54" t="s">
        <v>393</v>
      </c>
      <c r="AT134" s="49" t="s">
        <v>456</v>
      </c>
      <c r="AU134" s="49" t="s">
        <v>415</v>
      </c>
      <c r="AV134" s="54" t="s">
        <v>415</v>
      </c>
      <c r="AW134" s="54" t="s">
        <v>415</v>
      </c>
      <c r="AX134" s="54" t="s">
        <v>204</v>
      </c>
      <c r="AY134" s="54" t="s">
        <v>557</v>
      </c>
      <c r="AZ134" s="54" t="s">
        <v>204</v>
      </c>
      <c r="BA134" s="54" t="s">
        <v>557</v>
      </c>
      <c r="BB134" s="54" t="s">
        <v>129</v>
      </c>
      <c r="BC134" s="54" t="s">
        <v>129</v>
      </c>
      <c r="BD134" s="54" t="s">
        <v>130</v>
      </c>
      <c r="BE134" s="54" t="s">
        <v>39</v>
      </c>
      <c r="BF134" s="54" t="s">
        <v>39</v>
      </c>
      <c r="BG134" s="54" t="s">
        <v>423</v>
      </c>
    </row>
    <row r="135" spans="1:59" s="55" customFormat="1" ht="11.25" customHeight="1">
      <c r="A135" s="95" t="s">
        <v>688</v>
      </c>
      <c r="B135" s="94"/>
      <c r="C135" s="94" t="s">
        <v>1024</v>
      </c>
      <c r="D135" s="94" t="s">
        <v>1024</v>
      </c>
      <c r="E135" s="94" t="s">
        <v>1019</v>
      </c>
      <c r="F135" s="94" t="s">
        <v>4615</v>
      </c>
      <c r="G135" s="91"/>
      <c r="H135" s="94" t="s">
        <v>2055</v>
      </c>
      <c r="I135" s="94"/>
      <c r="J135" s="94" t="s">
        <v>2055</v>
      </c>
      <c r="K135" s="94"/>
      <c r="L135" s="94" t="s">
        <v>1528</v>
      </c>
      <c r="M135" s="94" t="s">
        <v>1024</v>
      </c>
      <c r="N135" s="94"/>
      <c r="O135" s="94" t="s">
        <v>1383</v>
      </c>
      <c r="P135" s="94"/>
      <c r="Q135" s="94"/>
      <c r="R135" s="94" t="s">
        <v>2831</v>
      </c>
      <c r="S135" s="94"/>
      <c r="T135" s="94"/>
      <c r="U135" s="94"/>
      <c r="V135" s="94" t="s">
        <v>1385</v>
      </c>
      <c r="W135" s="94" t="s">
        <v>1385</v>
      </c>
      <c r="X135" s="94" t="s">
        <v>1385</v>
      </c>
      <c r="Y135" s="94" t="s">
        <v>752</v>
      </c>
      <c r="Z135" s="94" t="s">
        <v>1099</v>
      </c>
      <c r="AA135" s="91"/>
      <c r="AB135" s="94" t="s">
        <v>1385</v>
      </c>
      <c r="AC135" s="94"/>
      <c r="AD135" s="94"/>
      <c r="AE135" s="94" t="s">
        <v>1385</v>
      </c>
      <c r="AF135" s="94"/>
      <c r="AG135" s="91"/>
      <c r="AH135" s="91"/>
      <c r="AI135" s="94"/>
      <c r="AJ135" s="94"/>
      <c r="AK135" s="94" t="s">
        <v>1216</v>
      </c>
      <c r="AL135" s="91" t="s">
        <v>39</v>
      </c>
      <c r="AM135" s="94" t="s">
        <v>1216</v>
      </c>
      <c r="AN135" s="94" t="s">
        <v>1216</v>
      </c>
      <c r="AO135" s="94" t="s">
        <v>1216</v>
      </c>
      <c r="AP135" s="94"/>
      <c r="AQ135" s="91"/>
      <c r="AR135" s="94"/>
      <c r="AS135" s="94" t="s">
        <v>1746</v>
      </c>
      <c r="AT135" s="91"/>
      <c r="AU135" s="94"/>
      <c r="AV135" s="94" t="s">
        <v>852</v>
      </c>
      <c r="AW135" s="94" t="s">
        <v>852</v>
      </c>
      <c r="AX135" s="94"/>
      <c r="AY135" s="94"/>
      <c r="AZ135" s="94" t="s">
        <v>1354</v>
      </c>
      <c r="BA135" s="94" t="s">
        <v>1272</v>
      </c>
      <c r="BB135" s="91"/>
      <c r="BC135" s="94" t="s">
        <v>2575</v>
      </c>
      <c r="BD135" s="94"/>
      <c r="BE135" s="94" t="s">
        <v>39</v>
      </c>
      <c r="BF135" s="94" t="s">
        <v>39</v>
      </c>
      <c r="BG135" s="94"/>
    </row>
    <row r="136" spans="1:59" s="55" customFormat="1" ht="22.5" customHeight="1">
      <c r="A136" s="53" t="s">
        <v>63</v>
      </c>
      <c r="B136" s="49" t="s">
        <v>39</v>
      </c>
      <c r="C136" s="49" t="s">
        <v>39</v>
      </c>
      <c r="D136" s="49" t="s">
        <v>4473</v>
      </c>
      <c r="E136" s="54" t="s">
        <v>39</v>
      </c>
      <c r="F136" s="54" t="s">
        <v>39</v>
      </c>
      <c r="G136" s="69" t="s">
        <v>39</v>
      </c>
      <c r="H136" s="54" t="s">
        <v>2058</v>
      </c>
      <c r="I136" s="54" t="s">
        <v>2058</v>
      </c>
      <c r="J136" s="54" t="s">
        <v>2058</v>
      </c>
      <c r="K136" s="54" t="s">
        <v>39</v>
      </c>
      <c r="L136" s="54" t="s">
        <v>39</v>
      </c>
      <c r="M136" s="49" t="s">
        <v>1027</v>
      </c>
      <c r="N136" s="54" t="s">
        <v>39</v>
      </c>
      <c r="O136" s="54" t="s">
        <v>39</v>
      </c>
      <c r="P136" s="54" t="s">
        <v>39</v>
      </c>
      <c r="Q136" s="54" t="s">
        <v>39</v>
      </c>
      <c r="R136" s="54" t="s">
        <v>39</v>
      </c>
      <c r="S136" s="54" t="s">
        <v>39</v>
      </c>
      <c r="T136" s="54" t="s">
        <v>39</v>
      </c>
      <c r="U136" s="54" t="s">
        <v>39</v>
      </c>
      <c r="V136" s="54" t="s">
        <v>39</v>
      </c>
      <c r="W136" s="54" t="s">
        <v>39</v>
      </c>
      <c r="X136" s="54" t="s">
        <v>39</v>
      </c>
      <c r="Y136" s="69" t="s">
        <v>39</v>
      </c>
      <c r="Z136" s="54" t="s">
        <v>39</v>
      </c>
      <c r="AA136" s="15" t="s">
        <v>39</v>
      </c>
      <c r="AB136" s="54" t="s">
        <v>39</v>
      </c>
      <c r="AC136" s="54" t="s">
        <v>39</v>
      </c>
      <c r="AD136" s="54" t="s">
        <v>39</v>
      </c>
      <c r="AE136" s="54" t="s">
        <v>39</v>
      </c>
      <c r="AF136" s="54" t="s">
        <v>39</v>
      </c>
      <c r="AG136" s="54" t="s">
        <v>41</v>
      </c>
      <c r="AH136" s="54" t="s">
        <v>41</v>
      </c>
      <c r="AI136" s="49" t="s">
        <v>39</v>
      </c>
      <c r="AJ136" s="49" t="s">
        <v>39</v>
      </c>
      <c r="AK136" s="54" t="s">
        <v>1182</v>
      </c>
      <c r="AL136" s="54" t="s">
        <v>4673</v>
      </c>
      <c r="AM136" s="54" t="s">
        <v>39</v>
      </c>
      <c r="AN136" s="54" t="s">
        <v>1182</v>
      </c>
      <c r="AO136" s="54" t="s">
        <v>39</v>
      </c>
      <c r="AP136" s="54" t="s">
        <v>39</v>
      </c>
      <c r="AQ136" s="49" t="s">
        <v>39</v>
      </c>
      <c r="AR136" s="49" t="s">
        <v>39</v>
      </c>
      <c r="AS136" s="54" t="s">
        <v>39</v>
      </c>
      <c r="AT136" s="54" t="s">
        <v>39</v>
      </c>
      <c r="AU136" s="69" t="s">
        <v>418</v>
      </c>
      <c r="AV136" s="54" t="s">
        <v>39</v>
      </c>
      <c r="AW136" s="54" t="s">
        <v>39</v>
      </c>
      <c r="AX136" s="54" t="s">
        <v>39</v>
      </c>
      <c r="AY136" s="69" t="s">
        <v>220</v>
      </c>
      <c r="AZ136" s="54" t="s">
        <v>39</v>
      </c>
      <c r="BA136" s="54" t="s">
        <v>39</v>
      </c>
      <c r="BB136" s="54" t="s">
        <v>39</v>
      </c>
      <c r="BC136" s="54" t="s">
        <v>39</v>
      </c>
      <c r="BD136" s="54" t="s">
        <v>39</v>
      </c>
      <c r="BE136" s="54" t="s">
        <v>39</v>
      </c>
      <c r="BF136" s="54" t="s">
        <v>39</v>
      </c>
      <c r="BG136" s="54" t="s">
        <v>427</v>
      </c>
    </row>
    <row r="137" spans="1:59" s="55" customFormat="1" ht="11.25" customHeight="1">
      <c r="A137" s="95" t="s">
        <v>688</v>
      </c>
      <c r="B137" s="94"/>
      <c r="C137" s="94"/>
      <c r="D137" s="94" t="s">
        <v>4474</v>
      </c>
      <c r="E137" s="94"/>
      <c r="F137" s="94"/>
      <c r="G137" s="91"/>
      <c r="H137" s="94" t="s">
        <v>2057</v>
      </c>
      <c r="I137" s="94"/>
      <c r="J137" s="94" t="s">
        <v>2057</v>
      </c>
      <c r="K137" s="94"/>
      <c r="L137" s="94" t="s">
        <v>39</v>
      </c>
      <c r="M137" s="94" t="s">
        <v>1026</v>
      </c>
      <c r="N137" s="94"/>
      <c r="O137" s="94" t="s">
        <v>1411</v>
      </c>
      <c r="P137" s="94"/>
      <c r="Q137" s="94"/>
      <c r="R137" s="94" t="s">
        <v>39</v>
      </c>
      <c r="S137" s="94"/>
      <c r="T137" s="94"/>
      <c r="U137" s="94"/>
      <c r="V137" s="94" t="s">
        <v>39</v>
      </c>
      <c r="W137" s="94" t="s">
        <v>39</v>
      </c>
      <c r="X137" s="94" t="s">
        <v>39</v>
      </c>
      <c r="Y137" s="94" t="s">
        <v>39</v>
      </c>
      <c r="Z137" s="94" t="s">
        <v>39</v>
      </c>
      <c r="AA137" s="91"/>
      <c r="AB137" s="94"/>
      <c r="AC137" s="94"/>
      <c r="AD137" s="94"/>
      <c r="AE137" s="94" t="s">
        <v>39</v>
      </c>
      <c r="AF137" s="94"/>
      <c r="AG137" s="91"/>
      <c r="AH137" s="91"/>
      <c r="AI137" s="94"/>
      <c r="AJ137" s="94"/>
      <c r="AK137" s="94" t="s">
        <v>1181</v>
      </c>
      <c r="AL137" s="91"/>
      <c r="AM137" s="94" t="s">
        <v>39</v>
      </c>
      <c r="AN137" s="94" t="s">
        <v>1181</v>
      </c>
      <c r="AO137" s="94" t="s">
        <v>39</v>
      </c>
      <c r="AP137" s="94"/>
      <c r="AQ137" s="91"/>
      <c r="AR137" s="94"/>
      <c r="AS137" s="94" t="s">
        <v>39</v>
      </c>
      <c r="AT137" s="91"/>
      <c r="AU137" s="94"/>
      <c r="AV137" s="94" t="s">
        <v>39</v>
      </c>
      <c r="AW137" s="94" t="s">
        <v>39</v>
      </c>
      <c r="AX137" s="94"/>
      <c r="AY137" s="94"/>
      <c r="AZ137" s="94" t="s">
        <v>39</v>
      </c>
      <c r="BA137" s="94" t="s">
        <v>39</v>
      </c>
      <c r="BB137" s="91"/>
      <c r="BC137" s="94" t="s">
        <v>1411</v>
      </c>
      <c r="BD137" s="94"/>
      <c r="BE137" s="94" t="s">
        <v>39</v>
      </c>
      <c r="BF137" s="94" t="s">
        <v>39</v>
      </c>
      <c r="BG137" s="94"/>
    </row>
    <row r="138" spans="1:59" s="55" customFormat="1" ht="22.5" customHeight="1">
      <c r="A138" s="53" t="s">
        <v>131</v>
      </c>
      <c r="B138" s="54" t="s">
        <v>39</v>
      </c>
      <c r="C138" s="54" t="s">
        <v>39</v>
      </c>
      <c r="D138" s="54" t="s">
        <v>39</v>
      </c>
      <c r="E138" s="54" t="s">
        <v>39</v>
      </c>
      <c r="F138" s="54" t="s">
        <v>4616</v>
      </c>
      <c r="G138" s="49" t="s">
        <v>39</v>
      </c>
      <c r="H138" s="54" t="s">
        <v>127</v>
      </c>
      <c r="I138" s="54" t="s">
        <v>127</v>
      </c>
      <c r="J138" s="54" t="s">
        <v>2635</v>
      </c>
      <c r="K138" s="49" t="s">
        <v>39</v>
      </c>
      <c r="L138" s="54" t="s">
        <v>39</v>
      </c>
      <c r="M138" s="54" t="s">
        <v>1034</v>
      </c>
      <c r="N138" s="54" t="s">
        <v>39</v>
      </c>
      <c r="O138" s="54" t="s">
        <v>39</v>
      </c>
      <c r="P138" s="54" t="s">
        <v>341</v>
      </c>
      <c r="Q138" s="54" t="s">
        <v>670</v>
      </c>
      <c r="R138" s="54" t="s">
        <v>670</v>
      </c>
      <c r="S138" s="54" t="s">
        <v>39</v>
      </c>
      <c r="T138" s="54" t="s">
        <v>39</v>
      </c>
      <c r="U138" s="54" t="s">
        <v>39</v>
      </c>
      <c r="V138" s="54" t="s">
        <v>39</v>
      </c>
      <c r="W138" s="54" t="s">
        <v>39</v>
      </c>
      <c r="X138" s="54" t="s">
        <v>1799</v>
      </c>
      <c r="Y138" s="54" t="s">
        <v>753</v>
      </c>
      <c r="Z138" s="54" t="s">
        <v>1119</v>
      </c>
      <c r="AA138" s="15" t="s">
        <v>39</v>
      </c>
      <c r="AB138" s="54" t="s">
        <v>171</v>
      </c>
      <c r="AC138" s="54" t="s">
        <v>3350</v>
      </c>
      <c r="AD138" s="127" t="s">
        <v>3349</v>
      </c>
      <c r="AE138" s="54" t="s">
        <v>39</v>
      </c>
      <c r="AF138" s="54" t="s">
        <v>39</v>
      </c>
      <c r="AG138" s="54" t="s">
        <v>39</v>
      </c>
      <c r="AH138" s="54" t="s">
        <v>39</v>
      </c>
      <c r="AI138" s="54" t="s">
        <v>39</v>
      </c>
      <c r="AJ138" s="54" t="s">
        <v>39</v>
      </c>
      <c r="AK138" s="54" t="s">
        <v>1194</v>
      </c>
      <c r="AL138" s="54" t="s">
        <v>4673</v>
      </c>
      <c r="AM138" s="54" t="s">
        <v>39</v>
      </c>
      <c r="AN138" s="54" t="s">
        <v>1194</v>
      </c>
      <c r="AO138" s="54" t="s">
        <v>39</v>
      </c>
      <c r="AP138" s="54" t="s">
        <v>39</v>
      </c>
      <c r="AQ138" s="54" t="s">
        <v>603</v>
      </c>
      <c r="AR138" s="49" t="s">
        <v>39</v>
      </c>
      <c r="AS138" s="54" t="s">
        <v>39</v>
      </c>
      <c r="AT138" s="73" t="s">
        <v>39</v>
      </c>
      <c r="AU138" s="49" t="s">
        <v>39</v>
      </c>
      <c r="AV138" s="54" t="s">
        <v>39</v>
      </c>
      <c r="AW138" s="54" t="s">
        <v>39</v>
      </c>
      <c r="AX138" s="54" t="s">
        <v>555</v>
      </c>
      <c r="AY138" s="54" t="s">
        <v>556</v>
      </c>
      <c r="AZ138" s="54" t="s">
        <v>555</v>
      </c>
      <c r="BA138" s="54" t="s">
        <v>556</v>
      </c>
      <c r="BB138" s="54" t="s">
        <v>39</v>
      </c>
      <c r="BC138" s="54" t="s">
        <v>39</v>
      </c>
      <c r="BD138" s="54" t="s">
        <v>39</v>
      </c>
      <c r="BE138" s="54" t="s">
        <v>39</v>
      </c>
      <c r="BF138" s="54" t="s">
        <v>39</v>
      </c>
      <c r="BG138" s="54" t="s">
        <v>419</v>
      </c>
    </row>
    <row r="139" spans="1:59" s="55" customFormat="1" ht="11.25" customHeight="1">
      <c r="A139" s="95" t="s">
        <v>688</v>
      </c>
      <c r="B139" s="94"/>
      <c r="C139" s="94"/>
      <c r="D139" s="94"/>
      <c r="E139" s="94" t="s">
        <v>39</v>
      </c>
      <c r="F139" s="94" t="s">
        <v>4617</v>
      </c>
      <c r="G139" s="91"/>
      <c r="H139" s="94" t="s">
        <v>2053</v>
      </c>
      <c r="I139" s="94"/>
      <c r="J139" s="94" t="s">
        <v>2053</v>
      </c>
      <c r="K139" s="94"/>
      <c r="L139" s="94" t="s">
        <v>39</v>
      </c>
      <c r="M139" s="94" t="s">
        <v>1033</v>
      </c>
      <c r="N139" s="94"/>
      <c r="O139" s="94" t="s">
        <v>39</v>
      </c>
      <c r="P139" s="94"/>
      <c r="Q139" s="94"/>
      <c r="R139" s="94" t="s">
        <v>2811</v>
      </c>
      <c r="S139" s="94"/>
      <c r="T139" s="94"/>
      <c r="U139" s="94"/>
      <c r="V139" s="94" t="s">
        <v>39</v>
      </c>
      <c r="W139" s="94" t="s">
        <v>39</v>
      </c>
      <c r="X139" s="94" t="s">
        <v>1798</v>
      </c>
      <c r="Y139" s="94" t="s">
        <v>754</v>
      </c>
      <c r="Z139" s="94" t="s">
        <v>1118</v>
      </c>
      <c r="AA139" s="91"/>
      <c r="AB139" s="94"/>
      <c r="AC139" s="94"/>
      <c r="AD139" s="94"/>
      <c r="AE139" s="94" t="s">
        <v>39</v>
      </c>
      <c r="AF139" s="94"/>
      <c r="AG139" s="91"/>
      <c r="AH139" s="91"/>
      <c r="AI139" s="94"/>
      <c r="AJ139" s="94"/>
      <c r="AK139" s="94" t="s">
        <v>1193</v>
      </c>
      <c r="AL139" s="91"/>
      <c r="AM139" s="94" t="s">
        <v>39</v>
      </c>
      <c r="AN139" s="94" t="s">
        <v>1193</v>
      </c>
      <c r="AO139" s="94" t="s">
        <v>39</v>
      </c>
      <c r="AP139" s="94"/>
      <c r="AQ139" s="91"/>
      <c r="AR139" s="94"/>
      <c r="AS139" s="94" t="s">
        <v>39</v>
      </c>
      <c r="AT139" s="91"/>
      <c r="AU139" s="94"/>
      <c r="AV139" s="94" t="s">
        <v>39</v>
      </c>
      <c r="AW139" s="94" t="s">
        <v>39</v>
      </c>
      <c r="AX139" s="94"/>
      <c r="AY139" s="94"/>
      <c r="AZ139" s="94" t="s">
        <v>1286</v>
      </c>
      <c r="BA139" s="94" t="s">
        <v>1286</v>
      </c>
      <c r="BB139" s="91"/>
      <c r="BC139" s="91" t="s">
        <v>39</v>
      </c>
      <c r="BD139" s="94"/>
      <c r="BE139" s="94" t="s">
        <v>39</v>
      </c>
      <c r="BF139" s="94" t="s">
        <v>39</v>
      </c>
      <c r="BG139" s="94"/>
    </row>
    <row r="140" spans="1:59" s="55" customFormat="1" ht="22.5" customHeight="1">
      <c r="A140" s="53" t="s">
        <v>132</v>
      </c>
      <c r="B140" s="69" t="s">
        <v>503</v>
      </c>
      <c r="C140" s="54" t="s">
        <v>39</v>
      </c>
      <c r="D140" s="54" t="s">
        <v>39</v>
      </c>
      <c r="E140" s="54" t="s">
        <v>39</v>
      </c>
      <c r="F140" s="54" t="s">
        <v>4619</v>
      </c>
      <c r="G140" s="69" t="s">
        <v>359</v>
      </c>
      <c r="H140" s="54" t="s">
        <v>133</v>
      </c>
      <c r="I140" s="54" t="s">
        <v>133</v>
      </c>
      <c r="J140" s="54" t="s">
        <v>2637</v>
      </c>
      <c r="K140" s="54" t="s">
        <v>676</v>
      </c>
      <c r="L140" s="54" t="s">
        <v>676</v>
      </c>
      <c r="M140" s="54" t="s">
        <v>39</v>
      </c>
      <c r="N140" s="54" t="s">
        <v>495</v>
      </c>
      <c r="O140" s="54" t="s">
        <v>39</v>
      </c>
      <c r="P140" s="54" t="s">
        <v>39</v>
      </c>
      <c r="Q140" s="54" t="s">
        <v>39</v>
      </c>
      <c r="R140" s="54" t="s">
        <v>39</v>
      </c>
      <c r="S140" s="54" t="s">
        <v>39</v>
      </c>
      <c r="T140" s="54" t="s">
        <v>39</v>
      </c>
      <c r="U140" s="54" t="s">
        <v>39</v>
      </c>
      <c r="V140" s="54" t="s">
        <v>39</v>
      </c>
      <c r="W140" s="54" t="s">
        <v>39</v>
      </c>
      <c r="X140" s="54" t="s">
        <v>39</v>
      </c>
      <c r="Y140" s="54" t="s">
        <v>755</v>
      </c>
      <c r="Z140" s="54" t="s">
        <v>1119</v>
      </c>
      <c r="AA140" s="15" t="s">
        <v>39</v>
      </c>
      <c r="AB140" s="54" t="s">
        <v>172</v>
      </c>
      <c r="AC140" s="54" t="s">
        <v>472</v>
      </c>
      <c r="AD140" s="54" t="s">
        <v>1774</v>
      </c>
      <c r="AE140" s="54" t="s">
        <v>39</v>
      </c>
      <c r="AF140" s="54" t="s">
        <v>39</v>
      </c>
      <c r="AG140" s="54" t="s">
        <v>39</v>
      </c>
      <c r="AH140" s="54" t="s">
        <v>39</v>
      </c>
      <c r="AI140" s="54" t="s">
        <v>39</v>
      </c>
      <c r="AJ140" s="54" t="s">
        <v>39</v>
      </c>
      <c r="AK140" s="54" t="s">
        <v>39</v>
      </c>
      <c r="AL140" s="54" t="s">
        <v>4673</v>
      </c>
      <c r="AM140" s="54" t="s">
        <v>39</v>
      </c>
      <c r="AN140" s="54" t="s">
        <v>39</v>
      </c>
      <c r="AO140" s="54" t="s">
        <v>39</v>
      </c>
      <c r="AP140" s="54" t="s">
        <v>39</v>
      </c>
      <c r="AQ140" s="49" t="s">
        <v>39</v>
      </c>
      <c r="AR140" s="49" t="s">
        <v>39</v>
      </c>
      <c r="AS140" s="54" t="s">
        <v>39</v>
      </c>
      <c r="AT140" s="73" t="s">
        <v>39</v>
      </c>
      <c r="AU140" s="49" t="s">
        <v>416</v>
      </c>
      <c r="AV140" s="54" t="s">
        <v>897</v>
      </c>
      <c r="AW140" s="54" t="s">
        <v>897</v>
      </c>
      <c r="AX140" s="49" t="s">
        <v>558</v>
      </c>
      <c r="AY140" s="49" t="s">
        <v>558</v>
      </c>
      <c r="AZ140" s="54" t="s">
        <v>1373</v>
      </c>
      <c r="BA140" s="54" t="s">
        <v>1373</v>
      </c>
      <c r="BB140" s="69" t="s">
        <v>575</v>
      </c>
      <c r="BC140" s="54" t="s">
        <v>39</v>
      </c>
      <c r="BD140" s="54" t="s">
        <v>617</v>
      </c>
      <c r="BE140" s="54" t="s">
        <v>962</v>
      </c>
      <c r="BF140" s="54" t="s">
        <v>962</v>
      </c>
      <c r="BG140" s="54" t="s">
        <v>39</v>
      </c>
    </row>
    <row r="141" spans="1:59" s="55" customFormat="1" ht="11.25" customHeight="1">
      <c r="A141" s="95" t="s">
        <v>688</v>
      </c>
      <c r="B141" s="94"/>
      <c r="C141" s="94"/>
      <c r="D141" s="94"/>
      <c r="E141" s="94" t="s">
        <v>39</v>
      </c>
      <c r="F141" s="94" t="s">
        <v>4618</v>
      </c>
      <c r="G141" s="91"/>
      <c r="H141" s="94" t="s">
        <v>2057</v>
      </c>
      <c r="I141" s="94"/>
      <c r="J141" s="94" t="s">
        <v>2636</v>
      </c>
      <c r="K141" s="94"/>
      <c r="L141" s="94" t="s">
        <v>1561</v>
      </c>
      <c r="M141" s="94" t="s">
        <v>39</v>
      </c>
      <c r="N141" s="94"/>
      <c r="O141" s="94" t="s">
        <v>39</v>
      </c>
      <c r="P141" s="94"/>
      <c r="Q141" s="94"/>
      <c r="R141" s="94" t="s">
        <v>39</v>
      </c>
      <c r="S141" s="94"/>
      <c r="T141" s="94"/>
      <c r="U141" s="94"/>
      <c r="V141" s="94" t="s">
        <v>39</v>
      </c>
      <c r="W141" s="94" t="s">
        <v>39</v>
      </c>
      <c r="X141" s="94" t="s">
        <v>39</v>
      </c>
      <c r="Y141" s="94" t="s">
        <v>756</v>
      </c>
      <c r="Z141" s="94" t="s">
        <v>1118</v>
      </c>
      <c r="AA141" s="91"/>
      <c r="AB141" s="94"/>
      <c r="AC141" s="94"/>
      <c r="AD141" s="94"/>
      <c r="AE141" s="94" t="s">
        <v>39</v>
      </c>
      <c r="AF141" s="94"/>
      <c r="AG141" s="91"/>
      <c r="AH141" s="91"/>
      <c r="AI141" s="94"/>
      <c r="AJ141" s="94"/>
      <c r="AK141" s="94" t="s">
        <v>39</v>
      </c>
      <c r="AL141" s="91"/>
      <c r="AM141" s="94" t="s">
        <v>39</v>
      </c>
      <c r="AN141" s="94" t="s">
        <v>39</v>
      </c>
      <c r="AO141" s="94" t="s">
        <v>39</v>
      </c>
      <c r="AP141" s="94"/>
      <c r="AQ141" s="91"/>
      <c r="AR141" s="94"/>
      <c r="AS141" s="94" t="s">
        <v>39</v>
      </c>
      <c r="AT141" s="91"/>
      <c r="AU141" s="94"/>
      <c r="AV141" s="94" t="s">
        <v>898</v>
      </c>
      <c r="AW141" s="94" t="s">
        <v>898</v>
      </c>
      <c r="AX141" s="94"/>
      <c r="AY141" s="94"/>
      <c r="AZ141" s="94" t="s">
        <v>1374</v>
      </c>
      <c r="BA141" s="94" t="s">
        <v>1374</v>
      </c>
      <c r="BB141" s="91"/>
      <c r="BC141" s="91" t="s">
        <v>39</v>
      </c>
      <c r="BD141" s="94"/>
      <c r="BE141" s="94" t="s">
        <v>961</v>
      </c>
      <c r="BF141" s="94" t="s">
        <v>961</v>
      </c>
      <c r="BG141" s="94"/>
    </row>
    <row r="142" spans="1:59" s="55" customFormat="1" ht="15" customHeight="1">
      <c r="A142" s="56"/>
      <c r="B142" s="56"/>
      <c r="C142" s="56"/>
      <c r="D142" s="56"/>
      <c r="H142" s="3"/>
      <c r="I142" s="3"/>
      <c r="J142" s="3"/>
      <c r="M142" s="56"/>
      <c r="N142" s="3"/>
      <c r="O142" s="3"/>
      <c r="Q142" s="3"/>
      <c r="R142" s="3"/>
      <c r="S142" s="3"/>
      <c r="T142" s="120"/>
      <c r="V142" s="56"/>
      <c r="W142" s="56"/>
      <c r="X142" s="56"/>
      <c r="Y142" s="56"/>
      <c r="Z142" s="56"/>
      <c r="AA142" s="4"/>
      <c r="AB142" s="121"/>
      <c r="AC142" s="4"/>
      <c r="AD142" s="121"/>
      <c r="AE142" s="4"/>
      <c r="AF142" s="4"/>
      <c r="AG142" s="4"/>
      <c r="AH142" s="4"/>
      <c r="AI142" s="4"/>
      <c r="AJ142" s="4"/>
      <c r="AK142" s="4"/>
      <c r="AL142" s="146"/>
      <c r="AM142" s="4"/>
      <c r="AN142" s="4"/>
      <c r="AO142" s="4"/>
      <c r="AP142" s="4"/>
      <c r="AQ142" s="4"/>
      <c r="AX142" s="4"/>
      <c r="AY142" s="4"/>
      <c r="AZ142" s="4"/>
      <c r="BA142" s="4"/>
      <c r="BB142" s="4"/>
      <c r="BC142" s="4"/>
      <c r="BD142" s="121"/>
      <c r="BE142" s="4"/>
      <c r="BF142" s="4"/>
    </row>
    <row r="143" spans="1:59" s="55" customFormat="1" ht="22.5" customHeight="1">
      <c r="A143" s="50" t="s">
        <v>73</v>
      </c>
      <c r="B143" s="57" t="str">
        <f>B1</f>
        <v>Allianz Unfall Aktiv</v>
      </c>
      <c r="C143" s="51" t="s">
        <v>4413</v>
      </c>
      <c r="D143" s="51" t="s">
        <v>4414</v>
      </c>
      <c r="E143" s="57" t="str">
        <f>E1</f>
        <v>Ammerländer Comfort</v>
      </c>
      <c r="F143" s="57" t="str">
        <f>F1</f>
        <v>Ammerländer Exclusiv</v>
      </c>
      <c r="G143" s="57" t="str">
        <f t="shared" ref="G143:BD143" si="5">G1</f>
        <v>AXA ohne Beitragsrückgew.
(Stand 04-2010)</v>
      </c>
      <c r="H143" s="6" t="str">
        <f>H1</f>
        <v>Baden Badener Top 2008
(Stand 11-2007)</v>
      </c>
      <c r="I143" s="6" t="str">
        <f>I1</f>
        <v>Baden Badener Top 2011
(Stand 03-2012)</v>
      </c>
      <c r="J143" s="6" t="str">
        <f>J1</f>
        <v>Baden Badener Top 2012
(Stand 03-2013)</v>
      </c>
      <c r="K143" s="57" t="str">
        <f t="shared" si="5"/>
        <v>Basler Ambiente Top
(Stand 01-2009)</v>
      </c>
      <c r="L143" s="6" t="str">
        <f t="shared" si="5"/>
        <v>Basler Ambiente Top
(Stand 04-2011)</v>
      </c>
      <c r="M143" s="57" t="str">
        <f>M1</f>
        <v>Chubb (Gruppenunfall)</v>
      </c>
      <c r="N143" s="6" t="str">
        <f t="shared" si="5"/>
        <v>Condor Comfort
(Stand 01-2009)</v>
      </c>
      <c r="O143" s="6" t="str">
        <f t="shared" si="5"/>
        <v>Debeka
(Stand 01-2008)</v>
      </c>
      <c r="P143" s="6" t="str">
        <f>P1</f>
        <v>Dt. Ring up-unfallprotect max (Stand 10-2010)</v>
      </c>
      <c r="Q143" s="6" t="str">
        <f t="shared" si="5"/>
        <v>DEVK Komplett
(Stand 05-2011)</v>
      </c>
      <c r="R143" s="6" t="str">
        <f t="shared" si="5"/>
        <v>DEVK Komplett
(Stand 12-2012)</v>
      </c>
      <c r="S143" s="6" t="str">
        <f t="shared" si="5"/>
        <v>ERGO Unfall life
(Stand 04-2010)</v>
      </c>
      <c r="T143" s="6" t="str">
        <f t="shared" si="5"/>
        <v>Generali Komfort Plus
(Stand 10-2012)</v>
      </c>
      <c r="U143" s="6" t="str">
        <f t="shared" si="5"/>
        <v>Gothaer Unfall Top 2010 Plus (01-2013)</v>
      </c>
      <c r="V143" s="57" t="str">
        <f>V1</f>
        <v>Grundeigentümer (Regulär)
Pro Domo Basis (10-2009)</v>
      </c>
      <c r="W143" s="57" t="str">
        <f>W1</f>
        <v>Grundeigentümer (Regulär)
Pro Domo Komfort (10-2009)</v>
      </c>
      <c r="X143" s="57" t="str">
        <f>X1</f>
        <v>Grundeigentümer (Regulär)
Pro Domo Premium (02-2010)</v>
      </c>
      <c r="Y143" s="57" t="str">
        <f>Y1</f>
        <v>HKD Vollschutz
(Stand 01-2012)</v>
      </c>
      <c r="Z143" s="57" t="str">
        <f>Z1</f>
        <v>Interlloyd Eurosecure 2005</v>
      </c>
      <c r="AA143" s="6" t="str">
        <f t="shared" si="5"/>
        <v>Interlloyd Protect
(Stand 2007)</v>
      </c>
      <c r="AB143" s="6" t="str">
        <f t="shared" si="5"/>
        <v>Interlloyd Premium
(Stand 01-2010)</v>
      </c>
      <c r="AC143" s="6" t="str">
        <f t="shared" si="5"/>
        <v>Interrisk XL (Plus-Taxe)
(Stand 07-2011)</v>
      </c>
      <c r="AD143" s="6" t="str">
        <f t="shared" si="5"/>
        <v>Interrisk XXL (Maxi-Taxe)
(Stand 07-2011)</v>
      </c>
      <c r="AE143" s="6" t="str">
        <f>AE1</f>
        <v>Janitos MLP Classic 2007
(Stand 01-2008)</v>
      </c>
      <c r="AF143" s="6" t="str">
        <f t="shared" si="5"/>
        <v>Janitos Balance
(Stand 04-2011)</v>
      </c>
      <c r="AG143" s="6" t="str">
        <f t="shared" si="5"/>
        <v>KRAVAG afm Familien-UV
(Stand 07-2008)</v>
      </c>
      <c r="AH143" s="6" t="str">
        <f t="shared" si="5"/>
        <v>KRAVAG afm Gruppen-UV
(Stand 07-2008)</v>
      </c>
      <c r="AI143" s="5" t="str">
        <f t="shared" si="5"/>
        <v>nationale suisse Basis-Plus
(Stand 01-2008)</v>
      </c>
      <c r="AJ143" s="5" t="str">
        <f t="shared" si="5"/>
        <v>nationale suisse Ideal
(Stand 01-2008)</v>
      </c>
      <c r="AK143" s="57" t="str">
        <f t="shared" si="5"/>
        <v>Prokundo ExklusivPaket
(Stand 01-2012)</v>
      </c>
      <c r="AL143" s="57" t="str">
        <f>AL1</f>
        <v>Prokundo Gleichgewicht</v>
      </c>
      <c r="AM143" s="57" t="str">
        <f t="shared" si="5"/>
        <v>Prokundo Komfort
(Stand 01-2012)</v>
      </c>
      <c r="AN143" s="57" t="str">
        <f>AN1</f>
        <v>Prokundo ExklusivPaket
(Stand 08-2012)</v>
      </c>
      <c r="AO143" s="57" t="str">
        <f>AO1</f>
        <v>Prokundo Komfort
(Stand 08-2012)</v>
      </c>
      <c r="AP143" s="6" t="str">
        <f t="shared" si="5"/>
        <v>Provinzial Top
(Stand 04-2009)</v>
      </c>
      <c r="AQ143" s="6" t="str">
        <f t="shared" si="5"/>
        <v>Rhion Plus
(Stand 04-2011)</v>
      </c>
      <c r="AR143" s="57" t="str">
        <f>AR1</f>
        <v>R+V Exklusiv
(Stand 07-2010)</v>
      </c>
      <c r="AS143" s="57" t="str">
        <f>AS1</f>
        <v>R+V PrivatPolice (classic)
(Stand 07-2012)</v>
      </c>
      <c r="AT143" s="6" t="str">
        <f t="shared" si="5"/>
        <v>Signal Iduna Basis
(Stand 05-2001)</v>
      </c>
      <c r="AU143" s="57" t="str">
        <f t="shared" si="5"/>
        <v>Signal Iduna Exklusiv
(Stand 11-2009)</v>
      </c>
      <c r="AV143" s="57" t="str">
        <f t="shared" si="5"/>
        <v>Signal Iduna Exklusiv
(Stand 10-2011)</v>
      </c>
      <c r="AW143" s="57" t="str">
        <f t="shared" si="5"/>
        <v>Signal Iduna Exklusiv (ÖD)
z.B. PVAG, VÖDAG
(Stand 10-2011)</v>
      </c>
      <c r="AX143" s="57" t="str">
        <f t="shared" si="5"/>
        <v>SLP Primus
(Stand 07-2010)</v>
      </c>
      <c r="AY143" s="57" t="str">
        <f t="shared" si="5"/>
        <v>SLP Primus Plus
(Stand 07-2010)</v>
      </c>
      <c r="AZ143" s="57" t="str">
        <f t="shared" si="5"/>
        <v>SLP Primus
(Stand 04-2012)</v>
      </c>
      <c r="BA143" s="57" t="str">
        <f t="shared" si="5"/>
        <v>SLP Primus Plus
(Stand 04-2012)</v>
      </c>
      <c r="BB143" s="6" t="str">
        <f t="shared" si="5"/>
        <v>Stuttgarter
(Stand 07-2010)</v>
      </c>
      <c r="BC143" s="6" t="str">
        <f t="shared" si="5"/>
        <v>VGH AUB 2008
(Stand 11-2010)</v>
      </c>
      <c r="BD143" s="6" t="str">
        <f t="shared" si="5"/>
        <v>VHV Exklusiv
(Stand 04-2011)</v>
      </c>
      <c r="BE143" s="57" t="str">
        <f>BE1</f>
        <v>Württembergische
(Stand 11-2009)</v>
      </c>
      <c r="BF143" s="57" t="str">
        <f>BF1</f>
        <v>Württembergische Top
(Stand 11-2009)</v>
      </c>
      <c r="BG143" s="57" t="str">
        <f>BG1</f>
        <v>Zurich Makler Top-Schutz
(Stand 04-2011)</v>
      </c>
    </row>
    <row r="144" spans="1:59" s="55" customFormat="1" ht="22.5" customHeight="1">
      <c r="A144" s="53" t="s">
        <v>36</v>
      </c>
      <c r="B144" s="54" t="s">
        <v>189</v>
      </c>
      <c r="C144" s="54" t="s">
        <v>191</v>
      </c>
      <c r="D144" s="54" t="s">
        <v>237</v>
      </c>
      <c r="E144" s="54" t="s">
        <v>344</v>
      </c>
      <c r="F144" s="54" t="s">
        <v>4563</v>
      </c>
      <c r="G144" s="64" t="s">
        <v>189</v>
      </c>
      <c r="H144" s="48" t="s">
        <v>37</v>
      </c>
      <c r="I144" s="48" t="s">
        <v>38</v>
      </c>
      <c r="J144" s="48" t="s">
        <v>38</v>
      </c>
      <c r="K144" s="64" t="s">
        <v>295</v>
      </c>
      <c r="L144" s="48" t="s">
        <v>295</v>
      </c>
      <c r="M144" s="54" t="s">
        <v>1043</v>
      </c>
      <c r="N144" s="48" t="s">
        <v>37</v>
      </c>
      <c r="O144" s="54" t="s">
        <v>189</v>
      </c>
      <c r="P144" s="48" t="s">
        <v>38</v>
      </c>
      <c r="Q144" s="48" t="s">
        <v>260</v>
      </c>
      <c r="R144" s="48" t="s">
        <v>260</v>
      </c>
      <c r="S144" s="54" t="s">
        <v>189</v>
      </c>
      <c r="T144" s="48" t="s">
        <v>222</v>
      </c>
      <c r="U144" s="48" t="s">
        <v>263</v>
      </c>
      <c r="V144" s="54" t="s">
        <v>189</v>
      </c>
      <c r="W144" s="54" t="s">
        <v>1849</v>
      </c>
      <c r="X144" s="54" t="s">
        <v>222</v>
      </c>
      <c r="Y144" s="54" t="s">
        <v>757</v>
      </c>
      <c r="Z144" s="54" t="s">
        <v>1121</v>
      </c>
      <c r="AA144" s="18" t="s">
        <v>37</v>
      </c>
      <c r="AB144" s="48" t="s">
        <v>38</v>
      </c>
      <c r="AC144" s="48" t="s">
        <v>471</v>
      </c>
      <c r="AD144" s="48" t="s">
        <v>39</v>
      </c>
      <c r="AE144" s="54" t="s">
        <v>3771</v>
      </c>
      <c r="AF144" s="48" t="s">
        <v>38</v>
      </c>
      <c r="AG144" s="48" t="s">
        <v>37</v>
      </c>
      <c r="AH144" s="48" t="s">
        <v>37</v>
      </c>
      <c r="AI144" s="48" t="s">
        <v>189</v>
      </c>
      <c r="AJ144" s="48" t="s">
        <v>189</v>
      </c>
      <c r="AK144" s="54" t="s">
        <v>38</v>
      </c>
      <c r="AL144" s="54" t="s">
        <v>4666</v>
      </c>
      <c r="AM144" s="54" t="s">
        <v>37</v>
      </c>
      <c r="AN144" s="54" t="s">
        <v>38</v>
      </c>
      <c r="AO144" s="54" t="s">
        <v>37</v>
      </c>
      <c r="AP144" s="54" t="s">
        <v>189</v>
      </c>
      <c r="AQ144" s="48" t="s">
        <v>38</v>
      </c>
      <c r="AR144" s="64" t="s">
        <v>189</v>
      </c>
      <c r="AS144" s="48" t="s">
        <v>189</v>
      </c>
      <c r="AT144" s="65" t="s">
        <v>189</v>
      </c>
      <c r="AU144" s="64" t="s">
        <v>189</v>
      </c>
      <c r="AV144" s="48" t="s">
        <v>189</v>
      </c>
      <c r="AW144" s="48" t="s">
        <v>189</v>
      </c>
      <c r="AX144" s="48" t="s">
        <v>38</v>
      </c>
      <c r="AY144" s="48" t="s">
        <v>39</v>
      </c>
      <c r="AZ144" s="48" t="s">
        <v>38</v>
      </c>
      <c r="BA144" s="48" t="s">
        <v>39</v>
      </c>
      <c r="BB144" s="48" t="s">
        <v>260</v>
      </c>
      <c r="BC144" s="49" t="s">
        <v>929</v>
      </c>
      <c r="BD144" s="48" t="s">
        <v>39</v>
      </c>
      <c r="BE144" s="49" t="s">
        <v>929</v>
      </c>
      <c r="BF144" s="54" t="s">
        <v>37</v>
      </c>
      <c r="BG144" s="48" t="s">
        <v>38</v>
      </c>
    </row>
    <row r="145" spans="1:59" s="55" customFormat="1" ht="11.25" customHeight="1">
      <c r="A145" s="95" t="s">
        <v>688</v>
      </c>
      <c r="B145" s="94"/>
      <c r="C145" s="94" t="s">
        <v>889</v>
      </c>
      <c r="D145" s="94" t="s">
        <v>4449</v>
      </c>
      <c r="E145" s="94" t="s">
        <v>4565</v>
      </c>
      <c r="F145" s="94" t="s">
        <v>4564</v>
      </c>
      <c r="G145" s="91"/>
      <c r="H145" s="94" t="s">
        <v>2041</v>
      </c>
      <c r="I145" s="94"/>
      <c r="J145" s="94" t="s">
        <v>2041</v>
      </c>
      <c r="K145" s="94"/>
      <c r="L145" s="94" t="s">
        <v>1529</v>
      </c>
      <c r="M145" s="94" t="s">
        <v>889</v>
      </c>
      <c r="N145" s="94"/>
      <c r="O145" s="94" t="s">
        <v>1387</v>
      </c>
      <c r="P145" s="94"/>
      <c r="Q145" s="94"/>
      <c r="R145" s="94" t="s">
        <v>2828</v>
      </c>
      <c r="S145" s="94"/>
      <c r="T145" s="94"/>
      <c r="U145" s="94"/>
      <c r="V145" s="94" t="s">
        <v>1387</v>
      </c>
      <c r="W145" s="94" t="s">
        <v>1796</v>
      </c>
      <c r="X145" s="94" t="s">
        <v>1804</v>
      </c>
      <c r="Y145" s="94" t="s">
        <v>729</v>
      </c>
      <c r="Z145" s="94" t="s">
        <v>1120</v>
      </c>
      <c r="AA145" s="91"/>
      <c r="AB145" s="94"/>
      <c r="AC145" s="94"/>
      <c r="AD145" s="94"/>
      <c r="AE145" s="94" t="s">
        <v>3770</v>
      </c>
      <c r="AF145" s="94"/>
      <c r="AG145" s="91"/>
      <c r="AH145" s="91"/>
      <c r="AI145" s="94"/>
      <c r="AJ145" s="94"/>
      <c r="AK145" s="94" t="s">
        <v>1185</v>
      </c>
      <c r="AL145" s="91"/>
      <c r="AM145" s="94" t="s">
        <v>1246</v>
      </c>
      <c r="AN145" s="94" t="s">
        <v>1185</v>
      </c>
      <c r="AO145" s="94" t="s">
        <v>1246</v>
      </c>
      <c r="AP145" s="94"/>
      <c r="AQ145" s="91"/>
      <c r="AR145" s="94"/>
      <c r="AS145" s="94" t="s">
        <v>1738</v>
      </c>
      <c r="AT145" s="91"/>
      <c r="AU145" s="94"/>
      <c r="AV145" s="94" t="s">
        <v>889</v>
      </c>
      <c r="AW145" s="94" t="s">
        <v>889</v>
      </c>
      <c r="AX145" s="94"/>
      <c r="AY145" s="94"/>
      <c r="AZ145" s="94" t="s">
        <v>1332</v>
      </c>
      <c r="BA145" s="94" t="s">
        <v>1332</v>
      </c>
      <c r="BB145" s="91"/>
      <c r="BC145" s="94" t="s">
        <v>1387</v>
      </c>
      <c r="BD145" s="94"/>
      <c r="BE145" s="94" t="s">
        <v>928</v>
      </c>
      <c r="BF145" s="94" t="s">
        <v>911</v>
      </c>
      <c r="BG145" s="94"/>
    </row>
    <row r="146" spans="1:59" s="55" customFormat="1" ht="22.5" customHeight="1">
      <c r="A146" s="53" t="s">
        <v>656</v>
      </c>
      <c r="B146" s="83" t="s">
        <v>39</v>
      </c>
      <c r="C146" s="54" t="s">
        <v>4478</v>
      </c>
      <c r="D146" s="54" t="s">
        <v>4477</v>
      </c>
      <c r="E146" s="73" t="s">
        <v>39</v>
      </c>
      <c r="F146" s="73" t="s">
        <v>39</v>
      </c>
      <c r="G146" s="83" t="s">
        <v>430</v>
      </c>
      <c r="H146" s="48" t="s">
        <v>2078</v>
      </c>
      <c r="I146" s="48" t="s">
        <v>2078</v>
      </c>
      <c r="J146" s="48" t="s">
        <v>2078</v>
      </c>
      <c r="K146" s="48" t="s">
        <v>657</v>
      </c>
      <c r="L146" s="48" t="s">
        <v>1566</v>
      </c>
      <c r="M146" s="54" t="s">
        <v>1062</v>
      </c>
      <c r="N146" s="73" t="s">
        <v>500</v>
      </c>
      <c r="O146" s="54" t="s">
        <v>39</v>
      </c>
      <c r="P146" s="54" t="s">
        <v>674</v>
      </c>
      <c r="Q146" s="54" t="s">
        <v>39</v>
      </c>
      <c r="R146" s="54" t="s">
        <v>39</v>
      </c>
      <c r="S146" s="84" t="s">
        <v>39</v>
      </c>
      <c r="T146" s="73" t="s">
        <v>39</v>
      </c>
      <c r="U146" s="54" t="s">
        <v>41</v>
      </c>
      <c r="V146" s="54" t="s">
        <v>39</v>
      </c>
      <c r="W146" s="54" t="s">
        <v>39</v>
      </c>
      <c r="X146" s="54" t="s">
        <v>39</v>
      </c>
      <c r="Y146" s="54" t="s">
        <v>41</v>
      </c>
      <c r="Z146" s="54" t="s">
        <v>39</v>
      </c>
      <c r="AA146" s="16" t="s">
        <v>41</v>
      </c>
      <c r="AB146" s="73" t="s">
        <v>41</v>
      </c>
      <c r="AC146" s="54" t="s">
        <v>3338</v>
      </c>
      <c r="AD146" s="54" t="s">
        <v>3337</v>
      </c>
      <c r="AE146" s="54" t="s">
        <v>3775</v>
      </c>
      <c r="AF146" s="73" t="s">
        <v>39</v>
      </c>
      <c r="AG146" s="73" t="s">
        <v>41</v>
      </c>
      <c r="AH146" s="73" t="s">
        <v>41</v>
      </c>
      <c r="AI146" s="73" t="s">
        <v>39</v>
      </c>
      <c r="AJ146" s="73" t="s">
        <v>39</v>
      </c>
      <c r="AK146" s="73" t="s">
        <v>41</v>
      </c>
      <c r="AL146" s="54" t="s">
        <v>4424</v>
      </c>
      <c r="AM146" s="73" t="s">
        <v>41</v>
      </c>
      <c r="AN146" s="73" t="s">
        <v>41</v>
      </c>
      <c r="AO146" s="73" t="s">
        <v>41</v>
      </c>
      <c r="AP146" s="73" t="s">
        <v>39</v>
      </c>
      <c r="AQ146" s="65" t="s">
        <v>39</v>
      </c>
      <c r="AR146" s="83" t="s">
        <v>41</v>
      </c>
      <c r="AS146" s="54" t="s">
        <v>41</v>
      </c>
      <c r="AT146" s="54" t="s">
        <v>460</v>
      </c>
      <c r="AU146" s="83" t="s">
        <v>39</v>
      </c>
      <c r="AV146" s="54" t="s">
        <v>39</v>
      </c>
      <c r="AW146" s="54" t="s">
        <v>39</v>
      </c>
      <c r="AX146" s="84" t="s">
        <v>41</v>
      </c>
      <c r="AY146" s="84" t="s">
        <v>41</v>
      </c>
      <c r="AZ146" s="54" t="s">
        <v>1329</v>
      </c>
      <c r="BA146" s="54" t="s">
        <v>1329</v>
      </c>
      <c r="BB146" s="84" t="s">
        <v>39</v>
      </c>
      <c r="BC146" s="73" t="s">
        <v>39</v>
      </c>
      <c r="BD146" s="54" t="s">
        <v>2154</v>
      </c>
      <c r="BE146" s="54" t="s">
        <v>39</v>
      </c>
      <c r="BF146" s="54" t="s">
        <v>39</v>
      </c>
      <c r="BG146" s="54" t="s">
        <v>658</v>
      </c>
    </row>
    <row r="147" spans="1:59" s="55" customFormat="1" ht="11.25" customHeight="1">
      <c r="A147" s="95" t="s">
        <v>688</v>
      </c>
      <c r="B147" s="94"/>
      <c r="C147" s="94" t="s">
        <v>4475</v>
      </c>
      <c r="D147" s="94" t="s">
        <v>4476</v>
      </c>
      <c r="E147" s="94"/>
      <c r="F147" s="94"/>
      <c r="G147" s="91"/>
      <c r="H147" s="94" t="s">
        <v>2077</v>
      </c>
      <c r="I147" s="94"/>
      <c r="J147" s="94" t="s">
        <v>2654</v>
      </c>
      <c r="K147" s="94"/>
      <c r="L147" s="94" t="s">
        <v>1553</v>
      </c>
      <c r="M147" s="94" t="s">
        <v>1063</v>
      </c>
      <c r="N147" s="94"/>
      <c r="O147" s="94" t="s">
        <v>1394</v>
      </c>
      <c r="P147" s="94"/>
      <c r="Q147" s="94"/>
      <c r="R147" s="94" t="s">
        <v>2830</v>
      </c>
      <c r="S147" s="94"/>
      <c r="T147" s="94"/>
      <c r="U147" s="94"/>
      <c r="V147" s="94" t="s">
        <v>1873</v>
      </c>
      <c r="W147" s="94" t="s">
        <v>1873</v>
      </c>
      <c r="X147" s="94" t="s">
        <v>1873</v>
      </c>
      <c r="Y147" s="94" t="s">
        <v>758</v>
      </c>
      <c r="Z147" s="94" t="s">
        <v>1087</v>
      </c>
      <c r="AA147" s="91"/>
      <c r="AB147" s="94"/>
      <c r="AC147" s="94"/>
      <c r="AD147" s="94"/>
      <c r="AE147" s="94" t="s">
        <v>3774</v>
      </c>
      <c r="AF147" s="94"/>
      <c r="AG147" s="91"/>
      <c r="AH147" s="91"/>
      <c r="AI147" s="94"/>
      <c r="AJ147" s="94"/>
      <c r="AK147" s="94" t="s">
        <v>1260</v>
      </c>
      <c r="AL147" s="91" t="s">
        <v>4667</v>
      </c>
      <c r="AM147" s="94" t="s">
        <v>1260</v>
      </c>
      <c r="AN147" s="94" t="s">
        <v>1260</v>
      </c>
      <c r="AO147" s="94" t="s">
        <v>1260</v>
      </c>
      <c r="AP147" s="94"/>
      <c r="AQ147" s="91"/>
      <c r="AR147" s="94"/>
      <c r="AS147" s="94" t="s">
        <v>1747</v>
      </c>
      <c r="AT147" s="91"/>
      <c r="AU147" s="94"/>
      <c r="AV147" s="94" t="s">
        <v>888</v>
      </c>
      <c r="AW147" s="94" t="s">
        <v>888</v>
      </c>
      <c r="AX147" s="94"/>
      <c r="AY147" s="94"/>
      <c r="AZ147" s="94" t="s">
        <v>1328</v>
      </c>
      <c r="BA147" s="94" t="s">
        <v>1328</v>
      </c>
      <c r="BB147" s="91"/>
      <c r="BC147" s="94" t="s">
        <v>3033</v>
      </c>
      <c r="BD147" s="94"/>
      <c r="BE147" s="94" t="s">
        <v>951</v>
      </c>
      <c r="BF147" s="94" t="s">
        <v>951</v>
      </c>
      <c r="BG147" s="94"/>
    </row>
    <row r="148" spans="1:59" s="55" customFormat="1" ht="22.5" customHeight="1">
      <c r="A148" s="53" t="s">
        <v>35</v>
      </c>
      <c r="B148" s="49"/>
      <c r="C148" s="54" t="s">
        <v>4479</v>
      </c>
      <c r="D148" s="54" t="s">
        <v>4479</v>
      </c>
      <c r="E148" s="73" t="s">
        <v>4620</v>
      </c>
      <c r="F148" s="73" t="s">
        <v>4620</v>
      </c>
      <c r="G148" s="65" t="s">
        <v>39</v>
      </c>
      <c r="H148" s="54" t="s">
        <v>2043</v>
      </c>
      <c r="I148" s="54" t="s">
        <v>2043</v>
      </c>
      <c r="J148" s="54" t="s">
        <v>2043</v>
      </c>
      <c r="K148" s="73" t="s">
        <v>39</v>
      </c>
      <c r="L148" s="73" t="s">
        <v>39</v>
      </c>
      <c r="M148" s="54" t="s">
        <v>1062</v>
      </c>
      <c r="N148" s="73" t="s">
        <v>496</v>
      </c>
      <c r="O148" s="54" t="s">
        <v>930</v>
      </c>
      <c r="P148" s="73" t="s">
        <v>39</v>
      </c>
      <c r="Q148" s="54" t="s">
        <v>39</v>
      </c>
      <c r="R148" s="54" t="s">
        <v>39</v>
      </c>
      <c r="S148" s="73" t="s">
        <v>39</v>
      </c>
      <c r="T148" s="73" t="s">
        <v>1763</v>
      </c>
      <c r="U148" s="73" t="s">
        <v>39</v>
      </c>
      <c r="V148" s="73" t="s">
        <v>39</v>
      </c>
      <c r="W148" s="73" t="s">
        <v>39</v>
      </c>
      <c r="X148" s="73" t="s">
        <v>39</v>
      </c>
      <c r="Y148" s="69" t="s">
        <v>759</v>
      </c>
      <c r="Z148" s="73" t="s">
        <v>394</v>
      </c>
      <c r="AA148" s="16" t="s">
        <v>39</v>
      </c>
      <c r="AB148" s="73" t="s">
        <v>41</v>
      </c>
      <c r="AC148" s="73" t="s">
        <v>41</v>
      </c>
      <c r="AD148" s="73" t="s">
        <v>41</v>
      </c>
      <c r="AE148" s="73" t="s">
        <v>496</v>
      </c>
      <c r="AF148" s="73" t="s">
        <v>496</v>
      </c>
      <c r="AG148" s="73" t="s">
        <v>496</v>
      </c>
      <c r="AH148" s="73" t="s">
        <v>496</v>
      </c>
      <c r="AI148" s="65" t="s">
        <v>542</v>
      </c>
      <c r="AJ148" s="65" t="s">
        <v>542</v>
      </c>
      <c r="AK148" s="54" t="s">
        <v>1247</v>
      </c>
      <c r="AL148" s="54" t="s">
        <v>39</v>
      </c>
      <c r="AM148" s="54" t="s">
        <v>1247</v>
      </c>
      <c r="AN148" s="54" t="s">
        <v>1247</v>
      </c>
      <c r="AO148" s="54" t="s">
        <v>1247</v>
      </c>
      <c r="AP148" s="73" t="s">
        <v>496</v>
      </c>
      <c r="AQ148" s="54" t="s">
        <v>571</v>
      </c>
      <c r="AR148" s="70" t="s">
        <v>394</v>
      </c>
      <c r="AS148" s="54" t="s">
        <v>930</v>
      </c>
      <c r="AT148" s="49" t="s">
        <v>457</v>
      </c>
      <c r="AU148" s="70" t="s">
        <v>41</v>
      </c>
      <c r="AV148" s="73" t="s">
        <v>41</v>
      </c>
      <c r="AW148" s="73" t="s">
        <v>41</v>
      </c>
      <c r="AX148" s="69" t="s">
        <v>565</v>
      </c>
      <c r="AY148" s="69" t="s">
        <v>565</v>
      </c>
      <c r="AZ148" s="54" t="s">
        <v>1377</v>
      </c>
      <c r="BA148" s="54" t="s">
        <v>1377</v>
      </c>
      <c r="BB148" s="54" t="s">
        <v>571</v>
      </c>
      <c r="BC148" s="73" t="s">
        <v>448</v>
      </c>
      <c r="BD148" s="54" t="s">
        <v>39</v>
      </c>
      <c r="BE148" s="54" t="s">
        <v>930</v>
      </c>
      <c r="BF148" s="54" t="s">
        <v>930</v>
      </c>
      <c r="BG148" s="73" t="s">
        <v>448</v>
      </c>
    </row>
    <row r="149" spans="1:59" s="55" customFormat="1" ht="11.25" customHeight="1">
      <c r="A149" s="95" t="s">
        <v>688</v>
      </c>
      <c r="B149" s="94"/>
      <c r="C149" s="94" t="s">
        <v>4480</v>
      </c>
      <c r="D149" s="94" t="s">
        <v>4480</v>
      </c>
      <c r="E149" s="94" t="s">
        <v>1248</v>
      </c>
      <c r="F149" s="94" t="s">
        <v>1248</v>
      </c>
      <c r="G149" s="91"/>
      <c r="H149" s="94" t="s">
        <v>2042</v>
      </c>
      <c r="I149" s="94"/>
      <c r="J149" s="94" t="s">
        <v>2042</v>
      </c>
      <c r="K149" s="94"/>
      <c r="L149" s="94" t="s">
        <v>39</v>
      </c>
      <c r="M149" s="94" t="s">
        <v>1063</v>
      </c>
      <c r="N149" s="94"/>
      <c r="O149" s="94" t="s">
        <v>1408</v>
      </c>
      <c r="P149" s="94"/>
      <c r="Q149" s="94"/>
      <c r="R149" s="94" t="s">
        <v>2829</v>
      </c>
      <c r="S149" s="94"/>
      <c r="T149" s="94"/>
      <c r="U149" s="94"/>
      <c r="V149" s="94" t="s">
        <v>39</v>
      </c>
      <c r="W149" s="94" t="s">
        <v>39</v>
      </c>
      <c r="X149" s="94" t="s">
        <v>39</v>
      </c>
      <c r="Y149" s="94" t="s">
        <v>760</v>
      </c>
      <c r="Z149" s="94" t="s">
        <v>1082</v>
      </c>
      <c r="AA149" s="91"/>
      <c r="AB149" s="94"/>
      <c r="AC149" s="94"/>
      <c r="AD149" s="94"/>
      <c r="AE149" s="94" t="s">
        <v>2898</v>
      </c>
      <c r="AF149" s="94"/>
      <c r="AG149" s="91"/>
      <c r="AH149" s="91"/>
      <c r="AI149" s="94"/>
      <c r="AJ149" s="94"/>
      <c r="AK149" s="94" t="s">
        <v>1248</v>
      </c>
      <c r="AL149" s="91" t="s">
        <v>39</v>
      </c>
      <c r="AM149" s="94" t="s">
        <v>1248</v>
      </c>
      <c r="AN149" s="94" t="s">
        <v>1248</v>
      </c>
      <c r="AO149" s="94" t="s">
        <v>1248</v>
      </c>
      <c r="AP149" s="94"/>
      <c r="AQ149" s="91"/>
      <c r="AR149" s="94"/>
      <c r="AS149" s="94" t="s">
        <v>1739</v>
      </c>
      <c r="AT149" s="91"/>
      <c r="AU149" s="94"/>
      <c r="AV149" s="94" t="s">
        <v>39</v>
      </c>
      <c r="AW149" s="94" t="s">
        <v>39</v>
      </c>
      <c r="AX149" s="94"/>
      <c r="AY149" s="94"/>
      <c r="AZ149" s="94" t="s">
        <v>1378</v>
      </c>
      <c r="BA149" s="94" t="s">
        <v>1378</v>
      </c>
      <c r="BB149" s="91"/>
      <c r="BC149" s="94" t="s">
        <v>1248</v>
      </c>
      <c r="BD149" s="94"/>
      <c r="BE149" s="94" t="s">
        <v>931</v>
      </c>
      <c r="BF149" s="94" t="s">
        <v>931</v>
      </c>
      <c r="BG149" s="94"/>
    </row>
    <row r="150" spans="1:59" s="55" customFormat="1" ht="22.5" customHeight="1">
      <c r="A150" s="53" t="s">
        <v>54</v>
      </c>
      <c r="B150" s="54" t="s">
        <v>39</v>
      </c>
      <c r="C150" s="54" t="s">
        <v>39</v>
      </c>
      <c r="D150" s="54" t="s">
        <v>39</v>
      </c>
      <c r="E150" s="73" t="s">
        <v>39</v>
      </c>
      <c r="F150" s="73" t="s">
        <v>39</v>
      </c>
      <c r="G150" s="65" t="s">
        <v>39</v>
      </c>
      <c r="H150" s="73" t="s">
        <v>39</v>
      </c>
      <c r="I150" s="73" t="s">
        <v>39</v>
      </c>
      <c r="J150" s="73" t="s">
        <v>39</v>
      </c>
      <c r="K150" s="65" t="s">
        <v>39</v>
      </c>
      <c r="L150" s="73" t="s">
        <v>39</v>
      </c>
      <c r="M150" s="54" t="s">
        <v>1013</v>
      </c>
      <c r="N150" s="73" t="s">
        <v>39</v>
      </c>
      <c r="O150" s="54" t="s">
        <v>39</v>
      </c>
      <c r="P150" s="73" t="s">
        <v>39</v>
      </c>
      <c r="Q150" s="73" t="s">
        <v>39</v>
      </c>
      <c r="R150" s="73" t="s">
        <v>39</v>
      </c>
      <c r="S150" s="73" t="s">
        <v>39</v>
      </c>
      <c r="T150" s="73" t="s">
        <v>39</v>
      </c>
      <c r="U150" s="73" t="s">
        <v>39</v>
      </c>
      <c r="V150" s="73" t="s">
        <v>39</v>
      </c>
      <c r="W150" s="73" t="s">
        <v>39</v>
      </c>
      <c r="X150" s="73" t="s">
        <v>39</v>
      </c>
      <c r="Y150" s="73" t="s">
        <v>39</v>
      </c>
      <c r="Z150" s="73" t="s">
        <v>39</v>
      </c>
      <c r="AA150" s="16" t="s">
        <v>39</v>
      </c>
      <c r="AB150" s="73" t="s">
        <v>39</v>
      </c>
      <c r="AC150" s="73" t="s">
        <v>39</v>
      </c>
      <c r="AD150" s="73" t="s">
        <v>39</v>
      </c>
      <c r="AE150" s="54" t="s">
        <v>39</v>
      </c>
      <c r="AF150" s="73" t="s">
        <v>39</v>
      </c>
      <c r="AG150" s="49" t="s">
        <v>39</v>
      </c>
      <c r="AH150" s="49" t="s">
        <v>39</v>
      </c>
      <c r="AI150" s="65" t="s">
        <v>39</v>
      </c>
      <c r="AJ150" s="65" t="s">
        <v>39</v>
      </c>
      <c r="AK150" s="73" t="s">
        <v>39</v>
      </c>
      <c r="AL150" s="54" t="s">
        <v>613</v>
      </c>
      <c r="AM150" s="73" t="s">
        <v>39</v>
      </c>
      <c r="AN150" s="73" t="s">
        <v>39</v>
      </c>
      <c r="AO150" s="73" t="s">
        <v>39</v>
      </c>
      <c r="AP150" s="73" t="s">
        <v>39</v>
      </c>
      <c r="AQ150" s="65" t="s">
        <v>39</v>
      </c>
      <c r="AR150" s="65" t="s">
        <v>39</v>
      </c>
      <c r="AS150" s="73" t="s">
        <v>39</v>
      </c>
      <c r="AT150" s="65" t="s">
        <v>39</v>
      </c>
      <c r="AU150" s="65" t="s">
        <v>39</v>
      </c>
      <c r="AV150" s="73" t="s">
        <v>39</v>
      </c>
      <c r="AW150" s="73" t="s">
        <v>39</v>
      </c>
      <c r="AX150" s="73" t="s">
        <v>39</v>
      </c>
      <c r="AY150" s="73" t="s">
        <v>39</v>
      </c>
      <c r="AZ150" s="73" t="s">
        <v>39</v>
      </c>
      <c r="BA150" s="73" t="s">
        <v>39</v>
      </c>
      <c r="BB150" s="73" t="s">
        <v>39</v>
      </c>
      <c r="BC150" s="73" t="s">
        <v>39</v>
      </c>
      <c r="BD150" s="73" t="s">
        <v>39</v>
      </c>
      <c r="BE150" s="73" t="s">
        <v>39</v>
      </c>
      <c r="BF150" s="73" t="s">
        <v>39</v>
      </c>
      <c r="BG150" s="73" t="s">
        <v>39</v>
      </c>
    </row>
    <row r="151" spans="1:59" s="55" customFormat="1" ht="11.25" customHeight="1">
      <c r="A151" s="95" t="s">
        <v>688</v>
      </c>
      <c r="B151" s="94"/>
      <c r="C151" s="94"/>
      <c r="D151" s="94"/>
      <c r="E151" s="94"/>
      <c r="F151" s="94"/>
      <c r="G151" s="91"/>
      <c r="H151" s="94" t="s">
        <v>39</v>
      </c>
      <c r="I151" s="94"/>
      <c r="J151" s="94" t="s">
        <v>39</v>
      </c>
      <c r="K151" s="94"/>
      <c r="L151" s="94" t="s">
        <v>39</v>
      </c>
      <c r="M151" s="94" t="s">
        <v>1012</v>
      </c>
      <c r="N151" s="94"/>
      <c r="O151" s="94" t="s">
        <v>39</v>
      </c>
      <c r="P151" s="94"/>
      <c r="Q151" s="94"/>
      <c r="R151" s="94" t="s">
        <v>39</v>
      </c>
      <c r="S151" s="94"/>
      <c r="T151" s="94"/>
      <c r="U151" s="94"/>
      <c r="V151" s="94" t="s">
        <v>39</v>
      </c>
      <c r="W151" s="94" t="s">
        <v>39</v>
      </c>
      <c r="X151" s="94" t="s">
        <v>39</v>
      </c>
      <c r="Y151" s="94" t="s">
        <v>39</v>
      </c>
      <c r="Z151" s="94" t="s">
        <v>39</v>
      </c>
      <c r="AA151" s="91"/>
      <c r="AB151" s="94"/>
      <c r="AC151" s="94"/>
      <c r="AD151" s="94"/>
      <c r="AE151" s="94" t="s">
        <v>39</v>
      </c>
      <c r="AF151" s="94"/>
      <c r="AG151" s="91"/>
      <c r="AH151" s="91"/>
      <c r="AI151" s="94"/>
      <c r="AJ151" s="94"/>
      <c r="AK151" s="94" t="s">
        <v>39</v>
      </c>
      <c r="AL151" s="91" t="s">
        <v>4647</v>
      </c>
      <c r="AM151" s="94" t="s">
        <v>39</v>
      </c>
      <c r="AN151" s="94" t="s">
        <v>39</v>
      </c>
      <c r="AO151" s="94" t="s">
        <v>39</v>
      </c>
      <c r="AP151" s="94"/>
      <c r="AQ151" s="91"/>
      <c r="AR151" s="94"/>
      <c r="AS151" s="94" t="s">
        <v>39</v>
      </c>
      <c r="AT151" s="91"/>
      <c r="AU151" s="94"/>
      <c r="AV151" s="94" t="s">
        <v>39</v>
      </c>
      <c r="AW151" s="94" t="s">
        <v>39</v>
      </c>
      <c r="AX151" s="94"/>
      <c r="AY151" s="94"/>
      <c r="AZ151" s="94" t="s">
        <v>39</v>
      </c>
      <c r="BA151" s="94" t="s">
        <v>39</v>
      </c>
      <c r="BB151" s="91"/>
      <c r="BC151" s="91" t="s">
        <v>39</v>
      </c>
      <c r="BD151" s="94"/>
      <c r="BE151" s="94" t="s">
        <v>39</v>
      </c>
      <c r="BF151" s="94" t="s">
        <v>39</v>
      </c>
      <c r="BG151" s="94"/>
    </row>
    <row r="152" spans="1:59" s="55" customFormat="1" ht="22.5" customHeight="1">
      <c r="A152" s="53" t="s">
        <v>107</v>
      </c>
      <c r="B152" s="54" t="s">
        <v>39</v>
      </c>
      <c r="C152" s="54" t="s">
        <v>39</v>
      </c>
      <c r="D152" s="54" t="s">
        <v>39</v>
      </c>
      <c r="E152" s="54" t="s">
        <v>4622</v>
      </c>
      <c r="F152" s="54" t="s">
        <v>4622</v>
      </c>
      <c r="G152" s="65" t="s">
        <v>39</v>
      </c>
      <c r="H152" s="73" t="s">
        <v>41</v>
      </c>
      <c r="I152" s="73" t="s">
        <v>41</v>
      </c>
      <c r="J152" s="73" t="s">
        <v>41</v>
      </c>
      <c r="K152" s="65" t="s">
        <v>39</v>
      </c>
      <c r="L152" s="73" t="s">
        <v>39</v>
      </c>
      <c r="M152" s="54" t="s">
        <v>39</v>
      </c>
      <c r="N152" s="73" t="s">
        <v>39</v>
      </c>
      <c r="O152" s="54" t="s">
        <v>39</v>
      </c>
      <c r="P152" s="73" t="s">
        <v>41</v>
      </c>
      <c r="Q152" s="73" t="s">
        <v>39</v>
      </c>
      <c r="R152" s="73" t="s">
        <v>39</v>
      </c>
      <c r="S152" s="73" t="s">
        <v>39</v>
      </c>
      <c r="T152" s="73" t="s">
        <v>39</v>
      </c>
      <c r="U152" s="73" t="s">
        <v>39</v>
      </c>
      <c r="V152" s="54" t="s">
        <v>41</v>
      </c>
      <c r="W152" s="54" t="s">
        <v>41</v>
      </c>
      <c r="X152" s="54" t="s">
        <v>41</v>
      </c>
      <c r="Y152" s="54" t="s">
        <v>41</v>
      </c>
      <c r="Z152" s="54" t="s">
        <v>39</v>
      </c>
      <c r="AA152" s="16" t="s">
        <v>39</v>
      </c>
      <c r="AB152" s="73" t="s">
        <v>41</v>
      </c>
      <c r="AC152" s="73" t="s">
        <v>41</v>
      </c>
      <c r="AD152" s="73" t="s">
        <v>41</v>
      </c>
      <c r="AE152" s="54" t="s">
        <v>41</v>
      </c>
      <c r="AF152" s="54" t="s">
        <v>518</v>
      </c>
      <c r="AG152" s="73" t="s">
        <v>39</v>
      </c>
      <c r="AH152" s="73" t="s">
        <v>39</v>
      </c>
      <c r="AI152" s="73" t="s">
        <v>39</v>
      </c>
      <c r="AJ152" s="73" t="s">
        <v>39</v>
      </c>
      <c r="AK152" s="73" t="s">
        <v>41</v>
      </c>
      <c r="AL152" s="54" t="s">
        <v>39</v>
      </c>
      <c r="AM152" s="73" t="s">
        <v>41</v>
      </c>
      <c r="AN152" s="73" t="s">
        <v>41</v>
      </c>
      <c r="AO152" s="73" t="s">
        <v>41</v>
      </c>
      <c r="AP152" s="73" t="s">
        <v>39</v>
      </c>
      <c r="AQ152" s="65" t="s">
        <v>41</v>
      </c>
      <c r="AR152" s="65" t="s">
        <v>39</v>
      </c>
      <c r="AS152" s="73" t="s">
        <v>39</v>
      </c>
      <c r="AT152" s="65" t="s">
        <v>39</v>
      </c>
      <c r="AU152" s="65" t="s">
        <v>39</v>
      </c>
      <c r="AV152" s="73" t="s">
        <v>39</v>
      </c>
      <c r="AW152" s="73" t="s">
        <v>39</v>
      </c>
      <c r="AX152" s="73" t="s">
        <v>41</v>
      </c>
      <c r="AY152" s="73" t="s">
        <v>41</v>
      </c>
      <c r="AZ152" s="73" t="s">
        <v>41</v>
      </c>
      <c r="BA152" s="73" t="s">
        <v>41</v>
      </c>
      <c r="BB152" s="73" t="s">
        <v>39</v>
      </c>
      <c r="BC152" s="73" t="s">
        <v>39</v>
      </c>
      <c r="BD152" s="73" t="s">
        <v>41</v>
      </c>
      <c r="BE152" s="73" t="s">
        <v>39</v>
      </c>
      <c r="BF152" s="73" t="s">
        <v>39</v>
      </c>
      <c r="BG152" s="73" t="s">
        <v>39</v>
      </c>
    </row>
    <row r="153" spans="1:59" s="55" customFormat="1" ht="11.25" customHeight="1">
      <c r="A153" s="95" t="s">
        <v>688</v>
      </c>
      <c r="B153" s="94"/>
      <c r="C153" s="94"/>
      <c r="D153" s="94"/>
      <c r="E153" s="94" t="s">
        <v>4637</v>
      </c>
      <c r="F153" s="94" t="s">
        <v>4621</v>
      </c>
      <c r="G153" s="91"/>
      <c r="H153" s="94" t="s">
        <v>2076</v>
      </c>
      <c r="I153" s="94"/>
      <c r="J153" s="94" t="s">
        <v>2076</v>
      </c>
      <c r="K153" s="94"/>
      <c r="L153" s="94" t="s">
        <v>39</v>
      </c>
      <c r="M153" s="94" t="s">
        <v>39</v>
      </c>
      <c r="N153" s="94"/>
      <c r="O153" s="94" t="s">
        <v>39</v>
      </c>
      <c r="P153" s="94"/>
      <c r="Q153" s="94"/>
      <c r="R153" s="94" t="s">
        <v>39</v>
      </c>
      <c r="S153" s="94"/>
      <c r="T153" s="94"/>
      <c r="U153" s="94"/>
      <c r="V153" s="94" t="s">
        <v>1843</v>
      </c>
      <c r="W153" s="94" t="s">
        <v>1861</v>
      </c>
      <c r="X153" s="94" t="s">
        <v>1831</v>
      </c>
      <c r="Y153" s="94" t="s">
        <v>761</v>
      </c>
      <c r="Z153" s="94" t="s">
        <v>39</v>
      </c>
      <c r="AA153" s="91"/>
      <c r="AB153" s="94"/>
      <c r="AC153" s="94"/>
      <c r="AD153" s="94"/>
      <c r="AE153" s="94" t="s">
        <v>3776</v>
      </c>
      <c r="AF153" s="94"/>
      <c r="AG153" s="91"/>
      <c r="AH153" s="91"/>
      <c r="AI153" s="94"/>
      <c r="AJ153" s="94"/>
      <c r="AK153" s="94" t="s">
        <v>1218</v>
      </c>
      <c r="AL153" s="91" t="s">
        <v>39</v>
      </c>
      <c r="AM153" s="94" t="s">
        <v>1218</v>
      </c>
      <c r="AN153" s="94" t="s">
        <v>1218</v>
      </c>
      <c r="AO153" s="94" t="s">
        <v>1218</v>
      </c>
      <c r="AP153" s="94"/>
      <c r="AQ153" s="91"/>
      <c r="AR153" s="94"/>
      <c r="AS153" s="94" t="s">
        <v>39</v>
      </c>
      <c r="AT153" s="91"/>
      <c r="AU153" s="94"/>
      <c r="AV153" s="94" t="s">
        <v>39</v>
      </c>
      <c r="AW153" s="94" t="s">
        <v>39</v>
      </c>
      <c r="AX153" s="94"/>
      <c r="AY153" s="94"/>
      <c r="AZ153" s="94" t="s">
        <v>1342</v>
      </c>
      <c r="BA153" s="94" t="s">
        <v>1342</v>
      </c>
      <c r="BB153" s="91"/>
      <c r="BC153" s="91" t="s">
        <v>39</v>
      </c>
      <c r="BD153" s="94"/>
      <c r="BE153" s="94" t="s">
        <v>39</v>
      </c>
      <c r="BF153" s="94" t="s">
        <v>39</v>
      </c>
      <c r="BG153" s="94"/>
    </row>
    <row r="154" spans="1:59" s="110" customFormat="1" ht="11.25" customHeight="1">
      <c r="A154" s="53" t="s">
        <v>4268</v>
      </c>
      <c r="B154" s="54"/>
      <c r="C154" s="54" t="s">
        <v>4273</v>
      </c>
      <c r="D154" s="54" t="s">
        <v>4273</v>
      </c>
      <c r="E154" s="54" t="s">
        <v>4269</v>
      </c>
      <c r="F154" s="54" t="s">
        <v>4269</v>
      </c>
      <c r="G154" s="129"/>
      <c r="H154" s="184"/>
      <c r="I154" s="184"/>
      <c r="J154" s="184"/>
      <c r="K154" s="184"/>
      <c r="L154" s="184"/>
      <c r="M154" s="54"/>
      <c r="N154" s="184"/>
      <c r="O154" s="184"/>
      <c r="P154" s="184"/>
      <c r="Q154" s="184"/>
      <c r="R154" s="184"/>
      <c r="S154" s="184"/>
      <c r="T154" s="184"/>
      <c r="U154" s="184"/>
      <c r="V154" s="184"/>
      <c r="W154" s="184"/>
      <c r="X154" s="184"/>
      <c r="Y154" s="184"/>
      <c r="Z154" s="184"/>
      <c r="AA154" s="129"/>
      <c r="AB154" s="184"/>
      <c r="AC154" s="184"/>
      <c r="AD154" s="184"/>
      <c r="AE154" s="184"/>
      <c r="AF154" s="184"/>
      <c r="AG154" s="129"/>
      <c r="AH154" s="129"/>
      <c r="AI154" s="184"/>
      <c r="AJ154" s="184"/>
      <c r="AK154" s="184"/>
      <c r="AL154" s="54" t="s">
        <v>4424</v>
      </c>
      <c r="AM154" s="184"/>
      <c r="AN154" s="184"/>
      <c r="AO154" s="184"/>
      <c r="AP154" s="184"/>
      <c r="AQ154" s="129"/>
      <c r="AR154" s="184"/>
      <c r="AS154" s="184"/>
      <c r="AT154" s="129"/>
      <c r="AU154" s="184"/>
      <c r="AV154" s="184"/>
      <c r="AW154" s="184"/>
      <c r="AX154" s="184"/>
      <c r="AY154" s="184"/>
      <c r="AZ154" s="184"/>
      <c r="BA154" s="184"/>
      <c r="BB154" s="129"/>
      <c r="BC154" s="129"/>
      <c r="BD154" s="184"/>
      <c r="BE154" s="184"/>
      <c r="BF154" s="184"/>
      <c r="BG154" s="184"/>
    </row>
    <row r="155" spans="1:59" s="55" customFormat="1" ht="15" customHeight="1">
      <c r="A155" s="95" t="s">
        <v>688</v>
      </c>
      <c r="B155" s="94"/>
      <c r="C155" s="94"/>
      <c r="D155" s="94" t="s">
        <v>39</v>
      </c>
      <c r="E155" s="94" t="s">
        <v>4624</v>
      </c>
      <c r="F155" s="94" t="s">
        <v>4623</v>
      </c>
      <c r="H155" s="1"/>
      <c r="I155" s="1"/>
      <c r="J155" s="1"/>
      <c r="M155" s="94"/>
      <c r="N155" s="1"/>
      <c r="O155" s="1"/>
      <c r="Q155" s="1"/>
      <c r="R155" s="1"/>
      <c r="S155" s="1"/>
      <c r="T155" s="1"/>
      <c r="V155" s="56"/>
      <c r="W155" s="56"/>
      <c r="X155" s="56"/>
      <c r="Y155" s="56"/>
      <c r="Z155" s="56"/>
      <c r="AA155" s="2"/>
      <c r="AB155" s="2"/>
      <c r="AC155" s="2"/>
      <c r="AD155" s="2"/>
      <c r="AE155" s="2"/>
      <c r="AF155" s="2"/>
      <c r="AG155" s="2"/>
      <c r="AH155" s="2"/>
      <c r="AI155" s="2"/>
      <c r="AJ155" s="2"/>
      <c r="AK155" s="2"/>
      <c r="AL155" s="91" t="s">
        <v>4668</v>
      </c>
      <c r="AM155" s="2"/>
      <c r="AN155" s="2"/>
      <c r="AO155" s="2"/>
      <c r="AP155" s="2"/>
      <c r="AQ155" s="2"/>
      <c r="AX155" s="2"/>
      <c r="AY155" s="2"/>
      <c r="AZ155" s="2"/>
      <c r="BA155" s="2"/>
      <c r="BB155" s="2"/>
      <c r="BC155" s="2"/>
      <c r="BD155" s="2"/>
      <c r="BE155" s="2"/>
      <c r="BF155" s="2"/>
    </row>
    <row r="156" spans="1:59" s="55" customFormat="1" ht="15" customHeight="1">
      <c r="A156" s="154"/>
      <c r="B156" s="184"/>
      <c r="C156" s="184"/>
      <c r="D156" s="184"/>
      <c r="E156" s="184"/>
      <c r="F156" s="184"/>
      <c r="H156" s="1"/>
      <c r="I156" s="1"/>
      <c r="J156" s="1"/>
      <c r="M156" s="184"/>
      <c r="N156" s="1"/>
      <c r="O156" s="1"/>
      <c r="Q156" s="1"/>
      <c r="R156" s="1"/>
      <c r="S156" s="1"/>
      <c r="T156" s="1"/>
      <c r="V156" s="56"/>
      <c r="W156" s="56"/>
      <c r="X156" s="56"/>
      <c r="Y156" s="56"/>
      <c r="Z156" s="56"/>
      <c r="AA156" s="2"/>
      <c r="AB156" s="2"/>
      <c r="AC156" s="2"/>
      <c r="AD156" s="2"/>
      <c r="AE156" s="2"/>
      <c r="AF156" s="2"/>
      <c r="AG156" s="2"/>
      <c r="AH156" s="2"/>
      <c r="AI156" s="2"/>
      <c r="AJ156" s="2"/>
      <c r="AK156" s="2"/>
      <c r="AL156" s="129"/>
      <c r="AM156" s="2"/>
      <c r="AN156" s="2"/>
      <c r="AO156" s="2"/>
      <c r="AP156" s="2"/>
      <c r="AQ156" s="2"/>
      <c r="AX156" s="2"/>
      <c r="AY156" s="2"/>
      <c r="AZ156" s="2"/>
      <c r="BA156" s="2"/>
      <c r="BB156" s="2"/>
      <c r="BC156" s="2"/>
      <c r="BD156" s="2"/>
      <c r="BE156" s="2"/>
      <c r="BF156" s="2"/>
    </row>
    <row r="157" spans="1:59" s="55" customFormat="1" ht="22.5" customHeight="1">
      <c r="A157" s="50" t="s">
        <v>2</v>
      </c>
      <c r="B157" s="57" t="str">
        <f>B1</f>
        <v>Allianz Unfall Aktiv</v>
      </c>
      <c r="C157" s="51" t="s">
        <v>4413</v>
      </c>
      <c r="D157" s="51" t="s">
        <v>4414</v>
      </c>
      <c r="E157" s="57" t="str">
        <f>E1</f>
        <v>Ammerländer Comfort</v>
      </c>
      <c r="F157" s="57" t="str">
        <f>F1</f>
        <v>Ammerländer Exclusiv</v>
      </c>
      <c r="G157" s="57" t="str">
        <f t="shared" ref="G157:BD157" si="6">G1</f>
        <v>AXA ohne Beitragsrückgew.
(Stand 04-2010)</v>
      </c>
      <c r="H157" s="6" t="str">
        <f>H1</f>
        <v>Baden Badener Top 2008
(Stand 11-2007)</v>
      </c>
      <c r="I157" s="6" t="str">
        <f>I1</f>
        <v>Baden Badener Top 2011
(Stand 03-2012)</v>
      </c>
      <c r="J157" s="6" t="str">
        <f>J1</f>
        <v>Baden Badener Top 2012
(Stand 03-2013)</v>
      </c>
      <c r="K157" s="57" t="str">
        <f t="shared" si="6"/>
        <v>Basler Ambiente Top
(Stand 01-2009)</v>
      </c>
      <c r="L157" s="6" t="str">
        <f t="shared" si="6"/>
        <v>Basler Ambiente Top
(Stand 04-2011)</v>
      </c>
      <c r="M157" s="57" t="str">
        <f>M1</f>
        <v>Chubb (Gruppenunfall)</v>
      </c>
      <c r="N157" s="6" t="str">
        <f t="shared" si="6"/>
        <v>Condor Comfort
(Stand 01-2009)</v>
      </c>
      <c r="O157" s="6" t="str">
        <f t="shared" si="6"/>
        <v>Debeka
(Stand 01-2008)</v>
      </c>
      <c r="P157" s="6" t="str">
        <f>P1</f>
        <v>Dt. Ring up-unfallprotect max (Stand 10-2010)</v>
      </c>
      <c r="Q157" s="6" t="str">
        <f t="shared" si="6"/>
        <v>DEVK Komplett
(Stand 05-2011)</v>
      </c>
      <c r="R157" s="6" t="str">
        <f t="shared" si="6"/>
        <v>DEVK Komplett
(Stand 12-2012)</v>
      </c>
      <c r="S157" s="6" t="str">
        <f t="shared" si="6"/>
        <v>ERGO Unfall life
(Stand 04-2010)</v>
      </c>
      <c r="T157" s="6" t="str">
        <f t="shared" si="6"/>
        <v>Generali Komfort Plus
(Stand 10-2012)</v>
      </c>
      <c r="U157" s="6" t="str">
        <f t="shared" si="6"/>
        <v>Gothaer Unfall Top 2010 Plus (01-2013)</v>
      </c>
      <c r="V157" s="57" t="str">
        <f>V1</f>
        <v>Grundeigentümer (Regulär)
Pro Domo Basis (10-2009)</v>
      </c>
      <c r="W157" s="57" t="str">
        <f>W1</f>
        <v>Grundeigentümer (Regulär)
Pro Domo Komfort (10-2009)</v>
      </c>
      <c r="X157" s="57" t="str">
        <f>X1</f>
        <v>Grundeigentümer (Regulär)
Pro Domo Premium (02-2010)</v>
      </c>
      <c r="Y157" s="57" t="str">
        <f>Y1</f>
        <v>HKD Vollschutz
(Stand 01-2012)</v>
      </c>
      <c r="Z157" s="57" t="str">
        <f>Z1</f>
        <v>Interlloyd Eurosecure 2005</v>
      </c>
      <c r="AA157" s="6" t="str">
        <f t="shared" si="6"/>
        <v>Interlloyd Protect
(Stand 2007)</v>
      </c>
      <c r="AB157" s="6" t="str">
        <f t="shared" si="6"/>
        <v>Interlloyd Premium
(Stand 01-2010)</v>
      </c>
      <c r="AC157" s="6" t="str">
        <f t="shared" si="6"/>
        <v>Interrisk XL (Plus-Taxe)
(Stand 07-2011)</v>
      </c>
      <c r="AD157" s="6" t="str">
        <f t="shared" si="6"/>
        <v>Interrisk XXL (Maxi-Taxe)
(Stand 07-2011)</v>
      </c>
      <c r="AE157" s="6" t="str">
        <f>AE1</f>
        <v>Janitos MLP Classic 2007
(Stand 01-2008)</v>
      </c>
      <c r="AF157" s="6" t="str">
        <f t="shared" si="6"/>
        <v>Janitos Balance
(Stand 04-2011)</v>
      </c>
      <c r="AG157" s="6" t="str">
        <f t="shared" si="6"/>
        <v>KRAVAG afm Familien-UV
(Stand 07-2008)</v>
      </c>
      <c r="AH157" s="6" t="str">
        <f t="shared" si="6"/>
        <v>KRAVAG afm Gruppen-UV
(Stand 07-2008)</v>
      </c>
      <c r="AI157" s="5" t="str">
        <f t="shared" si="6"/>
        <v>nationale suisse Basis-Plus
(Stand 01-2008)</v>
      </c>
      <c r="AJ157" s="5" t="str">
        <f t="shared" si="6"/>
        <v>nationale suisse Ideal
(Stand 01-2008)</v>
      </c>
      <c r="AK157" s="57" t="str">
        <f t="shared" si="6"/>
        <v>Prokundo ExklusivPaket
(Stand 01-2012)</v>
      </c>
      <c r="AL157" s="57" t="str">
        <f>AL1</f>
        <v>Prokundo Gleichgewicht</v>
      </c>
      <c r="AM157" s="57" t="str">
        <f t="shared" si="6"/>
        <v>Prokundo Komfort
(Stand 01-2012)</v>
      </c>
      <c r="AN157" s="57" t="str">
        <f>AN1</f>
        <v>Prokundo ExklusivPaket
(Stand 08-2012)</v>
      </c>
      <c r="AO157" s="57" t="str">
        <f>AO1</f>
        <v>Prokundo Komfort
(Stand 08-2012)</v>
      </c>
      <c r="AP157" s="6" t="str">
        <f t="shared" si="6"/>
        <v>Provinzial Top
(Stand 04-2009)</v>
      </c>
      <c r="AQ157" s="6" t="str">
        <f t="shared" si="6"/>
        <v>Rhion Plus
(Stand 04-2011)</v>
      </c>
      <c r="AR157" s="57" t="str">
        <f>AR1</f>
        <v>R+V Exklusiv
(Stand 07-2010)</v>
      </c>
      <c r="AS157" s="57" t="str">
        <f>AS1</f>
        <v>R+V PrivatPolice (classic)
(Stand 07-2012)</v>
      </c>
      <c r="AT157" s="6" t="str">
        <f t="shared" si="6"/>
        <v>Signal Iduna Basis
(Stand 05-2001)</v>
      </c>
      <c r="AU157" s="57" t="str">
        <f t="shared" si="6"/>
        <v>Signal Iduna Exklusiv
(Stand 11-2009)</v>
      </c>
      <c r="AV157" s="57" t="str">
        <f t="shared" si="6"/>
        <v>Signal Iduna Exklusiv
(Stand 10-2011)</v>
      </c>
      <c r="AW157" s="57" t="str">
        <f t="shared" si="6"/>
        <v>Signal Iduna Exklusiv (ÖD)
z.B. PVAG, VÖDAG
(Stand 10-2011)</v>
      </c>
      <c r="AX157" s="57" t="str">
        <f t="shared" si="6"/>
        <v>SLP Primus
(Stand 07-2010)</v>
      </c>
      <c r="AY157" s="57" t="str">
        <f t="shared" si="6"/>
        <v>SLP Primus Plus
(Stand 07-2010)</v>
      </c>
      <c r="AZ157" s="57" t="str">
        <f t="shared" si="6"/>
        <v>SLP Primus
(Stand 04-2012)</v>
      </c>
      <c r="BA157" s="57" t="str">
        <f t="shared" si="6"/>
        <v>SLP Primus Plus
(Stand 04-2012)</v>
      </c>
      <c r="BB157" s="6" t="str">
        <f t="shared" si="6"/>
        <v>Stuttgarter
(Stand 07-2010)</v>
      </c>
      <c r="BC157" s="6" t="str">
        <f t="shared" si="6"/>
        <v>VGH AUB 2008
(Stand 11-2010)</v>
      </c>
      <c r="BD157" s="6" t="str">
        <f t="shared" si="6"/>
        <v>VHV Exklusiv
(Stand 04-2011)</v>
      </c>
      <c r="BE157" s="57" t="str">
        <f>BE1</f>
        <v>Württembergische
(Stand 11-2009)</v>
      </c>
      <c r="BF157" s="57" t="str">
        <f>BF1</f>
        <v>Württembergische Top
(Stand 11-2009)</v>
      </c>
      <c r="BG157" s="57" t="str">
        <f>BG1</f>
        <v>Zurich Makler Top-Schutz
(Stand 04-2011)</v>
      </c>
    </row>
    <row r="158" spans="1:59" s="55" customFormat="1" ht="22.5" customHeight="1">
      <c r="A158" s="53" t="s">
        <v>105</v>
      </c>
      <c r="B158" s="64">
        <v>0.7</v>
      </c>
      <c r="C158" s="64">
        <v>0.7</v>
      </c>
      <c r="D158" s="64" t="s">
        <v>4542</v>
      </c>
      <c r="E158" s="48" t="s">
        <v>4627</v>
      </c>
      <c r="F158" s="48" t="s">
        <v>3127</v>
      </c>
      <c r="G158" s="64">
        <v>0.7</v>
      </c>
      <c r="H158" s="48">
        <v>0.75</v>
      </c>
      <c r="I158" s="48">
        <v>0.75</v>
      </c>
      <c r="J158" s="48">
        <v>0.75</v>
      </c>
      <c r="K158" s="64">
        <v>0.75</v>
      </c>
      <c r="L158" s="48">
        <v>0.75</v>
      </c>
      <c r="M158" s="64">
        <v>1</v>
      </c>
      <c r="N158" s="48">
        <v>0.9</v>
      </c>
      <c r="O158" s="48">
        <v>0.7</v>
      </c>
      <c r="P158" s="48">
        <v>0.8</v>
      </c>
      <c r="Q158" s="48">
        <v>0.7</v>
      </c>
      <c r="R158" s="48">
        <v>1</v>
      </c>
      <c r="S158" s="64">
        <v>0.7</v>
      </c>
      <c r="T158" s="48">
        <v>0.8</v>
      </c>
      <c r="U158" s="48">
        <v>0.8</v>
      </c>
      <c r="V158" s="48">
        <v>0.7</v>
      </c>
      <c r="W158" s="48">
        <v>0.7</v>
      </c>
      <c r="X158" s="48">
        <v>0.75</v>
      </c>
      <c r="Y158" s="64">
        <v>0.8</v>
      </c>
      <c r="Z158" s="64">
        <v>0.8</v>
      </c>
      <c r="AA158" s="18">
        <v>0.75</v>
      </c>
      <c r="AB158" s="48">
        <v>0.8</v>
      </c>
      <c r="AC158" s="48" t="s">
        <v>974</v>
      </c>
      <c r="AD158" s="48" t="s">
        <v>989</v>
      </c>
      <c r="AE158" s="48">
        <v>0.75</v>
      </c>
      <c r="AF158" s="48">
        <v>0.75</v>
      </c>
      <c r="AG158" s="48">
        <v>1</v>
      </c>
      <c r="AH158" s="48">
        <v>1</v>
      </c>
      <c r="AI158" s="48">
        <v>0.75</v>
      </c>
      <c r="AJ158" s="48">
        <v>0.8</v>
      </c>
      <c r="AK158" s="48">
        <v>0.8</v>
      </c>
      <c r="AL158" s="49" t="s">
        <v>4669</v>
      </c>
      <c r="AM158" s="48">
        <v>0.8</v>
      </c>
      <c r="AN158" s="48">
        <v>0.8</v>
      </c>
      <c r="AO158" s="48">
        <v>0.8</v>
      </c>
      <c r="AP158" s="48">
        <v>0.7</v>
      </c>
      <c r="AQ158" s="48">
        <v>0.8</v>
      </c>
      <c r="AR158" s="64">
        <v>0.7</v>
      </c>
      <c r="AS158" s="48">
        <v>0.7</v>
      </c>
      <c r="AT158" s="64">
        <v>0.7</v>
      </c>
      <c r="AU158" s="64">
        <v>0.7</v>
      </c>
      <c r="AV158" s="48">
        <v>0.7</v>
      </c>
      <c r="AW158" s="48">
        <v>0.7</v>
      </c>
      <c r="AX158" s="48">
        <v>0.75</v>
      </c>
      <c r="AY158" s="48">
        <v>0.8</v>
      </c>
      <c r="AZ158" s="48">
        <v>0.75</v>
      </c>
      <c r="BA158" s="48">
        <v>0.8</v>
      </c>
      <c r="BB158" s="48">
        <v>0.7</v>
      </c>
      <c r="BC158" s="48">
        <v>0.7</v>
      </c>
      <c r="BD158" s="48">
        <v>0.8</v>
      </c>
      <c r="BE158" s="48">
        <v>0.7</v>
      </c>
      <c r="BF158" s="48">
        <v>0.8</v>
      </c>
      <c r="BG158" s="48">
        <v>0.75</v>
      </c>
    </row>
    <row r="159" spans="1:59" s="55" customFormat="1" ht="11.25" customHeight="1">
      <c r="A159" s="95" t="s">
        <v>688</v>
      </c>
      <c r="B159" s="94"/>
      <c r="C159" s="94" t="s">
        <v>4481</v>
      </c>
      <c r="D159" s="94" t="s">
        <v>4427</v>
      </c>
      <c r="E159" s="94" t="s">
        <v>4636</v>
      </c>
      <c r="F159" s="94" t="s">
        <v>4626</v>
      </c>
      <c r="G159" s="91"/>
      <c r="H159" s="94" t="s">
        <v>2025</v>
      </c>
      <c r="I159" s="94"/>
      <c r="J159" s="94" t="s">
        <v>2633</v>
      </c>
      <c r="K159" s="94"/>
      <c r="L159" s="94" t="s">
        <v>1525</v>
      </c>
      <c r="M159" s="94" t="s">
        <v>1016</v>
      </c>
      <c r="N159" s="94"/>
      <c r="O159" s="94" t="s">
        <v>1381</v>
      </c>
      <c r="P159" s="94"/>
      <c r="Q159" s="94"/>
      <c r="R159" s="94" t="s">
        <v>2794</v>
      </c>
      <c r="S159" s="94"/>
      <c r="T159" s="94"/>
      <c r="U159" s="94"/>
      <c r="V159" s="94" t="s">
        <v>1381</v>
      </c>
      <c r="W159" s="94" t="s">
        <v>1792</v>
      </c>
      <c r="X159" s="94" t="s">
        <v>1794</v>
      </c>
      <c r="Y159" s="94" t="s">
        <v>762</v>
      </c>
      <c r="Z159" s="94" t="s">
        <v>1088</v>
      </c>
      <c r="AA159" s="91"/>
      <c r="AB159" s="94"/>
      <c r="AC159" s="94"/>
      <c r="AD159" s="94"/>
      <c r="AE159" s="94" t="s">
        <v>1169</v>
      </c>
      <c r="AF159" s="94"/>
      <c r="AG159" s="91"/>
      <c r="AH159" s="91"/>
      <c r="AI159" s="94"/>
      <c r="AJ159" s="94"/>
      <c r="AK159" s="94" t="s">
        <v>1170</v>
      </c>
      <c r="AL159" s="91" t="s">
        <v>39</v>
      </c>
      <c r="AM159" s="94" t="s">
        <v>1223</v>
      </c>
      <c r="AN159" s="94" t="s">
        <v>1170</v>
      </c>
      <c r="AO159" s="94" t="s">
        <v>1223</v>
      </c>
      <c r="AP159" s="94"/>
      <c r="AQ159" s="91"/>
      <c r="AR159" s="94"/>
      <c r="AS159" s="94" t="s">
        <v>1704</v>
      </c>
      <c r="AT159" s="91"/>
      <c r="AU159" s="94"/>
      <c r="AV159" s="94" t="s">
        <v>869</v>
      </c>
      <c r="AW159" s="94" t="s">
        <v>869</v>
      </c>
      <c r="AX159" s="94"/>
      <c r="AY159" s="94"/>
      <c r="AZ159" s="94" t="s">
        <v>1283</v>
      </c>
      <c r="BA159" s="94" t="s">
        <v>1283</v>
      </c>
      <c r="BB159" s="91"/>
      <c r="BC159" s="91" t="s">
        <v>1381</v>
      </c>
      <c r="BD159" s="94"/>
      <c r="BE159" s="94" t="s">
        <v>918</v>
      </c>
      <c r="BF159" s="94" t="s">
        <v>958</v>
      </c>
      <c r="BG159" s="94"/>
    </row>
    <row r="160" spans="1:59" s="55" customFormat="1" ht="22.5" customHeight="1">
      <c r="A160" s="53" t="s">
        <v>6</v>
      </c>
      <c r="B160" s="64">
        <v>0.65</v>
      </c>
      <c r="C160" s="64">
        <v>0.65</v>
      </c>
      <c r="D160" s="64" t="s">
        <v>4483</v>
      </c>
      <c r="E160" s="48" t="s">
        <v>4628</v>
      </c>
      <c r="F160" s="48">
        <v>0.8</v>
      </c>
      <c r="G160" s="64">
        <v>0.65</v>
      </c>
      <c r="H160" s="48">
        <v>0.75</v>
      </c>
      <c r="I160" s="48">
        <v>0.75</v>
      </c>
      <c r="J160" s="48">
        <v>0.75</v>
      </c>
      <c r="K160" s="64">
        <v>0.7</v>
      </c>
      <c r="L160" s="48">
        <v>0.7</v>
      </c>
      <c r="M160" s="64" t="s">
        <v>39</v>
      </c>
      <c r="N160" s="48">
        <v>0.85</v>
      </c>
      <c r="O160" s="48">
        <v>0.65</v>
      </c>
      <c r="P160" s="48" t="s">
        <v>39</v>
      </c>
      <c r="Q160" s="48">
        <v>0.65</v>
      </c>
      <c r="R160" s="48">
        <v>0.65</v>
      </c>
      <c r="S160" s="64">
        <v>0.65</v>
      </c>
      <c r="T160" s="48">
        <v>0.75</v>
      </c>
      <c r="U160" s="48">
        <v>0.75</v>
      </c>
      <c r="V160" s="48">
        <v>0.65</v>
      </c>
      <c r="W160" s="48">
        <v>0.7</v>
      </c>
      <c r="X160" s="48">
        <v>0.75</v>
      </c>
      <c r="Y160" s="64">
        <v>0.8</v>
      </c>
      <c r="Z160" s="64">
        <v>0.8</v>
      </c>
      <c r="AA160" s="18">
        <v>0.7</v>
      </c>
      <c r="AB160" s="48">
        <v>0.8</v>
      </c>
      <c r="AC160" s="48" t="s">
        <v>974</v>
      </c>
      <c r="AD160" s="48" t="s">
        <v>989</v>
      </c>
      <c r="AE160" s="48">
        <v>0.75</v>
      </c>
      <c r="AF160" s="48">
        <v>0.75</v>
      </c>
      <c r="AG160" s="48" t="s">
        <v>234</v>
      </c>
      <c r="AH160" s="48" t="s">
        <v>234</v>
      </c>
      <c r="AI160" s="48">
        <v>0.7</v>
      </c>
      <c r="AJ160" s="48">
        <v>0.75</v>
      </c>
      <c r="AK160" s="48">
        <v>0.8</v>
      </c>
      <c r="AL160" s="49" t="s">
        <v>4669</v>
      </c>
      <c r="AM160" s="48">
        <v>0.75</v>
      </c>
      <c r="AN160" s="48">
        <v>0.8</v>
      </c>
      <c r="AO160" s="48">
        <v>0.75</v>
      </c>
      <c r="AP160" s="48">
        <v>0.7</v>
      </c>
      <c r="AQ160" s="48">
        <v>0.8</v>
      </c>
      <c r="AR160" s="64">
        <v>0.7</v>
      </c>
      <c r="AS160" s="48">
        <v>0.65</v>
      </c>
      <c r="AT160" s="64">
        <v>0.65</v>
      </c>
      <c r="AU160" s="64">
        <v>0.65</v>
      </c>
      <c r="AV160" s="48">
        <v>0.65</v>
      </c>
      <c r="AW160" s="48">
        <v>0.65</v>
      </c>
      <c r="AX160" s="48">
        <v>0.75</v>
      </c>
      <c r="AY160" s="48">
        <v>0.8</v>
      </c>
      <c r="AZ160" s="48">
        <v>0.7</v>
      </c>
      <c r="BA160" s="48">
        <v>0.75</v>
      </c>
      <c r="BB160" s="48">
        <v>0.65</v>
      </c>
      <c r="BC160" s="48">
        <v>0.65</v>
      </c>
      <c r="BD160" s="48">
        <v>0.8</v>
      </c>
      <c r="BE160" s="48">
        <v>0.65</v>
      </c>
      <c r="BF160" s="48">
        <v>0.75</v>
      </c>
      <c r="BG160" s="48">
        <v>0.75</v>
      </c>
    </row>
    <row r="161" spans="1:59" s="55" customFormat="1" ht="11.25" customHeight="1">
      <c r="A161" s="95" t="s">
        <v>688</v>
      </c>
      <c r="B161" s="94"/>
      <c r="C161" s="94"/>
      <c r="D161" s="94" t="s">
        <v>4427</v>
      </c>
      <c r="E161" s="94" t="s">
        <v>4636</v>
      </c>
      <c r="F161" s="94" t="s">
        <v>4626</v>
      </c>
      <c r="G161" s="91"/>
      <c r="H161" s="94" t="s">
        <v>2025</v>
      </c>
      <c r="I161" s="94"/>
      <c r="J161" s="94" t="s">
        <v>2633</v>
      </c>
      <c r="K161" s="94"/>
      <c r="L161" s="94" t="s">
        <v>1525</v>
      </c>
      <c r="M161" s="94" t="s">
        <v>39</v>
      </c>
      <c r="N161" s="94"/>
      <c r="O161" s="94" t="s">
        <v>1381</v>
      </c>
      <c r="P161" s="94"/>
      <c r="Q161" s="94"/>
      <c r="R161" s="94" t="s">
        <v>2792</v>
      </c>
      <c r="S161" s="94"/>
      <c r="T161" s="94"/>
      <c r="U161" s="94"/>
      <c r="V161" s="94" t="s">
        <v>1381</v>
      </c>
      <c r="W161" s="94" t="s">
        <v>1792</v>
      </c>
      <c r="X161" s="94" t="s">
        <v>1794</v>
      </c>
      <c r="Y161" s="94" t="s">
        <v>762</v>
      </c>
      <c r="Z161" s="94" t="s">
        <v>1088</v>
      </c>
      <c r="AA161" s="91"/>
      <c r="AB161" s="94"/>
      <c r="AC161" s="94"/>
      <c r="AD161" s="94"/>
      <c r="AE161" s="94" t="s">
        <v>1169</v>
      </c>
      <c r="AF161" s="94"/>
      <c r="AG161" s="91"/>
      <c r="AH161" s="91"/>
      <c r="AI161" s="94"/>
      <c r="AJ161" s="94"/>
      <c r="AK161" s="94" t="s">
        <v>1170</v>
      </c>
      <c r="AL161" s="91" t="s">
        <v>39</v>
      </c>
      <c r="AM161" s="94" t="s">
        <v>1223</v>
      </c>
      <c r="AN161" s="94" t="s">
        <v>1170</v>
      </c>
      <c r="AO161" s="94" t="s">
        <v>1223</v>
      </c>
      <c r="AP161" s="94"/>
      <c r="AQ161" s="91"/>
      <c r="AR161" s="94"/>
      <c r="AS161" s="94" t="s">
        <v>1704</v>
      </c>
      <c r="AT161" s="91"/>
      <c r="AU161" s="94"/>
      <c r="AV161" s="94" t="s">
        <v>869</v>
      </c>
      <c r="AW161" s="94" t="s">
        <v>869</v>
      </c>
      <c r="AX161" s="94"/>
      <c r="AY161" s="94"/>
      <c r="AZ161" s="94" t="s">
        <v>1283</v>
      </c>
      <c r="BA161" s="94" t="s">
        <v>1283</v>
      </c>
      <c r="BB161" s="91"/>
      <c r="BC161" s="91" t="s">
        <v>1381</v>
      </c>
      <c r="BD161" s="94"/>
      <c r="BE161" s="94" t="s">
        <v>918</v>
      </c>
      <c r="BF161" s="94" t="s">
        <v>958</v>
      </c>
      <c r="BG161" s="94"/>
    </row>
    <row r="162" spans="1:59" s="55" customFormat="1" ht="22.5" customHeight="1">
      <c r="A162" s="53" t="s">
        <v>7</v>
      </c>
      <c r="B162" s="64">
        <v>0.6</v>
      </c>
      <c r="C162" s="64">
        <v>0.6</v>
      </c>
      <c r="D162" s="64" t="s">
        <v>4483</v>
      </c>
      <c r="E162" s="48" t="s">
        <v>4629</v>
      </c>
      <c r="F162" s="48">
        <v>0.75</v>
      </c>
      <c r="G162" s="64">
        <v>0.6</v>
      </c>
      <c r="H162" s="48">
        <v>0.75</v>
      </c>
      <c r="I162" s="48">
        <v>0.75</v>
      </c>
      <c r="J162" s="48">
        <v>0.75</v>
      </c>
      <c r="K162" s="64">
        <v>0.65</v>
      </c>
      <c r="L162" s="48">
        <v>0.65</v>
      </c>
      <c r="M162" s="64" t="s">
        <v>39</v>
      </c>
      <c r="N162" s="48">
        <v>0.8</v>
      </c>
      <c r="O162" s="48">
        <v>0.6</v>
      </c>
      <c r="P162" s="48">
        <v>0.75</v>
      </c>
      <c r="Q162" s="48">
        <v>0.6</v>
      </c>
      <c r="R162" s="48">
        <v>0.6</v>
      </c>
      <c r="S162" s="64">
        <v>0.6</v>
      </c>
      <c r="T162" s="48">
        <v>0.7</v>
      </c>
      <c r="U162" s="48">
        <v>0.7</v>
      </c>
      <c r="V162" s="48">
        <v>0.6</v>
      </c>
      <c r="W162" s="48">
        <v>0.7</v>
      </c>
      <c r="X162" s="48">
        <v>0.75</v>
      </c>
      <c r="Y162" s="64">
        <v>0.75</v>
      </c>
      <c r="Z162" s="64">
        <v>0.75</v>
      </c>
      <c r="AA162" s="18">
        <v>0.65</v>
      </c>
      <c r="AB162" s="48">
        <v>0.75</v>
      </c>
      <c r="AC162" s="48" t="s">
        <v>974</v>
      </c>
      <c r="AD162" s="48" t="s">
        <v>989</v>
      </c>
      <c r="AE162" s="48">
        <v>0.75</v>
      </c>
      <c r="AF162" s="48">
        <v>0.75</v>
      </c>
      <c r="AG162" s="48" t="s">
        <v>234</v>
      </c>
      <c r="AH162" s="48" t="s">
        <v>234</v>
      </c>
      <c r="AI162" s="48">
        <v>0.65</v>
      </c>
      <c r="AJ162" s="48">
        <v>0.7</v>
      </c>
      <c r="AK162" s="48">
        <v>0.75</v>
      </c>
      <c r="AL162" s="49" t="s">
        <v>4669</v>
      </c>
      <c r="AM162" s="48">
        <v>0.7</v>
      </c>
      <c r="AN162" s="48">
        <v>0.75</v>
      </c>
      <c r="AO162" s="48">
        <v>0.7</v>
      </c>
      <c r="AP162" s="48">
        <v>0.7</v>
      </c>
      <c r="AQ162" s="48">
        <v>0.75</v>
      </c>
      <c r="AR162" s="64">
        <v>0.7</v>
      </c>
      <c r="AS162" s="48">
        <v>0.6</v>
      </c>
      <c r="AT162" s="64">
        <v>0.6</v>
      </c>
      <c r="AU162" s="64">
        <v>0.6</v>
      </c>
      <c r="AV162" s="48">
        <v>0.6</v>
      </c>
      <c r="AW162" s="48">
        <v>0.6</v>
      </c>
      <c r="AX162" s="48">
        <v>0.75</v>
      </c>
      <c r="AY162" s="48">
        <v>0.8</v>
      </c>
      <c r="AZ162" s="48">
        <v>0.65</v>
      </c>
      <c r="BA162" s="48">
        <v>0.7</v>
      </c>
      <c r="BB162" s="48">
        <v>0.6</v>
      </c>
      <c r="BC162" s="48">
        <v>0.6</v>
      </c>
      <c r="BD162" s="48">
        <v>0.75</v>
      </c>
      <c r="BE162" s="48">
        <v>0.6</v>
      </c>
      <c r="BF162" s="48">
        <v>0.7</v>
      </c>
      <c r="BG162" s="48">
        <v>0.75</v>
      </c>
    </row>
    <row r="163" spans="1:59" s="55" customFormat="1" ht="11.25" customHeight="1">
      <c r="A163" s="95" t="s">
        <v>688</v>
      </c>
      <c r="B163" s="94"/>
      <c r="C163" s="94"/>
      <c r="D163" s="94" t="s">
        <v>4427</v>
      </c>
      <c r="E163" s="94" t="s">
        <v>4636</v>
      </c>
      <c r="F163" s="94" t="s">
        <v>4626</v>
      </c>
      <c r="G163" s="91"/>
      <c r="H163" s="94" t="s">
        <v>2025</v>
      </c>
      <c r="I163" s="94"/>
      <c r="J163" s="94" t="s">
        <v>2633</v>
      </c>
      <c r="K163" s="94"/>
      <c r="L163" s="94" t="s">
        <v>1525</v>
      </c>
      <c r="M163" s="94" t="s">
        <v>39</v>
      </c>
      <c r="N163" s="94"/>
      <c r="O163" s="94" t="s">
        <v>1381</v>
      </c>
      <c r="P163" s="94"/>
      <c r="Q163" s="94"/>
      <c r="R163" s="94" t="s">
        <v>2792</v>
      </c>
      <c r="S163" s="94"/>
      <c r="T163" s="94"/>
      <c r="U163" s="94"/>
      <c r="V163" s="94" t="s">
        <v>1381</v>
      </c>
      <c r="W163" s="94" t="s">
        <v>1792</v>
      </c>
      <c r="X163" s="94" t="s">
        <v>1794</v>
      </c>
      <c r="Y163" s="94" t="s">
        <v>762</v>
      </c>
      <c r="Z163" s="94" t="s">
        <v>1088</v>
      </c>
      <c r="AA163" s="91"/>
      <c r="AB163" s="94"/>
      <c r="AC163" s="94"/>
      <c r="AD163" s="94"/>
      <c r="AE163" s="94" t="s">
        <v>1169</v>
      </c>
      <c r="AF163" s="94"/>
      <c r="AG163" s="91"/>
      <c r="AH163" s="91"/>
      <c r="AI163" s="94"/>
      <c r="AJ163" s="94"/>
      <c r="AK163" s="94" t="s">
        <v>1170</v>
      </c>
      <c r="AL163" s="91" t="s">
        <v>39</v>
      </c>
      <c r="AM163" s="94" t="s">
        <v>1223</v>
      </c>
      <c r="AN163" s="94" t="s">
        <v>1170</v>
      </c>
      <c r="AO163" s="94" t="s">
        <v>1223</v>
      </c>
      <c r="AP163" s="94"/>
      <c r="AQ163" s="91"/>
      <c r="AR163" s="94"/>
      <c r="AS163" s="94" t="s">
        <v>1704</v>
      </c>
      <c r="AT163" s="91"/>
      <c r="AU163" s="94"/>
      <c r="AV163" s="94" t="s">
        <v>869</v>
      </c>
      <c r="AW163" s="94" t="s">
        <v>869</v>
      </c>
      <c r="AX163" s="94"/>
      <c r="AY163" s="94"/>
      <c r="AZ163" s="94" t="s">
        <v>1283</v>
      </c>
      <c r="BA163" s="94" t="s">
        <v>1283</v>
      </c>
      <c r="BB163" s="91"/>
      <c r="BC163" s="91" t="s">
        <v>1381</v>
      </c>
      <c r="BD163" s="94"/>
      <c r="BE163" s="94" t="s">
        <v>918</v>
      </c>
      <c r="BF163" s="94" t="s">
        <v>958</v>
      </c>
      <c r="BG163" s="94"/>
    </row>
    <row r="164" spans="1:59" s="55" customFormat="1" ht="22.5" customHeight="1">
      <c r="A164" s="53" t="s">
        <v>8</v>
      </c>
      <c r="B164" s="64">
        <v>0.55000000000000004</v>
      </c>
      <c r="C164" s="64">
        <v>0.55000000000000004</v>
      </c>
      <c r="D164" s="64">
        <v>0.6</v>
      </c>
      <c r="E164" s="48" t="s">
        <v>4630</v>
      </c>
      <c r="F164" s="48">
        <v>0.7</v>
      </c>
      <c r="G164" s="64">
        <v>0.55000000000000004</v>
      </c>
      <c r="H164" s="48">
        <v>0.7</v>
      </c>
      <c r="I164" s="48">
        <v>0.7</v>
      </c>
      <c r="J164" s="48">
        <v>0.7</v>
      </c>
      <c r="K164" s="64">
        <v>0.6</v>
      </c>
      <c r="L164" s="48">
        <v>0.6</v>
      </c>
      <c r="M164" s="64">
        <v>0.8</v>
      </c>
      <c r="N164" s="48">
        <v>0.75</v>
      </c>
      <c r="O164" s="48">
        <v>0.55000000000000004</v>
      </c>
      <c r="P164" s="48">
        <v>0.7</v>
      </c>
      <c r="Q164" s="48">
        <v>0.55000000000000004</v>
      </c>
      <c r="R164" s="48">
        <v>1</v>
      </c>
      <c r="S164" s="64">
        <v>0.55000000000000004</v>
      </c>
      <c r="T164" s="48">
        <v>0.7</v>
      </c>
      <c r="U164" s="48">
        <v>0.7</v>
      </c>
      <c r="V164" s="48">
        <v>0.55000000000000004</v>
      </c>
      <c r="W164" s="48">
        <v>0.7</v>
      </c>
      <c r="X164" s="48">
        <v>0.75</v>
      </c>
      <c r="Y164" s="64">
        <v>0.75</v>
      </c>
      <c r="Z164" s="64">
        <v>0.7</v>
      </c>
      <c r="AA164" s="18">
        <v>0.6</v>
      </c>
      <c r="AB164" s="48">
        <v>0.75</v>
      </c>
      <c r="AC164" s="48" t="s">
        <v>975</v>
      </c>
      <c r="AD164" s="48" t="s">
        <v>990</v>
      </c>
      <c r="AE164" s="48">
        <v>0.75</v>
      </c>
      <c r="AF164" s="48">
        <v>0.75</v>
      </c>
      <c r="AG164" s="48">
        <v>0.8</v>
      </c>
      <c r="AH164" s="48">
        <v>0.8</v>
      </c>
      <c r="AI164" s="48">
        <v>0.55000000000000004</v>
      </c>
      <c r="AJ164" s="48">
        <v>0.6</v>
      </c>
      <c r="AK164" s="48">
        <v>0.7</v>
      </c>
      <c r="AL164" s="49" t="s">
        <v>4669</v>
      </c>
      <c r="AM164" s="48">
        <v>0.65</v>
      </c>
      <c r="AN164" s="48">
        <v>0.7</v>
      </c>
      <c r="AO164" s="48">
        <v>0.65</v>
      </c>
      <c r="AP164" s="48">
        <v>0.7</v>
      </c>
      <c r="AQ164" s="48">
        <v>0.7</v>
      </c>
      <c r="AR164" s="64">
        <v>0.7</v>
      </c>
      <c r="AS164" s="48">
        <v>0.55000000000000004</v>
      </c>
      <c r="AT164" s="64">
        <v>0.55000000000000004</v>
      </c>
      <c r="AU164" s="64">
        <v>0.55000000000000004</v>
      </c>
      <c r="AV164" s="48">
        <v>0.55000000000000004</v>
      </c>
      <c r="AW164" s="48">
        <v>0.55000000000000004</v>
      </c>
      <c r="AX164" s="48">
        <v>0.6</v>
      </c>
      <c r="AY164" s="48">
        <v>0.7</v>
      </c>
      <c r="AZ164" s="48">
        <v>0.6</v>
      </c>
      <c r="BA164" s="48">
        <v>0.7</v>
      </c>
      <c r="BB164" s="48">
        <v>0.55000000000000004</v>
      </c>
      <c r="BC164" s="48">
        <v>0.55000000000000004</v>
      </c>
      <c r="BD164" s="48">
        <v>0.75</v>
      </c>
      <c r="BE164" s="48">
        <v>0.55000000000000004</v>
      </c>
      <c r="BF164" s="48">
        <v>0.7</v>
      </c>
      <c r="BG164" s="48">
        <v>0.75</v>
      </c>
    </row>
    <row r="165" spans="1:59" s="55" customFormat="1" ht="11.25" customHeight="1">
      <c r="A165" s="95" t="s">
        <v>688</v>
      </c>
      <c r="B165" s="94"/>
      <c r="C165" s="94"/>
      <c r="D165" s="94" t="s">
        <v>4427</v>
      </c>
      <c r="E165" s="94" t="s">
        <v>4636</v>
      </c>
      <c r="F165" s="94" t="s">
        <v>4626</v>
      </c>
      <c r="G165" s="91"/>
      <c r="H165" s="94" t="s">
        <v>2025</v>
      </c>
      <c r="I165" s="94"/>
      <c r="J165" s="94" t="s">
        <v>2633</v>
      </c>
      <c r="K165" s="94"/>
      <c r="L165" s="94" t="s">
        <v>1525</v>
      </c>
      <c r="M165" s="94" t="s">
        <v>1016</v>
      </c>
      <c r="N165" s="94"/>
      <c r="O165" s="94" t="s">
        <v>1381</v>
      </c>
      <c r="P165" s="94"/>
      <c r="Q165" s="94"/>
      <c r="R165" s="94" t="s">
        <v>2794</v>
      </c>
      <c r="S165" s="94"/>
      <c r="T165" s="94"/>
      <c r="U165" s="94"/>
      <c r="V165" s="94" t="s">
        <v>1381</v>
      </c>
      <c r="W165" s="94" t="s">
        <v>1792</v>
      </c>
      <c r="X165" s="94" t="s">
        <v>1794</v>
      </c>
      <c r="Y165" s="94" t="s">
        <v>762</v>
      </c>
      <c r="Z165" s="94" t="s">
        <v>1088</v>
      </c>
      <c r="AA165" s="91"/>
      <c r="AB165" s="94"/>
      <c r="AC165" s="94"/>
      <c r="AD165" s="94"/>
      <c r="AE165" s="94" t="s">
        <v>1169</v>
      </c>
      <c r="AF165" s="94"/>
      <c r="AG165" s="91"/>
      <c r="AH165" s="91"/>
      <c r="AI165" s="94"/>
      <c r="AJ165" s="94"/>
      <c r="AK165" s="94" t="s">
        <v>1170</v>
      </c>
      <c r="AL165" s="91" t="s">
        <v>39</v>
      </c>
      <c r="AM165" s="94" t="s">
        <v>1223</v>
      </c>
      <c r="AN165" s="94" t="s">
        <v>1170</v>
      </c>
      <c r="AO165" s="94" t="s">
        <v>1223</v>
      </c>
      <c r="AP165" s="94"/>
      <c r="AQ165" s="91"/>
      <c r="AR165" s="94"/>
      <c r="AS165" s="94" t="s">
        <v>1704</v>
      </c>
      <c r="AT165" s="91"/>
      <c r="AU165" s="94"/>
      <c r="AV165" s="94" t="s">
        <v>869</v>
      </c>
      <c r="AW165" s="94" t="s">
        <v>869</v>
      </c>
      <c r="AX165" s="94"/>
      <c r="AY165" s="94"/>
      <c r="AZ165" s="94" t="s">
        <v>1283</v>
      </c>
      <c r="BA165" s="94" t="s">
        <v>1283</v>
      </c>
      <c r="BB165" s="91"/>
      <c r="BC165" s="91" t="s">
        <v>1381</v>
      </c>
      <c r="BD165" s="94"/>
      <c r="BE165" s="94" t="s">
        <v>918</v>
      </c>
      <c r="BF165" s="94" t="s">
        <v>958</v>
      </c>
      <c r="BG165" s="94"/>
    </row>
    <row r="166" spans="1:59" s="55" customFormat="1" ht="22.5" customHeight="1">
      <c r="A166" s="53" t="s">
        <v>9</v>
      </c>
      <c r="B166" s="64">
        <v>0.2</v>
      </c>
      <c r="C166" s="64">
        <v>0.2</v>
      </c>
      <c r="D166" s="64"/>
      <c r="E166" s="48" t="s">
        <v>4631</v>
      </c>
      <c r="F166" s="48">
        <v>0.3</v>
      </c>
      <c r="G166" s="64">
        <v>0.2</v>
      </c>
      <c r="H166" s="48">
        <v>0.3</v>
      </c>
      <c r="I166" s="48">
        <v>0.3</v>
      </c>
      <c r="J166" s="48">
        <v>0.3</v>
      </c>
      <c r="K166" s="64">
        <v>0.23</v>
      </c>
      <c r="L166" s="48">
        <v>0.23</v>
      </c>
      <c r="M166" s="64">
        <v>0.3</v>
      </c>
      <c r="N166" s="48">
        <v>0.3</v>
      </c>
      <c r="O166" s="48">
        <v>0.2</v>
      </c>
      <c r="P166" s="48">
        <v>0.3</v>
      </c>
      <c r="Q166" s="48">
        <v>0.2</v>
      </c>
      <c r="R166" s="48">
        <v>0.6</v>
      </c>
      <c r="S166" s="64">
        <v>0.2</v>
      </c>
      <c r="T166" s="48">
        <v>0.28000000000000003</v>
      </c>
      <c r="U166" s="48">
        <v>0.3</v>
      </c>
      <c r="V166" s="48">
        <v>0.2</v>
      </c>
      <c r="W166" s="48">
        <v>0.25</v>
      </c>
      <c r="X166" s="48">
        <v>0.3</v>
      </c>
      <c r="Y166" s="64">
        <v>0.3</v>
      </c>
      <c r="Z166" s="64">
        <v>0.3</v>
      </c>
      <c r="AA166" s="18">
        <v>0.25</v>
      </c>
      <c r="AB166" s="48">
        <v>0.3</v>
      </c>
      <c r="AC166" s="48" t="s">
        <v>976</v>
      </c>
      <c r="AD166" s="48" t="s">
        <v>991</v>
      </c>
      <c r="AE166" s="48">
        <v>0.3</v>
      </c>
      <c r="AF166" s="48">
        <v>0.3</v>
      </c>
      <c r="AG166" s="64">
        <v>0.3</v>
      </c>
      <c r="AH166" s="64">
        <v>0.3</v>
      </c>
      <c r="AI166" s="48">
        <v>0.2</v>
      </c>
      <c r="AJ166" s="48">
        <v>0.22</v>
      </c>
      <c r="AK166" s="48">
        <v>0.3</v>
      </c>
      <c r="AL166" s="49" t="s">
        <v>4669</v>
      </c>
      <c r="AM166" s="48">
        <v>0.25</v>
      </c>
      <c r="AN166" s="48">
        <v>0.3</v>
      </c>
      <c r="AO166" s="48">
        <v>0.25</v>
      </c>
      <c r="AP166" s="48">
        <v>0.25</v>
      </c>
      <c r="AQ166" s="48">
        <v>0.3</v>
      </c>
      <c r="AR166" s="64">
        <v>0.25</v>
      </c>
      <c r="AS166" s="48">
        <v>0.2</v>
      </c>
      <c r="AT166" s="64">
        <v>0.2</v>
      </c>
      <c r="AU166" s="64">
        <v>0.2</v>
      </c>
      <c r="AV166" s="48">
        <v>0.2</v>
      </c>
      <c r="AW166" s="48">
        <v>0.2</v>
      </c>
      <c r="AX166" s="48">
        <v>0.25</v>
      </c>
      <c r="AY166" s="48">
        <v>0.3</v>
      </c>
      <c r="AZ166" s="48">
        <v>0.25</v>
      </c>
      <c r="BA166" s="48">
        <v>0.3</v>
      </c>
      <c r="BB166" s="48">
        <v>0.2</v>
      </c>
      <c r="BC166" s="48">
        <v>0.2</v>
      </c>
      <c r="BD166" s="48">
        <v>0.3</v>
      </c>
      <c r="BE166" s="48">
        <v>0.2</v>
      </c>
      <c r="BF166" s="48">
        <v>0.25</v>
      </c>
      <c r="BG166" s="48">
        <v>0.3</v>
      </c>
    </row>
    <row r="167" spans="1:59" s="55" customFormat="1" ht="11.25" customHeight="1">
      <c r="A167" s="95" t="s">
        <v>688</v>
      </c>
      <c r="B167" s="94"/>
      <c r="C167" s="94"/>
      <c r="D167" s="94"/>
      <c r="E167" s="94" t="s">
        <v>4636</v>
      </c>
      <c r="F167" s="94" t="s">
        <v>4626</v>
      </c>
      <c r="G167" s="91"/>
      <c r="H167" s="94" t="s">
        <v>2025</v>
      </c>
      <c r="I167" s="94"/>
      <c r="J167" s="94" t="s">
        <v>2633</v>
      </c>
      <c r="K167" s="94"/>
      <c r="L167" s="94" t="s">
        <v>1525</v>
      </c>
      <c r="M167" s="94" t="s">
        <v>1016</v>
      </c>
      <c r="N167" s="94"/>
      <c r="O167" s="94" t="s">
        <v>1381</v>
      </c>
      <c r="P167" s="94"/>
      <c r="Q167" s="94"/>
      <c r="R167" s="94" t="s">
        <v>2794</v>
      </c>
      <c r="S167" s="94"/>
      <c r="T167" s="94"/>
      <c r="U167" s="94"/>
      <c r="V167" s="94" t="s">
        <v>1381</v>
      </c>
      <c r="W167" s="94" t="s">
        <v>1792</v>
      </c>
      <c r="X167" s="94" t="s">
        <v>1794</v>
      </c>
      <c r="Y167" s="94" t="s">
        <v>762</v>
      </c>
      <c r="Z167" s="94" t="s">
        <v>1088</v>
      </c>
      <c r="AA167" s="91"/>
      <c r="AB167" s="94"/>
      <c r="AC167" s="94"/>
      <c r="AD167" s="94"/>
      <c r="AE167" s="94" t="s">
        <v>1169</v>
      </c>
      <c r="AF167" s="94"/>
      <c r="AG167" s="91"/>
      <c r="AH167" s="91"/>
      <c r="AI167" s="94"/>
      <c r="AJ167" s="94"/>
      <c r="AK167" s="94" t="s">
        <v>1170</v>
      </c>
      <c r="AL167" s="91" t="s">
        <v>39</v>
      </c>
      <c r="AM167" s="94" t="s">
        <v>1223</v>
      </c>
      <c r="AN167" s="94" t="s">
        <v>1170</v>
      </c>
      <c r="AO167" s="94" t="s">
        <v>1223</v>
      </c>
      <c r="AP167" s="94"/>
      <c r="AQ167" s="91"/>
      <c r="AR167" s="94"/>
      <c r="AS167" s="94" t="s">
        <v>1704</v>
      </c>
      <c r="AT167" s="91"/>
      <c r="AU167" s="94"/>
      <c r="AV167" s="94" t="s">
        <v>869</v>
      </c>
      <c r="AW167" s="94" t="s">
        <v>869</v>
      </c>
      <c r="AX167" s="94"/>
      <c r="AY167" s="94"/>
      <c r="AZ167" s="94" t="s">
        <v>1283</v>
      </c>
      <c r="BA167" s="94" t="s">
        <v>1283</v>
      </c>
      <c r="BB167" s="91"/>
      <c r="BC167" s="91" t="s">
        <v>1381</v>
      </c>
      <c r="BD167" s="94"/>
      <c r="BE167" s="94" t="s">
        <v>918</v>
      </c>
      <c r="BF167" s="94" t="s">
        <v>958</v>
      </c>
      <c r="BG167" s="94"/>
    </row>
    <row r="168" spans="1:59" s="55" customFormat="1" ht="22.5" customHeight="1">
      <c r="A168" s="53" t="s">
        <v>10</v>
      </c>
      <c r="B168" s="64">
        <v>0.1</v>
      </c>
      <c r="C168" s="64">
        <v>0.1</v>
      </c>
      <c r="D168" s="64">
        <v>0.15</v>
      </c>
      <c r="E168" s="48" t="s">
        <v>4632</v>
      </c>
      <c r="F168" s="48">
        <v>0.2</v>
      </c>
      <c r="G168" s="64">
        <v>0.1</v>
      </c>
      <c r="H168" s="48">
        <v>0.2</v>
      </c>
      <c r="I168" s="48">
        <v>0.2</v>
      </c>
      <c r="J168" s="48">
        <v>0.2</v>
      </c>
      <c r="K168" s="64">
        <v>0.12</v>
      </c>
      <c r="L168" s="48">
        <v>0.12</v>
      </c>
      <c r="M168" s="64">
        <v>0.2</v>
      </c>
      <c r="N168" s="48">
        <v>0.15</v>
      </c>
      <c r="O168" s="48">
        <v>0.1</v>
      </c>
      <c r="P168" s="48">
        <v>0.2</v>
      </c>
      <c r="Q168" s="48">
        <v>0.1</v>
      </c>
      <c r="R168" s="48">
        <v>0.6</v>
      </c>
      <c r="S168" s="64">
        <v>0.1</v>
      </c>
      <c r="T168" s="48">
        <v>0.2</v>
      </c>
      <c r="U168" s="48">
        <v>0.2</v>
      </c>
      <c r="V168" s="48">
        <v>0.1</v>
      </c>
      <c r="W168" s="48">
        <v>0.16</v>
      </c>
      <c r="X168" s="48">
        <v>0.2</v>
      </c>
      <c r="Y168" s="64">
        <v>0.2</v>
      </c>
      <c r="Z168" s="64">
        <v>0.2</v>
      </c>
      <c r="AA168" s="18">
        <v>0.15</v>
      </c>
      <c r="AB168" s="48">
        <v>0.2</v>
      </c>
      <c r="AC168" s="48" t="s">
        <v>977</v>
      </c>
      <c r="AD168" s="48" t="s">
        <v>992</v>
      </c>
      <c r="AE168" s="48">
        <v>0.2</v>
      </c>
      <c r="AF168" s="48">
        <v>0.2</v>
      </c>
      <c r="AG168" s="48">
        <v>0.2</v>
      </c>
      <c r="AH168" s="48">
        <v>0.2</v>
      </c>
      <c r="AI168" s="48">
        <v>0.1</v>
      </c>
      <c r="AJ168" s="48">
        <v>0.12</v>
      </c>
      <c r="AK168" s="48">
        <v>0.2</v>
      </c>
      <c r="AL168" s="49" t="s">
        <v>4669</v>
      </c>
      <c r="AM168" s="48">
        <v>0.15</v>
      </c>
      <c r="AN168" s="48">
        <v>0.2</v>
      </c>
      <c r="AO168" s="48">
        <v>0.15</v>
      </c>
      <c r="AP168" s="48">
        <v>0.16</v>
      </c>
      <c r="AQ168" s="48">
        <v>0.2</v>
      </c>
      <c r="AR168" s="64">
        <v>0.16</v>
      </c>
      <c r="AS168" s="48">
        <v>0.1</v>
      </c>
      <c r="AT168" s="64">
        <v>0.1</v>
      </c>
      <c r="AU168" s="64">
        <v>0.1</v>
      </c>
      <c r="AV168" s="48">
        <v>0.1</v>
      </c>
      <c r="AW168" s="48">
        <v>0.1</v>
      </c>
      <c r="AX168" s="48">
        <v>0.15</v>
      </c>
      <c r="AY168" s="48">
        <v>0.2</v>
      </c>
      <c r="AZ168" s="48">
        <v>0.15</v>
      </c>
      <c r="BA168" s="48">
        <v>0.2</v>
      </c>
      <c r="BB168" s="48">
        <v>0.1</v>
      </c>
      <c r="BC168" s="48">
        <v>0.1</v>
      </c>
      <c r="BD168" s="48">
        <v>0.2</v>
      </c>
      <c r="BE168" s="48">
        <v>0.1</v>
      </c>
      <c r="BF168" s="48">
        <v>0.15</v>
      </c>
      <c r="BG168" s="48">
        <v>0.16</v>
      </c>
    </row>
    <row r="169" spans="1:59" s="55" customFormat="1" ht="11.25" customHeight="1">
      <c r="A169" s="95" t="s">
        <v>688</v>
      </c>
      <c r="B169" s="94"/>
      <c r="C169" s="94"/>
      <c r="D169" s="94"/>
      <c r="E169" s="94" t="s">
        <v>4636</v>
      </c>
      <c r="F169" s="94" t="s">
        <v>4626</v>
      </c>
      <c r="G169" s="91"/>
      <c r="H169" s="94" t="s">
        <v>2025</v>
      </c>
      <c r="I169" s="94"/>
      <c r="J169" s="94" t="s">
        <v>2633</v>
      </c>
      <c r="K169" s="94"/>
      <c r="L169" s="94" t="s">
        <v>1525</v>
      </c>
      <c r="M169" s="94" t="s">
        <v>1016</v>
      </c>
      <c r="N169" s="94"/>
      <c r="O169" s="94" t="s">
        <v>1381</v>
      </c>
      <c r="P169" s="94"/>
      <c r="Q169" s="94"/>
      <c r="R169" s="94" t="s">
        <v>2794</v>
      </c>
      <c r="S169" s="94"/>
      <c r="T169" s="94"/>
      <c r="U169" s="94"/>
      <c r="V169" s="94" t="s">
        <v>1381</v>
      </c>
      <c r="W169" s="94" t="s">
        <v>1792</v>
      </c>
      <c r="X169" s="94" t="s">
        <v>1794</v>
      </c>
      <c r="Y169" s="94" t="s">
        <v>762</v>
      </c>
      <c r="Z169" s="94" t="s">
        <v>1088</v>
      </c>
      <c r="AA169" s="91"/>
      <c r="AB169" s="94"/>
      <c r="AC169" s="94"/>
      <c r="AD169" s="94"/>
      <c r="AE169" s="94" t="s">
        <v>1169</v>
      </c>
      <c r="AF169" s="94"/>
      <c r="AG169" s="91"/>
      <c r="AH169" s="91"/>
      <c r="AI169" s="94"/>
      <c r="AJ169" s="94"/>
      <c r="AK169" s="94" t="s">
        <v>1170</v>
      </c>
      <c r="AL169" s="91" t="s">
        <v>39</v>
      </c>
      <c r="AM169" s="94" t="s">
        <v>1223</v>
      </c>
      <c r="AN169" s="94" t="s">
        <v>1170</v>
      </c>
      <c r="AO169" s="94" t="s">
        <v>1223</v>
      </c>
      <c r="AP169" s="94"/>
      <c r="AQ169" s="91"/>
      <c r="AR169" s="94"/>
      <c r="AS169" s="94" t="s">
        <v>1704</v>
      </c>
      <c r="AT169" s="91"/>
      <c r="AU169" s="94"/>
      <c r="AV169" s="94" t="s">
        <v>869</v>
      </c>
      <c r="AW169" s="94" t="s">
        <v>869</v>
      </c>
      <c r="AX169" s="94"/>
      <c r="AY169" s="94"/>
      <c r="AZ169" s="94" t="s">
        <v>1283</v>
      </c>
      <c r="BA169" s="94" t="s">
        <v>1283</v>
      </c>
      <c r="BB169" s="91"/>
      <c r="BC169" s="91" t="s">
        <v>1381</v>
      </c>
      <c r="BD169" s="94"/>
      <c r="BE169" s="94" t="s">
        <v>918</v>
      </c>
      <c r="BF169" s="94" t="s">
        <v>958</v>
      </c>
      <c r="BG169" s="94"/>
    </row>
    <row r="170" spans="1:59" s="55" customFormat="1" ht="22.5" customHeight="1">
      <c r="A170" s="53" t="s">
        <v>11</v>
      </c>
      <c r="B170" s="64">
        <v>0.05</v>
      </c>
      <c r="C170" s="64">
        <v>0.05</v>
      </c>
      <c r="D170" s="64">
        <v>0.05</v>
      </c>
      <c r="E170" s="48" t="s">
        <v>4633</v>
      </c>
      <c r="F170" s="48" t="s">
        <v>3128</v>
      </c>
      <c r="G170" s="64">
        <v>0.05</v>
      </c>
      <c r="H170" s="48">
        <v>0.1</v>
      </c>
      <c r="I170" s="48">
        <v>0.1</v>
      </c>
      <c r="J170" s="48">
        <v>0.1</v>
      </c>
      <c r="K170" s="64">
        <v>0.08</v>
      </c>
      <c r="L170" s="48">
        <v>0.08</v>
      </c>
      <c r="M170" s="64">
        <v>0.1</v>
      </c>
      <c r="N170" s="48">
        <v>0.1</v>
      </c>
      <c r="O170" s="48">
        <v>0.05</v>
      </c>
      <c r="P170" s="48">
        <v>0.1</v>
      </c>
      <c r="Q170" s="48">
        <v>0.05</v>
      </c>
      <c r="R170" s="48">
        <v>0.2</v>
      </c>
      <c r="S170" s="64">
        <v>0.05</v>
      </c>
      <c r="T170" s="48">
        <v>0.15</v>
      </c>
      <c r="U170" s="48">
        <v>0.1</v>
      </c>
      <c r="V170" s="48">
        <v>0.05</v>
      </c>
      <c r="W170" s="48">
        <v>0.1</v>
      </c>
      <c r="X170" s="48">
        <v>0.1</v>
      </c>
      <c r="Y170" s="64">
        <v>0.1</v>
      </c>
      <c r="Z170" s="64">
        <v>0.1</v>
      </c>
      <c r="AA170" s="18">
        <v>0.1</v>
      </c>
      <c r="AB170" s="48">
        <v>0.1</v>
      </c>
      <c r="AC170" s="48" t="s">
        <v>978</v>
      </c>
      <c r="AD170" s="48" t="s">
        <v>993</v>
      </c>
      <c r="AE170" s="48">
        <v>0.1</v>
      </c>
      <c r="AF170" s="48">
        <v>0.1</v>
      </c>
      <c r="AG170" s="48">
        <v>0.12</v>
      </c>
      <c r="AH170" s="48">
        <v>0.12</v>
      </c>
      <c r="AI170" s="48">
        <v>0.05</v>
      </c>
      <c r="AJ170" s="48">
        <v>7.0000000000000007E-2</v>
      </c>
      <c r="AK170" s="48">
        <v>0.1</v>
      </c>
      <c r="AL170" s="49" t="s">
        <v>4669</v>
      </c>
      <c r="AM170" s="48">
        <v>0.1</v>
      </c>
      <c r="AN170" s="48">
        <v>0.1</v>
      </c>
      <c r="AO170" s="48">
        <v>0.1</v>
      </c>
      <c r="AP170" s="48">
        <v>0.1</v>
      </c>
      <c r="AQ170" s="48">
        <v>0.12</v>
      </c>
      <c r="AR170" s="64">
        <v>0.1</v>
      </c>
      <c r="AS170" s="48">
        <v>0.05</v>
      </c>
      <c r="AT170" s="64">
        <v>0.05</v>
      </c>
      <c r="AU170" s="64">
        <v>0.05</v>
      </c>
      <c r="AV170" s="48">
        <v>0.05</v>
      </c>
      <c r="AW170" s="48">
        <v>0.05</v>
      </c>
      <c r="AX170" s="48">
        <v>0.1</v>
      </c>
      <c r="AY170" s="48">
        <v>0.1</v>
      </c>
      <c r="AZ170" s="48">
        <v>0.1</v>
      </c>
      <c r="BA170" s="48">
        <v>0.1</v>
      </c>
      <c r="BB170" s="48">
        <v>0.05</v>
      </c>
      <c r="BC170" s="48">
        <v>0.05</v>
      </c>
      <c r="BD170" s="48">
        <v>0.12</v>
      </c>
      <c r="BE170" s="48">
        <v>0.05</v>
      </c>
      <c r="BF170" s="48">
        <v>0.1</v>
      </c>
      <c r="BG170" s="48">
        <v>0.1</v>
      </c>
    </row>
    <row r="171" spans="1:59" s="55" customFormat="1" ht="11.25" customHeight="1">
      <c r="A171" s="95" t="s">
        <v>688</v>
      </c>
      <c r="B171" s="94"/>
      <c r="C171" s="94"/>
      <c r="D171" s="94"/>
      <c r="E171" s="94" t="s">
        <v>4636</v>
      </c>
      <c r="F171" s="94" t="s">
        <v>4626</v>
      </c>
      <c r="G171" s="91"/>
      <c r="H171" s="94" t="s">
        <v>2025</v>
      </c>
      <c r="I171" s="94"/>
      <c r="J171" s="94" t="s">
        <v>2633</v>
      </c>
      <c r="K171" s="94"/>
      <c r="L171" s="94" t="s">
        <v>1525</v>
      </c>
      <c r="M171" s="94" t="s">
        <v>1016</v>
      </c>
      <c r="N171" s="94"/>
      <c r="O171" s="94" t="s">
        <v>1381</v>
      </c>
      <c r="P171" s="94"/>
      <c r="Q171" s="94"/>
      <c r="R171" s="94" t="s">
        <v>2794</v>
      </c>
      <c r="S171" s="94"/>
      <c r="T171" s="94"/>
      <c r="U171" s="94"/>
      <c r="V171" s="94" t="s">
        <v>1381</v>
      </c>
      <c r="W171" s="94" t="s">
        <v>1792</v>
      </c>
      <c r="X171" s="94" t="s">
        <v>1794</v>
      </c>
      <c r="Y171" s="94" t="s">
        <v>762</v>
      </c>
      <c r="Z171" s="94" t="s">
        <v>1088</v>
      </c>
      <c r="AA171" s="91"/>
      <c r="AB171" s="94"/>
      <c r="AC171" s="94"/>
      <c r="AD171" s="94"/>
      <c r="AE171" s="94" t="s">
        <v>1169</v>
      </c>
      <c r="AF171" s="94"/>
      <c r="AG171" s="91"/>
      <c r="AH171" s="91"/>
      <c r="AI171" s="94"/>
      <c r="AJ171" s="94"/>
      <c r="AK171" s="94" t="s">
        <v>1170</v>
      </c>
      <c r="AL171" s="91" t="s">
        <v>39</v>
      </c>
      <c r="AM171" s="94" t="s">
        <v>1223</v>
      </c>
      <c r="AN171" s="94" t="s">
        <v>1170</v>
      </c>
      <c r="AO171" s="94" t="s">
        <v>1223</v>
      </c>
      <c r="AP171" s="94"/>
      <c r="AQ171" s="91"/>
      <c r="AR171" s="94"/>
      <c r="AS171" s="94" t="s">
        <v>1704</v>
      </c>
      <c r="AT171" s="91"/>
      <c r="AU171" s="94"/>
      <c r="AV171" s="94" t="s">
        <v>869</v>
      </c>
      <c r="AW171" s="94" t="s">
        <v>869</v>
      </c>
      <c r="AX171" s="94"/>
      <c r="AY171" s="94"/>
      <c r="AZ171" s="94" t="s">
        <v>1283</v>
      </c>
      <c r="BA171" s="94" t="s">
        <v>1283</v>
      </c>
      <c r="BB171" s="91"/>
      <c r="BC171" s="91" t="s">
        <v>1381</v>
      </c>
      <c r="BD171" s="94"/>
      <c r="BE171" s="94" t="s">
        <v>918</v>
      </c>
      <c r="BF171" s="94" t="s">
        <v>958</v>
      </c>
      <c r="BG171" s="94"/>
    </row>
    <row r="172" spans="1:59" s="55" customFormat="1" ht="22.5" customHeight="1">
      <c r="A172" s="53" t="s">
        <v>29</v>
      </c>
      <c r="B172" s="64" t="s">
        <v>39</v>
      </c>
      <c r="C172" s="64" t="s">
        <v>39</v>
      </c>
      <c r="D172" s="64"/>
      <c r="E172" s="48" t="s">
        <v>39</v>
      </c>
      <c r="F172" s="48" t="s">
        <v>39</v>
      </c>
      <c r="G172" s="64" t="s">
        <v>39</v>
      </c>
      <c r="H172" s="48" t="s">
        <v>39</v>
      </c>
      <c r="I172" s="48" t="s">
        <v>39</v>
      </c>
      <c r="J172" s="48" t="s">
        <v>39</v>
      </c>
      <c r="K172" s="64" t="s">
        <v>39</v>
      </c>
      <c r="L172" s="48" t="s">
        <v>39</v>
      </c>
      <c r="M172" s="64">
        <v>1</v>
      </c>
      <c r="N172" s="48" t="s">
        <v>39</v>
      </c>
      <c r="O172" s="48" t="s">
        <v>39</v>
      </c>
      <c r="P172" s="48">
        <v>0.7</v>
      </c>
      <c r="Q172" s="48" t="s">
        <v>39</v>
      </c>
      <c r="R172" s="48" t="s">
        <v>39</v>
      </c>
      <c r="S172" s="64" t="s">
        <v>39</v>
      </c>
      <c r="T172" s="48">
        <v>0.7</v>
      </c>
      <c r="U172" s="48" t="s">
        <v>39</v>
      </c>
      <c r="V172" s="48" t="s">
        <v>39</v>
      </c>
      <c r="W172" s="48">
        <v>0.6</v>
      </c>
      <c r="X172" s="48">
        <v>0.65</v>
      </c>
      <c r="Y172" s="64" t="s">
        <v>39</v>
      </c>
      <c r="Z172" s="64">
        <v>0.7</v>
      </c>
      <c r="AA172" s="18" t="s">
        <v>39</v>
      </c>
      <c r="AB172" s="48">
        <v>0.75</v>
      </c>
      <c r="AC172" s="48" t="s">
        <v>39</v>
      </c>
      <c r="AD172" s="48" t="s">
        <v>39</v>
      </c>
      <c r="AE172" s="48" t="s">
        <v>39</v>
      </c>
      <c r="AF172" s="48" t="s">
        <v>39</v>
      </c>
      <c r="AG172" s="48" t="s">
        <v>39</v>
      </c>
      <c r="AH172" s="48" t="s">
        <v>39</v>
      </c>
      <c r="AI172" s="48" t="s">
        <v>39</v>
      </c>
      <c r="AJ172" s="48" t="s">
        <v>39</v>
      </c>
      <c r="AK172" s="48">
        <v>0.7</v>
      </c>
      <c r="AL172" s="49" t="s">
        <v>4669</v>
      </c>
      <c r="AM172" s="48">
        <v>0.65</v>
      </c>
      <c r="AN172" s="48">
        <v>0.7</v>
      </c>
      <c r="AO172" s="48">
        <v>0.65</v>
      </c>
      <c r="AP172" s="48" t="s">
        <v>39</v>
      </c>
      <c r="AQ172" s="48">
        <v>0.6</v>
      </c>
      <c r="AR172" s="64" t="s">
        <v>39</v>
      </c>
      <c r="AS172" s="48" t="s">
        <v>39</v>
      </c>
      <c r="AT172" s="64" t="s">
        <v>39</v>
      </c>
      <c r="AU172" s="64" t="s">
        <v>39</v>
      </c>
      <c r="AV172" s="48" t="s">
        <v>39</v>
      </c>
      <c r="AW172" s="48" t="s">
        <v>39</v>
      </c>
      <c r="AX172" s="48" t="s">
        <v>39</v>
      </c>
      <c r="AY172" s="48" t="s">
        <v>39</v>
      </c>
      <c r="AZ172" s="48">
        <v>0.6</v>
      </c>
      <c r="BA172" s="48">
        <v>0.7</v>
      </c>
      <c r="BB172" s="48" t="s">
        <v>39</v>
      </c>
      <c r="BC172" s="48" t="s">
        <v>39</v>
      </c>
      <c r="BD172" s="48">
        <v>0.7</v>
      </c>
      <c r="BE172" s="48" t="s">
        <v>39</v>
      </c>
      <c r="BF172" s="48" t="s">
        <v>39</v>
      </c>
      <c r="BG172" s="48">
        <v>0.7</v>
      </c>
    </row>
    <row r="173" spans="1:59" s="55" customFormat="1" ht="11.25" customHeight="1">
      <c r="A173" s="95" t="s">
        <v>688</v>
      </c>
      <c r="B173" s="94"/>
      <c r="C173" s="94"/>
      <c r="D173" s="94"/>
      <c r="E173" s="94" t="s">
        <v>4636</v>
      </c>
      <c r="F173" s="94" t="s">
        <v>4626</v>
      </c>
      <c r="G173" s="91"/>
      <c r="H173" s="94" t="s">
        <v>39</v>
      </c>
      <c r="I173" s="94"/>
      <c r="J173" s="94" t="s">
        <v>39</v>
      </c>
      <c r="K173" s="94"/>
      <c r="L173" s="94" t="s">
        <v>39</v>
      </c>
      <c r="M173" s="94" t="s">
        <v>1016</v>
      </c>
      <c r="N173" s="94"/>
      <c r="O173" s="94" t="s">
        <v>39</v>
      </c>
      <c r="P173" s="94"/>
      <c r="Q173" s="94"/>
      <c r="R173" s="94" t="s">
        <v>39</v>
      </c>
      <c r="S173" s="94"/>
      <c r="T173" s="94"/>
      <c r="U173" s="94"/>
      <c r="V173" s="94" t="s">
        <v>39</v>
      </c>
      <c r="W173" s="94" t="s">
        <v>1792</v>
      </c>
      <c r="X173" s="94" t="s">
        <v>1794</v>
      </c>
      <c r="Y173" s="94" t="s">
        <v>39</v>
      </c>
      <c r="Z173" s="94" t="s">
        <v>1088</v>
      </c>
      <c r="AA173" s="91"/>
      <c r="AB173" s="94"/>
      <c r="AC173" s="94"/>
      <c r="AD173" s="94"/>
      <c r="AE173" s="94" t="s">
        <v>39</v>
      </c>
      <c r="AF173" s="94"/>
      <c r="AG173" s="91"/>
      <c r="AH173" s="91"/>
      <c r="AI173" s="94"/>
      <c r="AJ173" s="94"/>
      <c r="AK173" s="94" t="s">
        <v>1170</v>
      </c>
      <c r="AL173" s="91" t="s">
        <v>39</v>
      </c>
      <c r="AM173" s="94" t="s">
        <v>1223</v>
      </c>
      <c r="AN173" s="94" t="s">
        <v>1170</v>
      </c>
      <c r="AO173" s="94" t="s">
        <v>1223</v>
      </c>
      <c r="AP173" s="94"/>
      <c r="AQ173" s="91"/>
      <c r="AR173" s="94"/>
      <c r="AS173" s="94" t="s">
        <v>39</v>
      </c>
      <c r="AT173" s="91"/>
      <c r="AU173" s="94"/>
      <c r="AV173" s="94" t="s">
        <v>39</v>
      </c>
      <c r="AW173" s="94" t="s">
        <v>39</v>
      </c>
      <c r="AX173" s="94"/>
      <c r="AY173" s="94"/>
      <c r="AZ173" s="94" t="s">
        <v>1283</v>
      </c>
      <c r="BA173" s="94" t="s">
        <v>1283</v>
      </c>
      <c r="BB173" s="91"/>
      <c r="BC173" s="91" t="s">
        <v>39</v>
      </c>
      <c r="BD173" s="94"/>
      <c r="BE173" s="94" t="s">
        <v>39</v>
      </c>
      <c r="BF173" s="94" t="s">
        <v>39</v>
      </c>
      <c r="BG173" s="94"/>
    </row>
    <row r="174" spans="1:59" s="55" customFormat="1" ht="22.5" customHeight="1">
      <c r="A174" s="53" t="s">
        <v>12</v>
      </c>
      <c r="B174" s="64">
        <v>0.7</v>
      </c>
      <c r="C174" s="64">
        <v>0.7</v>
      </c>
      <c r="D174" s="64" t="s">
        <v>4484</v>
      </c>
      <c r="E174" s="48" t="s">
        <v>4627</v>
      </c>
      <c r="F174" s="48" t="s">
        <v>3127</v>
      </c>
      <c r="G174" s="64">
        <v>0.7</v>
      </c>
      <c r="H174" s="48">
        <v>0.75</v>
      </c>
      <c r="I174" s="48">
        <v>0.75</v>
      </c>
      <c r="J174" s="48">
        <v>0.75</v>
      </c>
      <c r="K174" s="64">
        <v>0.75</v>
      </c>
      <c r="L174" s="48">
        <v>0.75</v>
      </c>
      <c r="M174" s="64" t="s">
        <v>39</v>
      </c>
      <c r="N174" s="48">
        <v>0.9</v>
      </c>
      <c r="O174" s="48">
        <v>0.7</v>
      </c>
      <c r="P174" s="48">
        <v>0.8</v>
      </c>
      <c r="Q174" s="48">
        <v>0.7</v>
      </c>
      <c r="R174" s="48">
        <v>0.7</v>
      </c>
      <c r="S174" s="64">
        <v>0.7</v>
      </c>
      <c r="T174" s="48">
        <v>0.8</v>
      </c>
      <c r="U174" s="48">
        <v>0.8</v>
      </c>
      <c r="V174" s="48">
        <v>0.7</v>
      </c>
      <c r="W174" s="48">
        <v>0.7</v>
      </c>
      <c r="X174" s="48">
        <v>0.75</v>
      </c>
      <c r="Y174" s="64">
        <v>0.8</v>
      </c>
      <c r="Z174" s="64">
        <v>0.8</v>
      </c>
      <c r="AA174" s="18">
        <v>0.75</v>
      </c>
      <c r="AB174" s="48">
        <v>0.8</v>
      </c>
      <c r="AC174" s="48" t="s">
        <v>974</v>
      </c>
      <c r="AD174" s="48" t="s">
        <v>989</v>
      </c>
      <c r="AE174" s="48">
        <v>0.75</v>
      </c>
      <c r="AF174" s="48">
        <v>0.75</v>
      </c>
      <c r="AG174" s="48">
        <v>1</v>
      </c>
      <c r="AH174" s="48">
        <v>1</v>
      </c>
      <c r="AI174" s="48">
        <v>0.75</v>
      </c>
      <c r="AJ174" s="48">
        <v>0.8</v>
      </c>
      <c r="AK174" s="48">
        <v>0.8</v>
      </c>
      <c r="AL174" s="49" t="s">
        <v>4669</v>
      </c>
      <c r="AM174" s="48">
        <v>0.8</v>
      </c>
      <c r="AN174" s="48">
        <v>0.8</v>
      </c>
      <c r="AO174" s="48">
        <v>0.8</v>
      </c>
      <c r="AP174" s="48">
        <v>0.7</v>
      </c>
      <c r="AQ174" s="48">
        <v>0.75</v>
      </c>
      <c r="AR174" s="64">
        <v>0.7</v>
      </c>
      <c r="AS174" s="48">
        <v>0.7</v>
      </c>
      <c r="AT174" s="64">
        <v>0.7</v>
      </c>
      <c r="AU174" s="64">
        <v>0.7</v>
      </c>
      <c r="AV174" s="48">
        <v>0.7</v>
      </c>
      <c r="AW174" s="48">
        <v>0.7</v>
      </c>
      <c r="AX174" s="48">
        <v>0.75</v>
      </c>
      <c r="AY174" s="48">
        <v>0.8</v>
      </c>
      <c r="AZ174" s="48">
        <v>0.75</v>
      </c>
      <c r="BA174" s="48">
        <v>0.8</v>
      </c>
      <c r="BB174" s="48">
        <v>0.7</v>
      </c>
      <c r="BC174" s="48">
        <v>0.7</v>
      </c>
      <c r="BD174" s="48">
        <v>0.8</v>
      </c>
      <c r="BE174" s="48">
        <v>0.7</v>
      </c>
      <c r="BF174" s="48">
        <v>0.8</v>
      </c>
      <c r="BG174" s="48">
        <v>0.7</v>
      </c>
    </row>
    <row r="175" spans="1:59" s="55" customFormat="1" ht="11.25" customHeight="1">
      <c r="A175" s="95" t="s">
        <v>688</v>
      </c>
      <c r="B175" s="94"/>
      <c r="C175" s="94"/>
      <c r="D175" s="94"/>
      <c r="E175" s="94" t="s">
        <v>4636</v>
      </c>
      <c r="F175" s="94" t="s">
        <v>4626</v>
      </c>
      <c r="G175" s="91"/>
      <c r="H175" s="94" t="s">
        <v>2025</v>
      </c>
      <c r="I175" s="94"/>
      <c r="J175" s="94" t="s">
        <v>2633</v>
      </c>
      <c r="K175" s="94"/>
      <c r="L175" s="94" t="s">
        <v>1525</v>
      </c>
      <c r="M175" s="94" t="s">
        <v>39</v>
      </c>
      <c r="N175" s="94"/>
      <c r="O175" s="94" t="s">
        <v>1381</v>
      </c>
      <c r="P175" s="94"/>
      <c r="Q175" s="94"/>
      <c r="R175" s="94" t="s">
        <v>2795</v>
      </c>
      <c r="S175" s="94"/>
      <c r="T175" s="94"/>
      <c r="U175" s="94"/>
      <c r="V175" s="94" t="s">
        <v>1381</v>
      </c>
      <c r="W175" s="94" t="s">
        <v>1792</v>
      </c>
      <c r="X175" s="94" t="s">
        <v>1794</v>
      </c>
      <c r="Y175" s="94" t="s">
        <v>762</v>
      </c>
      <c r="Z175" s="94" t="s">
        <v>1088</v>
      </c>
      <c r="AA175" s="91"/>
      <c r="AB175" s="94"/>
      <c r="AC175" s="94"/>
      <c r="AD175" s="94"/>
      <c r="AE175" s="94" t="s">
        <v>1169</v>
      </c>
      <c r="AF175" s="94"/>
      <c r="AG175" s="91"/>
      <c r="AH175" s="91"/>
      <c r="AI175" s="94"/>
      <c r="AJ175" s="94"/>
      <c r="AK175" s="94" t="s">
        <v>1170</v>
      </c>
      <c r="AL175" s="91" t="s">
        <v>39</v>
      </c>
      <c r="AM175" s="94" t="s">
        <v>1223</v>
      </c>
      <c r="AN175" s="94" t="s">
        <v>1170</v>
      </c>
      <c r="AO175" s="94" t="s">
        <v>1223</v>
      </c>
      <c r="AP175" s="94"/>
      <c r="AQ175" s="91"/>
      <c r="AR175" s="94"/>
      <c r="AS175" s="94" t="s">
        <v>1704</v>
      </c>
      <c r="AT175" s="91"/>
      <c r="AU175" s="94"/>
      <c r="AV175" s="94" t="s">
        <v>869</v>
      </c>
      <c r="AW175" s="94" t="s">
        <v>869</v>
      </c>
      <c r="AX175" s="94"/>
      <c r="AY175" s="94"/>
      <c r="AZ175" s="94" t="s">
        <v>1283</v>
      </c>
      <c r="BA175" s="94" t="s">
        <v>1283</v>
      </c>
      <c r="BB175" s="91"/>
      <c r="BC175" s="91" t="s">
        <v>1381</v>
      </c>
      <c r="BD175" s="94"/>
      <c r="BE175" s="94" t="s">
        <v>918</v>
      </c>
      <c r="BF175" s="94" t="s">
        <v>958</v>
      </c>
      <c r="BG175" s="94"/>
    </row>
    <row r="176" spans="1:59" s="55" customFormat="1" ht="22.5" customHeight="1">
      <c r="A176" s="53" t="s">
        <v>13</v>
      </c>
      <c r="B176" s="64">
        <v>0.6</v>
      </c>
      <c r="C176" s="64">
        <v>0.6</v>
      </c>
      <c r="D176" s="64"/>
      <c r="E176" s="48" t="s">
        <v>4628</v>
      </c>
      <c r="F176" s="48">
        <v>0.8</v>
      </c>
      <c r="G176" s="64">
        <v>0.6</v>
      </c>
      <c r="H176" s="48">
        <v>0.75</v>
      </c>
      <c r="I176" s="48">
        <v>0.75</v>
      </c>
      <c r="J176" s="48">
        <v>0.75</v>
      </c>
      <c r="K176" s="64">
        <v>0.65</v>
      </c>
      <c r="L176" s="48">
        <v>0.65</v>
      </c>
      <c r="M176" s="64" t="s">
        <v>39</v>
      </c>
      <c r="N176" s="48">
        <v>0.8</v>
      </c>
      <c r="O176" s="48">
        <v>0.6</v>
      </c>
      <c r="P176" s="48">
        <v>0.75</v>
      </c>
      <c r="Q176" s="48">
        <v>0.6</v>
      </c>
      <c r="R176" s="48">
        <v>0.6</v>
      </c>
      <c r="S176" s="64">
        <v>0.6</v>
      </c>
      <c r="T176" s="48">
        <v>0.7</v>
      </c>
      <c r="U176" s="48">
        <v>0.7</v>
      </c>
      <c r="V176" s="48">
        <v>0.6</v>
      </c>
      <c r="W176" s="48">
        <v>0.7</v>
      </c>
      <c r="X176" s="48">
        <v>0.75</v>
      </c>
      <c r="Y176" s="64">
        <v>0.75</v>
      </c>
      <c r="Z176" s="64">
        <v>0.75</v>
      </c>
      <c r="AA176" s="18">
        <v>0.65</v>
      </c>
      <c r="AB176" s="48">
        <v>0.75</v>
      </c>
      <c r="AC176" s="48" t="s">
        <v>974</v>
      </c>
      <c r="AD176" s="48" t="s">
        <v>989</v>
      </c>
      <c r="AE176" s="48">
        <v>0.75</v>
      </c>
      <c r="AF176" s="48">
        <v>0.75</v>
      </c>
      <c r="AG176" s="48" t="s">
        <v>234</v>
      </c>
      <c r="AH176" s="48" t="s">
        <v>234</v>
      </c>
      <c r="AI176" s="48">
        <v>0.65</v>
      </c>
      <c r="AJ176" s="48">
        <v>0.7</v>
      </c>
      <c r="AK176" s="48">
        <v>0.75</v>
      </c>
      <c r="AL176" s="49" t="s">
        <v>4669</v>
      </c>
      <c r="AM176" s="48">
        <v>0.7</v>
      </c>
      <c r="AN176" s="48">
        <v>0.75</v>
      </c>
      <c r="AO176" s="48">
        <v>0.7</v>
      </c>
      <c r="AP176" s="48">
        <v>0.7</v>
      </c>
      <c r="AQ176" s="48">
        <v>0.7</v>
      </c>
      <c r="AR176" s="64">
        <v>0.7</v>
      </c>
      <c r="AS176" s="48">
        <v>0.6</v>
      </c>
      <c r="AT176" s="64">
        <v>0.6</v>
      </c>
      <c r="AU176" s="64">
        <v>0.6</v>
      </c>
      <c r="AV176" s="48">
        <v>0.6</v>
      </c>
      <c r="AW176" s="48">
        <v>0.6</v>
      </c>
      <c r="AX176" s="48">
        <v>0.75</v>
      </c>
      <c r="AY176" s="48">
        <v>0.8</v>
      </c>
      <c r="AZ176" s="48">
        <v>0.65</v>
      </c>
      <c r="BA176" s="48">
        <v>0.75</v>
      </c>
      <c r="BB176" s="48">
        <v>0.6</v>
      </c>
      <c r="BC176" s="48">
        <v>0.6</v>
      </c>
      <c r="BD176" s="48">
        <v>0.75</v>
      </c>
      <c r="BE176" s="48">
        <v>0.6</v>
      </c>
      <c r="BF176" s="48">
        <v>0.7</v>
      </c>
      <c r="BG176" s="48">
        <v>0.7</v>
      </c>
    </row>
    <row r="177" spans="1:59" s="55" customFormat="1" ht="11.25" customHeight="1">
      <c r="A177" s="95" t="s">
        <v>688</v>
      </c>
      <c r="B177" s="94"/>
      <c r="C177" s="94"/>
      <c r="D177" s="94"/>
      <c r="E177" s="94" t="s">
        <v>4636</v>
      </c>
      <c r="F177" s="94" t="s">
        <v>4626</v>
      </c>
      <c r="G177" s="91"/>
      <c r="H177" s="94" t="s">
        <v>2025</v>
      </c>
      <c r="I177" s="94"/>
      <c r="J177" s="94" t="s">
        <v>2633</v>
      </c>
      <c r="K177" s="94"/>
      <c r="L177" s="94" t="s">
        <v>1525</v>
      </c>
      <c r="M177" s="94" t="s">
        <v>39</v>
      </c>
      <c r="N177" s="94"/>
      <c r="O177" s="94" t="s">
        <v>1381</v>
      </c>
      <c r="P177" s="94"/>
      <c r="Q177" s="94"/>
      <c r="R177" s="94" t="s">
        <v>2792</v>
      </c>
      <c r="S177" s="94"/>
      <c r="T177" s="94"/>
      <c r="U177" s="94"/>
      <c r="V177" s="94" t="s">
        <v>1381</v>
      </c>
      <c r="W177" s="94" t="s">
        <v>1792</v>
      </c>
      <c r="X177" s="94" t="s">
        <v>1794</v>
      </c>
      <c r="Y177" s="94" t="s">
        <v>762</v>
      </c>
      <c r="Z177" s="94" t="s">
        <v>1088</v>
      </c>
      <c r="AA177" s="91"/>
      <c r="AB177" s="94"/>
      <c r="AC177" s="94"/>
      <c r="AD177" s="94"/>
      <c r="AE177" s="94" t="s">
        <v>1169</v>
      </c>
      <c r="AF177" s="94"/>
      <c r="AG177" s="91"/>
      <c r="AH177" s="91"/>
      <c r="AI177" s="94"/>
      <c r="AJ177" s="94"/>
      <c r="AK177" s="94" t="s">
        <v>1170</v>
      </c>
      <c r="AL177" s="91" t="s">
        <v>39</v>
      </c>
      <c r="AM177" s="94" t="s">
        <v>1223</v>
      </c>
      <c r="AN177" s="94" t="s">
        <v>1170</v>
      </c>
      <c r="AO177" s="94" t="s">
        <v>1223</v>
      </c>
      <c r="AP177" s="94"/>
      <c r="AQ177" s="91"/>
      <c r="AR177" s="94"/>
      <c r="AS177" s="94" t="s">
        <v>1704</v>
      </c>
      <c r="AT177" s="91"/>
      <c r="AU177" s="94"/>
      <c r="AV177" s="94" t="s">
        <v>869</v>
      </c>
      <c r="AW177" s="94" t="s">
        <v>869</v>
      </c>
      <c r="AX177" s="94"/>
      <c r="AY177" s="94"/>
      <c r="AZ177" s="94" t="s">
        <v>1283</v>
      </c>
      <c r="BA177" s="94" t="s">
        <v>1283</v>
      </c>
      <c r="BB177" s="91"/>
      <c r="BC177" s="91" t="s">
        <v>1381</v>
      </c>
      <c r="BD177" s="94"/>
      <c r="BE177" s="94" t="s">
        <v>918</v>
      </c>
      <c r="BF177" s="94" t="s">
        <v>958</v>
      </c>
      <c r="BG177" s="94"/>
    </row>
    <row r="178" spans="1:59" s="55" customFormat="1" ht="22.5" customHeight="1">
      <c r="A178" s="53" t="s">
        <v>169</v>
      </c>
      <c r="B178" s="64">
        <v>0.5</v>
      </c>
      <c r="C178" s="64">
        <v>0.5</v>
      </c>
      <c r="D178" s="64"/>
      <c r="E178" s="48" t="s">
        <v>4629</v>
      </c>
      <c r="F178" s="48">
        <v>0.75</v>
      </c>
      <c r="G178" s="64">
        <v>0.5</v>
      </c>
      <c r="H178" s="48">
        <v>0.65</v>
      </c>
      <c r="I178" s="48">
        <v>0.65</v>
      </c>
      <c r="J178" s="48">
        <v>0.65</v>
      </c>
      <c r="K178" s="64">
        <v>0.55000000000000004</v>
      </c>
      <c r="L178" s="48">
        <v>0.55000000000000004</v>
      </c>
      <c r="M178" s="64" t="s">
        <v>39</v>
      </c>
      <c r="N178" s="48">
        <v>0.7</v>
      </c>
      <c r="O178" s="48">
        <v>0.5</v>
      </c>
      <c r="P178" s="48">
        <v>0.65</v>
      </c>
      <c r="Q178" s="48">
        <v>0.5</v>
      </c>
      <c r="R178" s="48">
        <v>0.5</v>
      </c>
      <c r="S178" s="64">
        <v>0.5</v>
      </c>
      <c r="T178" s="48">
        <v>0.6</v>
      </c>
      <c r="U178" s="48">
        <v>0.6</v>
      </c>
      <c r="V178" s="48">
        <v>0.5</v>
      </c>
      <c r="W178" s="48">
        <v>0.55000000000000004</v>
      </c>
      <c r="X178" s="48">
        <v>0.65</v>
      </c>
      <c r="Y178" s="64">
        <v>0.65</v>
      </c>
      <c r="Z178" s="64">
        <v>0.65</v>
      </c>
      <c r="AA178" s="18">
        <v>0.55000000000000004</v>
      </c>
      <c r="AB178" s="48">
        <v>0.65</v>
      </c>
      <c r="AC178" s="48" t="s">
        <v>974</v>
      </c>
      <c r="AD178" s="48" t="s">
        <v>989</v>
      </c>
      <c r="AE178" s="48">
        <v>0.75</v>
      </c>
      <c r="AF178" s="48">
        <v>0.75</v>
      </c>
      <c r="AG178" s="48" t="s">
        <v>234</v>
      </c>
      <c r="AH178" s="48" t="s">
        <v>234</v>
      </c>
      <c r="AI178" s="48">
        <v>0.55000000000000004</v>
      </c>
      <c r="AJ178" s="48">
        <v>0.6</v>
      </c>
      <c r="AK178" s="48">
        <v>0.65</v>
      </c>
      <c r="AL178" s="49" t="s">
        <v>4669</v>
      </c>
      <c r="AM178" s="48">
        <v>0.6</v>
      </c>
      <c r="AN178" s="48">
        <v>0.65</v>
      </c>
      <c r="AO178" s="48">
        <v>0.6</v>
      </c>
      <c r="AP178" s="48">
        <v>0.7</v>
      </c>
      <c r="AQ178" s="48">
        <v>0.65</v>
      </c>
      <c r="AR178" s="64">
        <v>0.7</v>
      </c>
      <c r="AS178" s="48">
        <v>0.5</v>
      </c>
      <c r="AT178" s="64">
        <v>0.5</v>
      </c>
      <c r="AU178" s="64">
        <v>0.5</v>
      </c>
      <c r="AV178" s="48">
        <v>0.5</v>
      </c>
      <c r="AW178" s="48">
        <v>0.5</v>
      </c>
      <c r="AX178" s="48">
        <v>0.75</v>
      </c>
      <c r="AY178" s="48">
        <v>0.8</v>
      </c>
      <c r="AZ178" s="48">
        <v>0.55000000000000004</v>
      </c>
      <c r="BA178" s="48">
        <v>0.7</v>
      </c>
      <c r="BB178" s="48">
        <v>0.5</v>
      </c>
      <c r="BC178" s="48">
        <v>0.5</v>
      </c>
      <c r="BD178" s="48">
        <v>0.65</v>
      </c>
      <c r="BE178" s="48">
        <v>0.5</v>
      </c>
      <c r="BF178" s="48">
        <v>0.6</v>
      </c>
      <c r="BG178" s="48">
        <v>0.7</v>
      </c>
    </row>
    <row r="179" spans="1:59" s="55" customFormat="1" ht="11.25" customHeight="1">
      <c r="A179" s="95" t="s">
        <v>688</v>
      </c>
      <c r="B179" s="94"/>
      <c r="C179" s="94"/>
      <c r="D179" s="94"/>
      <c r="E179" s="94" t="s">
        <v>4636</v>
      </c>
      <c r="F179" s="94" t="s">
        <v>4626</v>
      </c>
      <c r="G179" s="91"/>
      <c r="H179" s="94" t="s">
        <v>2025</v>
      </c>
      <c r="I179" s="94"/>
      <c r="J179" s="94" t="s">
        <v>2633</v>
      </c>
      <c r="K179" s="94"/>
      <c r="L179" s="94" t="s">
        <v>1525</v>
      </c>
      <c r="M179" s="94" t="s">
        <v>39</v>
      </c>
      <c r="N179" s="94"/>
      <c r="O179" s="94" t="s">
        <v>1381</v>
      </c>
      <c r="P179" s="94"/>
      <c r="Q179" s="94"/>
      <c r="R179" s="94" t="s">
        <v>2792</v>
      </c>
      <c r="S179" s="94"/>
      <c r="T179" s="94"/>
      <c r="U179" s="94"/>
      <c r="V179" s="94" t="s">
        <v>1381</v>
      </c>
      <c r="W179" s="94" t="s">
        <v>1792</v>
      </c>
      <c r="X179" s="94" t="s">
        <v>1794</v>
      </c>
      <c r="Y179" s="94" t="s">
        <v>762</v>
      </c>
      <c r="Z179" s="94" t="s">
        <v>1088</v>
      </c>
      <c r="AA179" s="91"/>
      <c r="AB179" s="94"/>
      <c r="AC179" s="94"/>
      <c r="AD179" s="94"/>
      <c r="AE179" s="94" t="s">
        <v>1169</v>
      </c>
      <c r="AF179" s="94"/>
      <c r="AG179" s="91"/>
      <c r="AH179" s="91"/>
      <c r="AI179" s="94"/>
      <c r="AJ179" s="94"/>
      <c r="AK179" s="94" t="s">
        <v>1170</v>
      </c>
      <c r="AL179" s="91" t="s">
        <v>39</v>
      </c>
      <c r="AM179" s="94" t="s">
        <v>1223</v>
      </c>
      <c r="AN179" s="94" t="s">
        <v>1170</v>
      </c>
      <c r="AO179" s="94" t="s">
        <v>1223</v>
      </c>
      <c r="AP179" s="94"/>
      <c r="AQ179" s="91"/>
      <c r="AR179" s="94"/>
      <c r="AS179" s="94" t="s">
        <v>1704</v>
      </c>
      <c r="AT179" s="91"/>
      <c r="AU179" s="94"/>
      <c r="AV179" s="94" t="s">
        <v>869</v>
      </c>
      <c r="AW179" s="94" t="s">
        <v>869</v>
      </c>
      <c r="AX179" s="94"/>
      <c r="AY179" s="94"/>
      <c r="AZ179" s="94" t="s">
        <v>1283</v>
      </c>
      <c r="BA179" s="94" t="s">
        <v>1283</v>
      </c>
      <c r="BB179" s="91"/>
      <c r="BC179" s="91" t="s">
        <v>1381</v>
      </c>
      <c r="BD179" s="94"/>
      <c r="BE179" s="94" t="s">
        <v>918</v>
      </c>
      <c r="BF179" s="94" t="s">
        <v>958</v>
      </c>
      <c r="BG179" s="94"/>
    </row>
    <row r="180" spans="1:59" s="55" customFormat="1" ht="22.5" customHeight="1">
      <c r="A180" s="53" t="s">
        <v>14</v>
      </c>
      <c r="B180" s="64">
        <v>0.45</v>
      </c>
      <c r="C180" s="64">
        <v>0.45</v>
      </c>
      <c r="D180" s="64"/>
      <c r="E180" s="48">
        <v>0.7</v>
      </c>
      <c r="F180" s="48">
        <v>0.7</v>
      </c>
      <c r="G180" s="64">
        <v>0.45</v>
      </c>
      <c r="H180" s="48">
        <v>0.6</v>
      </c>
      <c r="I180" s="48">
        <v>0.6</v>
      </c>
      <c r="J180" s="48">
        <v>0.6</v>
      </c>
      <c r="K180" s="64">
        <v>0.5</v>
      </c>
      <c r="L180" s="48">
        <v>0.5</v>
      </c>
      <c r="M180" s="64" t="s">
        <v>39</v>
      </c>
      <c r="N180" s="48">
        <v>0.65</v>
      </c>
      <c r="O180" s="48">
        <v>0.45</v>
      </c>
      <c r="P180" s="48">
        <v>0.6</v>
      </c>
      <c r="Q180" s="48">
        <v>0.45</v>
      </c>
      <c r="R180" s="48">
        <v>0.45</v>
      </c>
      <c r="S180" s="64">
        <v>0.45</v>
      </c>
      <c r="T180" s="48">
        <v>0.55000000000000004</v>
      </c>
      <c r="U180" s="48">
        <v>0.55000000000000004</v>
      </c>
      <c r="V180" s="48">
        <v>0.45</v>
      </c>
      <c r="W180" s="48">
        <v>0.5</v>
      </c>
      <c r="X180" s="48">
        <v>0.6</v>
      </c>
      <c r="Y180" s="64">
        <v>0.6</v>
      </c>
      <c r="Z180" s="64">
        <v>0.6</v>
      </c>
      <c r="AA180" s="18">
        <v>0.5</v>
      </c>
      <c r="AB180" s="48">
        <v>0.6</v>
      </c>
      <c r="AC180" s="48" t="s">
        <v>974</v>
      </c>
      <c r="AD180" s="48" t="s">
        <v>989</v>
      </c>
      <c r="AE180" s="48">
        <v>0.75</v>
      </c>
      <c r="AF180" s="48">
        <v>0.75</v>
      </c>
      <c r="AG180" s="48" t="s">
        <v>234</v>
      </c>
      <c r="AH180" s="48" t="s">
        <v>234</v>
      </c>
      <c r="AI180" s="48">
        <v>0.5</v>
      </c>
      <c r="AJ180" s="48">
        <v>0.5</v>
      </c>
      <c r="AK180" s="48">
        <v>0.6</v>
      </c>
      <c r="AL180" s="49" t="s">
        <v>4669</v>
      </c>
      <c r="AM180" s="48">
        <v>0.55000000000000004</v>
      </c>
      <c r="AN180" s="48">
        <v>0.6</v>
      </c>
      <c r="AO180" s="48">
        <v>0.55000000000000004</v>
      </c>
      <c r="AP180" s="48">
        <v>0.7</v>
      </c>
      <c r="AQ180" s="48">
        <v>0.6</v>
      </c>
      <c r="AR180" s="64">
        <v>0.7</v>
      </c>
      <c r="AS180" s="48">
        <v>0.45</v>
      </c>
      <c r="AT180" s="64">
        <v>0.45</v>
      </c>
      <c r="AU180" s="64">
        <v>0.45</v>
      </c>
      <c r="AV180" s="48">
        <v>0.45</v>
      </c>
      <c r="AW180" s="48">
        <v>0.45</v>
      </c>
      <c r="AX180" s="48">
        <v>0.75</v>
      </c>
      <c r="AY180" s="48">
        <v>0.8</v>
      </c>
      <c r="AZ180" s="48">
        <v>0.5</v>
      </c>
      <c r="BA180" s="48">
        <v>0.65</v>
      </c>
      <c r="BB180" s="48">
        <v>0.45</v>
      </c>
      <c r="BC180" s="48">
        <v>0.45</v>
      </c>
      <c r="BD180" s="48">
        <v>0.6</v>
      </c>
      <c r="BE180" s="48">
        <v>0.45</v>
      </c>
      <c r="BF180" s="48">
        <v>0.55000000000000004</v>
      </c>
      <c r="BG180" s="48">
        <v>0.7</v>
      </c>
    </row>
    <row r="181" spans="1:59" s="55" customFormat="1" ht="11.25" customHeight="1">
      <c r="A181" s="95" t="s">
        <v>688</v>
      </c>
      <c r="B181" s="94"/>
      <c r="C181" s="94"/>
      <c r="D181" s="94"/>
      <c r="E181" s="94" t="s">
        <v>4636</v>
      </c>
      <c r="F181" s="94" t="s">
        <v>4626</v>
      </c>
      <c r="G181" s="91"/>
      <c r="H181" s="94" t="s">
        <v>2025</v>
      </c>
      <c r="I181" s="94"/>
      <c r="J181" s="94" t="s">
        <v>2633</v>
      </c>
      <c r="K181" s="94"/>
      <c r="L181" s="94" t="s">
        <v>1525</v>
      </c>
      <c r="M181" s="94" t="s">
        <v>39</v>
      </c>
      <c r="N181" s="94"/>
      <c r="O181" s="94" t="s">
        <v>1381</v>
      </c>
      <c r="P181" s="94"/>
      <c r="Q181" s="94"/>
      <c r="R181" s="94" t="s">
        <v>2792</v>
      </c>
      <c r="S181" s="94"/>
      <c r="T181" s="94"/>
      <c r="U181" s="94"/>
      <c r="V181" s="94" t="s">
        <v>1381</v>
      </c>
      <c r="W181" s="94" t="s">
        <v>1792</v>
      </c>
      <c r="X181" s="94" t="s">
        <v>1794</v>
      </c>
      <c r="Y181" s="94" t="s">
        <v>762</v>
      </c>
      <c r="Z181" s="94" t="s">
        <v>1088</v>
      </c>
      <c r="AA181" s="91"/>
      <c r="AB181" s="94"/>
      <c r="AC181" s="94"/>
      <c r="AD181" s="94"/>
      <c r="AE181" s="94" t="s">
        <v>1169</v>
      </c>
      <c r="AF181" s="94"/>
      <c r="AG181" s="91"/>
      <c r="AH181" s="91"/>
      <c r="AI181" s="94"/>
      <c r="AJ181" s="94"/>
      <c r="AK181" s="94" t="s">
        <v>1170</v>
      </c>
      <c r="AL181" s="91" t="s">
        <v>39</v>
      </c>
      <c r="AM181" s="94" t="s">
        <v>1223</v>
      </c>
      <c r="AN181" s="94" t="s">
        <v>1170</v>
      </c>
      <c r="AO181" s="94" t="s">
        <v>1223</v>
      </c>
      <c r="AP181" s="94"/>
      <c r="AQ181" s="91"/>
      <c r="AR181" s="94"/>
      <c r="AS181" s="94" t="s">
        <v>1704</v>
      </c>
      <c r="AT181" s="91"/>
      <c r="AU181" s="94"/>
      <c r="AV181" s="94" t="s">
        <v>869</v>
      </c>
      <c r="AW181" s="94" t="s">
        <v>869</v>
      </c>
      <c r="AX181" s="94"/>
      <c r="AY181" s="94"/>
      <c r="AZ181" s="94" t="s">
        <v>1283</v>
      </c>
      <c r="BA181" s="94" t="s">
        <v>1283</v>
      </c>
      <c r="BB181" s="91"/>
      <c r="BC181" s="91" t="s">
        <v>1381</v>
      </c>
      <c r="BD181" s="94"/>
      <c r="BE181" s="94" t="s">
        <v>918</v>
      </c>
      <c r="BF181" s="94" t="s">
        <v>958</v>
      </c>
      <c r="BG181" s="94"/>
    </row>
    <row r="182" spans="1:59" s="55" customFormat="1" ht="22.5" customHeight="1">
      <c r="A182" s="53" t="s">
        <v>15</v>
      </c>
      <c r="B182" s="64">
        <v>0.4</v>
      </c>
      <c r="C182" s="64">
        <v>0.4</v>
      </c>
      <c r="D182" s="64" t="s">
        <v>4485</v>
      </c>
      <c r="E182" s="48" t="s">
        <v>4634</v>
      </c>
      <c r="F182" s="48" t="s">
        <v>4625</v>
      </c>
      <c r="G182" s="64">
        <v>0.4</v>
      </c>
      <c r="H182" s="48">
        <v>0.5</v>
      </c>
      <c r="I182" s="48">
        <v>0.5</v>
      </c>
      <c r="J182" s="48">
        <v>0.5</v>
      </c>
      <c r="K182" s="64">
        <v>0.45</v>
      </c>
      <c r="L182" s="48">
        <v>0.45</v>
      </c>
      <c r="M182" s="64">
        <v>0.8</v>
      </c>
      <c r="N182" s="48">
        <v>0.6</v>
      </c>
      <c r="O182" s="48">
        <v>0.4</v>
      </c>
      <c r="P182" s="48">
        <v>0.5</v>
      </c>
      <c r="Q182" s="48">
        <v>0.4</v>
      </c>
      <c r="R182" s="48">
        <v>0.7</v>
      </c>
      <c r="S182" s="64">
        <v>0.4</v>
      </c>
      <c r="T182" s="48">
        <v>0.5</v>
      </c>
      <c r="U182" s="48">
        <v>0.5</v>
      </c>
      <c r="V182" s="48">
        <v>0.4</v>
      </c>
      <c r="W182" s="48">
        <v>0.5</v>
      </c>
      <c r="X182" s="48">
        <v>0.5</v>
      </c>
      <c r="Y182" s="64">
        <v>0.6</v>
      </c>
      <c r="Z182" s="64">
        <v>0.5</v>
      </c>
      <c r="AA182" s="18">
        <v>0.45</v>
      </c>
      <c r="AB182" s="48">
        <v>0.6</v>
      </c>
      <c r="AC182" s="48" t="s">
        <v>979</v>
      </c>
      <c r="AD182" s="48" t="s">
        <v>994</v>
      </c>
      <c r="AE182" s="48">
        <v>0.5</v>
      </c>
      <c r="AF182" s="48">
        <v>0.5</v>
      </c>
      <c r="AG182" s="48">
        <v>0.8</v>
      </c>
      <c r="AH182" s="48">
        <v>0.8</v>
      </c>
      <c r="AI182" s="48">
        <v>0.4</v>
      </c>
      <c r="AJ182" s="48">
        <v>0.45</v>
      </c>
      <c r="AK182" s="48">
        <v>0.5</v>
      </c>
      <c r="AL182" s="49" t="s">
        <v>4669</v>
      </c>
      <c r="AM182" s="48">
        <v>0.5</v>
      </c>
      <c r="AN182" s="48">
        <v>0.5</v>
      </c>
      <c r="AO182" s="48">
        <v>0.5</v>
      </c>
      <c r="AP182" s="48">
        <v>0.7</v>
      </c>
      <c r="AQ182" s="48">
        <v>0.5</v>
      </c>
      <c r="AR182" s="64">
        <v>0.7</v>
      </c>
      <c r="AS182" s="48">
        <v>0.4</v>
      </c>
      <c r="AT182" s="64">
        <v>0.4</v>
      </c>
      <c r="AU182" s="64">
        <v>0.4</v>
      </c>
      <c r="AV182" s="48">
        <v>0.4</v>
      </c>
      <c r="AW182" s="48">
        <v>0.4</v>
      </c>
      <c r="AX182" s="48">
        <v>0.45</v>
      </c>
      <c r="AY182" s="48">
        <v>0.55000000000000004</v>
      </c>
      <c r="AZ182" s="48">
        <v>0.45</v>
      </c>
      <c r="BA182" s="48">
        <v>0.55000000000000004</v>
      </c>
      <c r="BB182" s="48">
        <v>0.4</v>
      </c>
      <c r="BC182" s="48">
        <v>0.4</v>
      </c>
      <c r="BD182" s="48">
        <v>0.6</v>
      </c>
      <c r="BE182" s="48">
        <v>0.4</v>
      </c>
      <c r="BF182" s="48">
        <v>0.5</v>
      </c>
      <c r="BG182" s="48">
        <v>0.7</v>
      </c>
    </row>
    <row r="183" spans="1:59" s="55" customFormat="1" ht="11.25" customHeight="1">
      <c r="A183" s="95" t="s">
        <v>688</v>
      </c>
      <c r="B183" s="94"/>
      <c r="C183" s="94"/>
      <c r="D183" s="94"/>
      <c r="E183" s="94" t="s">
        <v>4636</v>
      </c>
      <c r="F183" s="94" t="s">
        <v>4626</v>
      </c>
      <c r="G183" s="91"/>
      <c r="H183" s="94" t="s">
        <v>2025</v>
      </c>
      <c r="I183" s="94"/>
      <c r="J183" s="94" t="s">
        <v>2633</v>
      </c>
      <c r="K183" s="94"/>
      <c r="L183" s="94" t="s">
        <v>1525</v>
      </c>
      <c r="M183" s="94" t="s">
        <v>1016</v>
      </c>
      <c r="N183" s="94"/>
      <c r="O183" s="94" t="s">
        <v>1381</v>
      </c>
      <c r="P183" s="94"/>
      <c r="Q183" s="94"/>
      <c r="R183" s="94" t="s">
        <v>2795</v>
      </c>
      <c r="S183" s="94"/>
      <c r="T183" s="94"/>
      <c r="U183" s="94"/>
      <c r="V183" s="94" t="s">
        <v>1381</v>
      </c>
      <c r="W183" s="94" t="s">
        <v>1792</v>
      </c>
      <c r="X183" s="94" t="s">
        <v>1794</v>
      </c>
      <c r="Y183" s="94" t="s">
        <v>762</v>
      </c>
      <c r="Z183" s="94" t="s">
        <v>1088</v>
      </c>
      <c r="AA183" s="91"/>
      <c r="AB183" s="94"/>
      <c r="AC183" s="94"/>
      <c r="AD183" s="94"/>
      <c r="AE183" s="94" t="s">
        <v>1169</v>
      </c>
      <c r="AF183" s="94"/>
      <c r="AG183" s="91"/>
      <c r="AH183" s="91"/>
      <c r="AI183" s="94"/>
      <c r="AJ183" s="94"/>
      <c r="AK183" s="94" t="s">
        <v>1170</v>
      </c>
      <c r="AL183" s="91" t="s">
        <v>39</v>
      </c>
      <c r="AM183" s="94" t="s">
        <v>1223</v>
      </c>
      <c r="AN183" s="94" t="s">
        <v>1170</v>
      </c>
      <c r="AO183" s="94" t="s">
        <v>1223</v>
      </c>
      <c r="AP183" s="94"/>
      <c r="AQ183" s="91"/>
      <c r="AR183" s="94"/>
      <c r="AS183" s="94" t="s">
        <v>1704</v>
      </c>
      <c r="AT183" s="91"/>
      <c r="AU183" s="94"/>
      <c r="AV183" s="94" t="s">
        <v>869</v>
      </c>
      <c r="AW183" s="94" t="s">
        <v>869</v>
      </c>
      <c r="AX183" s="94"/>
      <c r="AY183" s="94"/>
      <c r="AZ183" s="94" t="s">
        <v>1283</v>
      </c>
      <c r="BA183" s="94" t="s">
        <v>1283</v>
      </c>
      <c r="BB183" s="91"/>
      <c r="BC183" s="91" t="s">
        <v>1381</v>
      </c>
      <c r="BD183" s="94"/>
      <c r="BE183" s="94" t="s">
        <v>918</v>
      </c>
      <c r="BF183" s="94" t="s">
        <v>958</v>
      </c>
      <c r="BG183" s="94"/>
    </row>
    <row r="184" spans="1:59" s="55" customFormat="1" ht="22.5" customHeight="1">
      <c r="A184" s="53" t="s">
        <v>16</v>
      </c>
      <c r="B184" s="64">
        <v>0.05</v>
      </c>
      <c r="C184" s="64">
        <v>0.05</v>
      </c>
      <c r="D184" s="64">
        <v>0.08</v>
      </c>
      <c r="E184" s="48" t="s">
        <v>4633</v>
      </c>
      <c r="F184" s="48">
        <v>0.15</v>
      </c>
      <c r="G184" s="48">
        <v>0.05</v>
      </c>
      <c r="H184" s="48">
        <v>0.08</v>
      </c>
      <c r="I184" s="48">
        <v>0.08</v>
      </c>
      <c r="J184" s="48">
        <v>0.08</v>
      </c>
      <c r="K184" s="64">
        <v>0.08</v>
      </c>
      <c r="L184" s="48">
        <v>0.08</v>
      </c>
      <c r="M184" s="64">
        <v>0.15</v>
      </c>
      <c r="N184" s="48">
        <v>0.1</v>
      </c>
      <c r="O184" s="48">
        <v>0.05</v>
      </c>
      <c r="P184" s="48">
        <v>0.15</v>
      </c>
      <c r="Q184" s="48">
        <v>0.05</v>
      </c>
      <c r="R184" s="48">
        <v>0.08</v>
      </c>
      <c r="S184" s="64">
        <v>0.05</v>
      </c>
      <c r="T184" s="48">
        <v>0.15</v>
      </c>
      <c r="U184" s="48">
        <v>0.15</v>
      </c>
      <c r="V184" s="48">
        <v>0.05</v>
      </c>
      <c r="W184" s="48">
        <v>0.08</v>
      </c>
      <c r="X184" s="48">
        <v>0.08</v>
      </c>
      <c r="Y184" s="64">
        <v>0.15</v>
      </c>
      <c r="Z184" s="64">
        <v>0.15</v>
      </c>
      <c r="AA184" s="92">
        <v>0.08</v>
      </c>
      <c r="AB184" s="48">
        <v>0.15</v>
      </c>
      <c r="AC184" s="48" t="s">
        <v>980</v>
      </c>
      <c r="AD184" s="48" t="s">
        <v>995</v>
      </c>
      <c r="AE184" s="48">
        <v>0.08</v>
      </c>
      <c r="AF184" s="48">
        <v>0.08</v>
      </c>
      <c r="AG184" s="48">
        <v>0.1</v>
      </c>
      <c r="AH184" s="48">
        <v>0.1</v>
      </c>
      <c r="AI184" s="48">
        <v>0.05</v>
      </c>
      <c r="AJ184" s="48">
        <v>0.06</v>
      </c>
      <c r="AK184" s="48">
        <v>0.15</v>
      </c>
      <c r="AL184" s="49" t="s">
        <v>4669</v>
      </c>
      <c r="AM184" s="48">
        <v>0.08</v>
      </c>
      <c r="AN184" s="48">
        <v>0.15</v>
      </c>
      <c r="AO184" s="48">
        <v>0.08</v>
      </c>
      <c r="AP184" s="48">
        <v>0.1</v>
      </c>
      <c r="AQ184" s="48">
        <v>0.15</v>
      </c>
      <c r="AR184" s="64">
        <v>0.1</v>
      </c>
      <c r="AS184" s="48">
        <v>0.05</v>
      </c>
      <c r="AT184" s="48">
        <v>0.05</v>
      </c>
      <c r="AU184" s="64">
        <v>0.05</v>
      </c>
      <c r="AV184" s="48">
        <v>0.05</v>
      </c>
      <c r="AW184" s="48">
        <v>0.05</v>
      </c>
      <c r="AX184" s="48">
        <v>0.1</v>
      </c>
      <c r="AY184" s="48">
        <v>0.15</v>
      </c>
      <c r="AZ184" s="48">
        <v>0.1</v>
      </c>
      <c r="BA184" s="48">
        <v>0.15</v>
      </c>
      <c r="BB184" s="48">
        <v>0.05</v>
      </c>
      <c r="BC184" s="48">
        <v>0.05</v>
      </c>
      <c r="BD184" s="48">
        <v>0.15</v>
      </c>
      <c r="BE184" s="48">
        <v>0.05</v>
      </c>
      <c r="BF184" s="48">
        <v>0.1</v>
      </c>
      <c r="BG184" s="48">
        <v>0.1</v>
      </c>
    </row>
    <row r="185" spans="1:59" s="55" customFormat="1" ht="11.25" customHeight="1">
      <c r="A185" s="95" t="s">
        <v>688</v>
      </c>
      <c r="B185" s="94"/>
      <c r="C185" s="94"/>
      <c r="D185" s="94"/>
      <c r="E185" s="94" t="s">
        <v>4636</v>
      </c>
      <c r="F185" s="94" t="s">
        <v>4626</v>
      </c>
      <c r="G185" s="91"/>
      <c r="H185" s="94" t="s">
        <v>2025</v>
      </c>
      <c r="I185" s="94"/>
      <c r="J185" s="94" t="s">
        <v>2633</v>
      </c>
      <c r="K185" s="94"/>
      <c r="L185" s="94" t="s">
        <v>1525</v>
      </c>
      <c r="M185" s="94" t="s">
        <v>1016</v>
      </c>
      <c r="N185" s="94"/>
      <c r="O185" s="94" t="s">
        <v>1381</v>
      </c>
      <c r="P185" s="94"/>
      <c r="Q185" s="94"/>
      <c r="R185" s="94" t="s">
        <v>2795</v>
      </c>
      <c r="S185" s="94"/>
      <c r="T185" s="94"/>
      <c r="U185" s="94"/>
      <c r="V185" s="94" t="s">
        <v>1381</v>
      </c>
      <c r="W185" s="94" t="s">
        <v>1792</v>
      </c>
      <c r="X185" s="94" t="s">
        <v>1794</v>
      </c>
      <c r="Y185" s="94" t="s">
        <v>762</v>
      </c>
      <c r="Z185" s="94" t="s">
        <v>1088</v>
      </c>
      <c r="AA185" s="91"/>
      <c r="AB185" s="94"/>
      <c r="AC185" s="94"/>
      <c r="AD185" s="94"/>
      <c r="AE185" s="94" t="s">
        <v>1169</v>
      </c>
      <c r="AF185" s="94"/>
      <c r="AG185" s="91"/>
      <c r="AH185" s="91"/>
      <c r="AI185" s="94"/>
      <c r="AJ185" s="94"/>
      <c r="AK185" s="94" t="s">
        <v>1170</v>
      </c>
      <c r="AL185" s="91" t="s">
        <v>39</v>
      </c>
      <c r="AM185" s="94" t="s">
        <v>1223</v>
      </c>
      <c r="AN185" s="94" t="s">
        <v>1170</v>
      </c>
      <c r="AO185" s="94" t="s">
        <v>1223</v>
      </c>
      <c r="AP185" s="94"/>
      <c r="AQ185" s="91"/>
      <c r="AR185" s="94"/>
      <c r="AS185" s="94" t="s">
        <v>1704</v>
      </c>
      <c r="AT185" s="91"/>
      <c r="AU185" s="94"/>
      <c r="AV185" s="94" t="s">
        <v>869</v>
      </c>
      <c r="AW185" s="94" t="s">
        <v>869</v>
      </c>
      <c r="AX185" s="94"/>
      <c r="AY185" s="94"/>
      <c r="AZ185" s="94" t="s">
        <v>1283</v>
      </c>
      <c r="BA185" s="94" t="s">
        <v>1283</v>
      </c>
      <c r="BB185" s="91"/>
      <c r="BC185" s="91" t="s">
        <v>1381</v>
      </c>
      <c r="BD185" s="94"/>
      <c r="BE185" s="94" t="s">
        <v>918</v>
      </c>
      <c r="BF185" s="94" t="s">
        <v>958</v>
      </c>
      <c r="BG185" s="94"/>
    </row>
    <row r="186" spans="1:59" s="55" customFormat="1" ht="22.5" customHeight="1">
      <c r="A186" s="53" t="s">
        <v>17</v>
      </c>
      <c r="B186" s="64">
        <v>0.02</v>
      </c>
      <c r="C186" s="64">
        <v>0.02</v>
      </c>
      <c r="D186" s="64">
        <v>0.03</v>
      </c>
      <c r="E186" s="48" t="s">
        <v>4635</v>
      </c>
      <c r="F186" s="48" t="s">
        <v>3129</v>
      </c>
      <c r="G186" s="64">
        <v>0.02</v>
      </c>
      <c r="H186" s="48">
        <v>0.04</v>
      </c>
      <c r="I186" s="48">
        <v>0.04</v>
      </c>
      <c r="J186" s="48">
        <v>0.04</v>
      </c>
      <c r="K186" s="64">
        <v>0.05</v>
      </c>
      <c r="L186" s="48">
        <v>0.05</v>
      </c>
      <c r="M186" s="64">
        <v>0.05</v>
      </c>
      <c r="N186" s="48">
        <v>0.08</v>
      </c>
      <c r="O186" s="48">
        <v>0.02</v>
      </c>
      <c r="P186" s="48">
        <v>0.05</v>
      </c>
      <c r="Q186" s="48">
        <v>0.02</v>
      </c>
      <c r="R186" s="48">
        <v>0.03</v>
      </c>
      <c r="S186" s="64">
        <v>0.02</v>
      </c>
      <c r="T186" s="48">
        <v>0.08</v>
      </c>
      <c r="U186" s="48">
        <v>0.05</v>
      </c>
      <c r="V186" s="48">
        <v>0.02</v>
      </c>
      <c r="W186" s="48">
        <v>0.03</v>
      </c>
      <c r="X186" s="48">
        <v>0.04</v>
      </c>
      <c r="Y186" s="64">
        <v>0.05</v>
      </c>
      <c r="Z186" s="64">
        <v>0.05</v>
      </c>
      <c r="AA186" s="18">
        <v>0.05</v>
      </c>
      <c r="AB186" s="48">
        <v>0.05</v>
      </c>
      <c r="AC186" s="48" t="s">
        <v>981</v>
      </c>
      <c r="AD186" s="48" t="s">
        <v>996</v>
      </c>
      <c r="AE186" s="48">
        <v>0.05</v>
      </c>
      <c r="AF186" s="48">
        <v>0.05</v>
      </c>
      <c r="AG186" s="48">
        <v>0.05</v>
      </c>
      <c r="AH186" s="48">
        <v>0.05</v>
      </c>
      <c r="AI186" s="48">
        <v>0.02</v>
      </c>
      <c r="AJ186" s="48">
        <v>0.03</v>
      </c>
      <c r="AK186" s="48">
        <v>0.05</v>
      </c>
      <c r="AL186" s="49" t="s">
        <v>4669</v>
      </c>
      <c r="AM186" s="48">
        <v>0.05</v>
      </c>
      <c r="AN186" s="48">
        <v>0.05</v>
      </c>
      <c r="AO186" s="48">
        <v>0.05</v>
      </c>
      <c r="AP186" s="48">
        <v>0.05</v>
      </c>
      <c r="AQ186" s="48">
        <v>0.05</v>
      </c>
      <c r="AR186" s="64">
        <v>0.05</v>
      </c>
      <c r="AS186" s="48">
        <v>0.02</v>
      </c>
      <c r="AT186" s="64">
        <v>0.02</v>
      </c>
      <c r="AU186" s="64">
        <v>0.02</v>
      </c>
      <c r="AV186" s="48">
        <v>0.02</v>
      </c>
      <c r="AW186" s="48">
        <v>0.02</v>
      </c>
      <c r="AX186" s="48">
        <v>0.05</v>
      </c>
      <c r="AY186" s="48">
        <v>0.05</v>
      </c>
      <c r="AZ186" s="48">
        <v>0.05</v>
      </c>
      <c r="BA186" s="48">
        <v>0.05</v>
      </c>
      <c r="BB186" s="48">
        <v>0.02</v>
      </c>
      <c r="BC186" s="48">
        <v>0.02</v>
      </c>
      <c r="BD186" s="48">
        <v>0.05</v>
      </c>
      <c r="BE186" s="48">
        <v>0.02</v>
      </c>
      <c r="BF186" s="48">
        <v>0.05</v>
      </c>
      <c r="BG186" s="48">
        <v>0.03</v>
      </c>
    </row>
    <row r="187" spans="1:59" s="55" customFormat="1" ht="11.25" customHeight="1">
      <c r="A187" s="95" t="s">
        <v>688</v>
      </c>
      <c r="B187" s="94"/>
      <c r="C187" s="94"/>
      <c r="D187" s="94"/>
      <c r="E187" s="94" t="s">
        <v>4636</v>
      </c>
      <c r="F187" s="94" t="s">
        <v>4626</v>
      </c>
      <c r="G187" s="91"/>
      <c r="H187" s="94" t="s">
        <v>2025</v>
      </c>
      <c r="I187" s="94"/>
      <c r="J187" s="94" t="s">
        <v>2633</v>
      </c>
      <c r="K187" s="94"/>
      <c r="L187" s="94" t="s">
        <v>1525</v>
      </c>
      <c r="M187" s="94" t="s">
        <v>1016</v>
      </c>
      <c r="N187" s="94"/>
      <c r="O187" s="94" t="s">
        <v>1381</v>
      </c>
      <c r="P187" s="94"/>
      <c r="Q187" s="94"/>
      <c r="R187" s="94" t="s">
        <v>2795</v>
      </c>
      <c r="S187" s="94"/>
      <c r="T187" s="94"/>
      <c r="U187" s="94"/>
      <c r="V187" s="94" t="s">
        <v>1381</v>
      </c>
      <c r="W187" s="94" t="s">
        <v>1792</v>
      </c>
      <c r="X187" s="94" t="s">
        <v>1794</v>
      </c>
      <c r="Y187" s="94" t="s">
        <v>762</v>
      </c>
      <c r="Z187" s="94" t="s">
        <v>1088</v>
      </c>
      <c r="AA187" s="91"/>
      <c r="AB187" s="94"/>
      <c r="AC187" s="94"/>
      <c r="AD187" s="94"/>
      <c r="AE187" s="94" t="s">
        <v>1169</v>
      </c>
      <c r="AF187" s="94"/>
      <c r="AG187" s="91"/>
      <c r="AH187" s="91"/>
      <c r="AI187" s="94"/>
      <c r="AJ187" s="94"/>
      <c r="AK187" s="94" t="s">
        <v>1170</v>
      </c>
      <c r="AL187" s="91" t="s">
        <v>39</v>
      </c>
      <c r="AM187" s="94" t="s">
        <v>1223</v>
      </c>
      <c r="AN187" s="94" t="s">
        <v>1170</v>
      </c>
      <c r="AO187" s="94" t="s">
        <v>1223</v>
      </c>
      <c r="AP187" s="94"/>
      <c r="AQ187" s="91"/>
      <c r="AR187" s="94"/>
      <c r="AS187" s="94" t="s">
        <v>1704</v>
      </c>
      <c r="AT187" s="91"/>
      <c r="AU187" s="94"/>
      <c r="AV187" s="94" t="s">
        <v>869</v>
      </c>
      <c r="AW187" s="94" t="s">
        <v>869</v>
      </c>
      <c r="AX187" s="94"/>
      <c r="AY187" s="94"/>
      <c r="AZ187" s="94" t="s">
        <v>1283</v>
      </c>
      <c r="BA187" s="94" t="s">
        <v>1283</v>
      </c>
      <c r="BB187" s="91"/>
      <c r="BC187" s="91" t="s">
        <v>1381</v>
      </c>
      <c r="BD187" s="94"/>
      <c r="BE187" s="94" t="s">
        <v>918</v>
      </c>
      <c r="BF187" s="94" t="s">
        <v>958</v>
      </c>
      <c r="BG187" s="94"/>
    </row>
    <row r="188" spans="1:59" s="55" customFormat="1" ht="22.5" customHeight="1">
      <c r="A188" s="53" t="s">
        <v>18</v>
      </c>
      <c r="B188" s="64">
        <v>0.5</v>
      </c>
      <c r="C188" s="64">
        <v>0.5</v>
      </c>
      <c r="D188" s="64">
        <v>0.5</v>
      </c>
      <c r="E188" s="48" t="s">
        <v>3130</v>
      </c>
      <c r="F188" s="48" t="s">
        <v>3130</v>
      </c>
      <c r="G188" s="64">
        <v>0.5</v>
      </c>
      <c r="H188" s="48">
        <v>0.6</v>
      </c>
      <c r="I188" s="48">
        <v>0.6</v>
      </c>
      <c r="J188" s="48">
        <v>0.6</v>
      </c>
      <c r="K188" s="64">
        <v>0.55000000000000004</v>
      </c>
      <c r="L188" s="48">
        <v>0.55000000000000004</v>
      </c>
      <c r="M188" s="64">
        <v>0.6</v>
      </c>
      <c r="N188" s="48">
        <v>0.7</v>
      </c>
      <c r="O188" s="48">
        <v>0.5</v>
      </c>
      <c r="P188" s="48">
        <v>0.6</v>
      </c>
      <c r="Q188" s="48">
        <v>0.5</v>
      </c>
      <c r="R188" s="48">
        <v>0.8</v>
      </c>
      <c r="S188" s="64">
        <v>0.5</v>
      </c>
      <c r="T188" s="48">
        <v>0.5</v>
      </c>
      <c r="U188" s="48">
        <v>0.6</v>
      </c>
      <c r="V188" s="48">
        <v>0.5</v>
      </c>
      <c r="W188" s="48">
        <v>0.6</v>
      </c>
      <c r="X188" s="48">
        <v>0.6</v>
      </c>
      <c r="Y188" s="64">
        <v>0.6</v>
      </c>
      <c r="Z188" s="64">
        <v>0.6</v>
      </c>
      <c r="AA188" s="18">
        <v>0.55000000000000004</v>
      </c>
      <c r="AB188" s="48">
        <v>0.6</v>
      </c>
      <c r="AC188" s="48" t="s">
        <v>979</v>
      </c>
      <c r="AD188" s="48" t="s">
        <v>994</v>
      </c>
      <c r="AE188" s="48">
        <v>0.6</v>
      </c>
      <c r="AF188" s="48">
        <v>0.6</v>
      </c>
      <c r="AG188" s="48">
        <v>0.6</v>
      </c>
      <c r="AH188" s="48">
        <v>0.6</v>
      </c>
      <c r="AI188" s="48">
        <v>0.55000000000000004</v>
      </c>
      <c r="AJ188" s="48">
        <v>0.6</v>
      </c>
      <c r="AK188" s="48">
        <v>0.6</v>
      </c>
      <c r="AL188" s="49" t="s">
        <v>4669</v>
      </c>
      <c r="AM188" s="48">
        <v>0.6</v>
      </c>
      <c r="AN188" s="48">
        <v>0.6</v>
      </c>
      <c r="AO188" s="48">
        <v>0.6</v>
      </c>
      <c r="AP188" s="48">
        <v>0.55000000000000004</v>
      </c>
      <c r="AQ188" s="48">
        <v>0.5</v>
      </c>
      <c r="AR188" s="64">
        <v>0.55000000000000004</v>
      </c>
      <c r="AS188" s="48">
        <v>0.5</v>
      </c>
      <c r="AT188" s="64">
        <v>0.5</v>
      </c>
      <c r="AU188" s="64">
        <v>0.5</v>
      </c>
      <c r="AV188" s="48">
        <v>0.5</v>
      </c>
      <c r="AW188" s="48">
        <v>0.5</v>
      </c>
      <c r="AX188" s="48">
        <v>0.6</v>
      </c>
      <c r="AY188" s="48">
        <v>0.6</v>
      </c>
      <c r="AZ188" s="48">
        <v>0.6</v>
      </c>
      <c r="BA188" s="48">
        <v>0.6</v>
      </c>
      <c r="BB188" s="48">
        <v>0.5</v>
      </c>
      <c r="BC188" s="48">
        <v>0.5</v>
      </c>
      <c r="BD188" s="48">
        <v>0.6</v>
      </c>
      <c r="BE188" s="48">
        <v>0.5</v>
      </c>
      <c r="BF188" s="48">
        <v>0.55000000000000004</v>
      </c>
      <c r="BG188" s="48">
        <v>0.6</v>
      </c>
    </row>
    <row r="189" spans="1:59" s="55" customFormat="1" ht="11.25" customHeight="1">
      <c r="A189" s="95" t="s">
        <v>688</v>
      </c>
      <c r="B189" s="94"/>
      <c r="C189" s="94"/>
      <c r="D189" s="94"/>
      <c r="E189" s="94" t="s">
        <v>4636</v>
      </c>
      <c r="F189" s="94" t="s">
        <v>4626</v>
      </c>
      <c r="G189" s="91"/>
      <c r="H189" s="94" t="s">
        <v>2025</v>
      </c>
      <c r="I189" s="94"/>
      <c r="J189" s="94" t="s">
        <v>2633</v>
      </c>
      <c r="K189" s="94"/>
      <c r="L189" s="94" t="s">
        <v>1525</v>
      </c>
      <c r="M189" s="94" t="s">
        <v>1016</v>
      </c>
      <c r="N189" s="94"/>
      <c r="O189" s="94" t="s">
        <v>1381</v>
      </c>
      <c r="P189" s="94"/>
      <c r="Q189" s="94"/>
      <c r="R189" s="94" t="s">
        <v>2796</v>
      </c>
      <c r="S189" s="94"/>
      <c r="T189" s="94"/>
      <c r="U189" s="94"/>
      <c r="V189" s="94" t="s">
        <v>1381</v>
      </c>
      <c r="W189" s="94" t="s">
        <v>1792</v>
      </c>
      <c r="X189" s="94" t="s">
        <v>1794</v>
      </c>
      <c r="Y189" s="94" t="s">
        <v>762</v>
      </c>
      <c r="Z189" s="94" t="s">
        <v>1088</v>
      </c>
      <c r="AA189" s="91"/>
      <c r="AB189" s="94"/>
      <c r="AC189" s="94"/>
      <c r="AD189" s="94"/>
      <c r="AE189" s="94" t="s">
        <v>1169</v>
      </c>
      <c r="AF189" s="94"/>
      <c r="AG189" s="91"/>
      <c r="AH189" s="91"/>
      <c r="AI189" s="94"/>
      <c r="AJ189" s="94"/>
      <c r="AK189" s="94" t="s">
        <v>1170</v>
      </c>
      <c r="AL189" s="91" t="s">
        <v>39</v>
      </c>
      <c r="AM189" s="94" t="s">
        <v>1223</v>
      </c>
      <c r="AN189" s="94" t="s">
        <v>1170</v>
      </c>
      <c r="AO189" s="94" t="s">
        <v>1223</v>
      </c>
      <c r="AP189" s="94"/>
      <c r="AQ189" s="91"/>
      <c r="AR189" s="94"/>
      <c r="AS189" s="94" t="s">
        <v>1704</v>
      </c>
      <c r="AT189" s="91"/>
      <c r="AU189" s="94"/>
      <c r="AV189" s="94" t="s">
        <v>869</v>
      </c>
      <c r="AW189" s="94" t="s">
        <v>869</v>
      </c>
      <c r="AX189" s="94"/>
      <c r="AY189" s="94"/>
      <c r="AZ189" s="94" t="s">
        <v>1283</v>
      </c>
      <c r="BA189" s="94" t="s">
        <v>1283</v>
      </c>
      <c r="BB189" s="91"/>
      <c r="BC189" s="91" t="s">
        <v>1381</v>
      </c>
      <c r="BD189" s="94"/>
      <c r="BE189" s="94" t="s">
        <v>918</v>
      </c>
      <c r="BF189" s="94" t="s">
        <v>958</v>
      </c>
      <c r="BG189" s="94"/>
    </row>
    <row r="190" spans="1:59" s="55" customFormat="1" ht="22.5" customHeight="1">
      <c r="A190" s="53" t="s">
        <v>19</v>
      </c>
      <c r="B190" s="64">
        <v>0.3</v>
      </c>
      <c r="C190" s="64">
        <v>0.3</v>
      </c>
      <c r="D190" s="64">
        <v>0.3</v>
      </c>
      <c r="E190" s="48">
        <v>0.3</v>
      </c>
      <c r="F190" s="48">
        <v>0.35</v>
      </c>
      <c r="G190" s="64">
        <v>0.3</v>
      </c>
      <c r="H190" s="48">
        <v>0.4</v>
      </c>
      <c r="I190" s="48">
        <v>0.4</v>
      </c>
      <c r="J190" s="48">
        <v>0.4</v>
      </c>
      <c r="K190" s="64">
        <v>0.35</v>
      </c>
      <c r="L190" s="48">
        <v>0.35</v>
      </c>
      <c r="M190" s="64">
        <v>0.4</v>
      </c>
      <c r="N190" s="48">
        <v>0.5</v>
      </c>
      <c r="O190" s="48">
        <v>0.3</v>
      </c>
      <c r="P190" s="48">
        <v>0.4</v>
      </c>
      <c r="Q190" s="48">
        <v>0.3</v>
      </c>
      <c r="R190" s="48">
        <v>0.3</v>
      </c>
      <c r="S190" s="64">
        <v>0.3</v>
      </c>
      <c r="T190" s="48">
        <v>0.3</v>
      </c>
      <c r="U190" s="48">
        <v>0.4</v>
      </c>
      <c r="V190" s="48">
        <v>0.3</v>
      </c>
      <c r="W190" s="48">
        <v>0.35</v>
      </c>
      <c r="X190" s="48">
        <v>0.4</v>
      </c>
      <c r="Y190" s="64">
        <v>0.45</v>
      </c>
      <c r="Z190" s="64">
        <v>0.4</v>
      </c>
      <c r="AA190" s="18">
        <v>0.35</v>
      </c>
      <c r="AB190" s="48">
        <v>0.45</v>
      </c>
      <c r="AC190" s="48" t="s">
        <v>982</v>
      </c>
      <c r="AD190" s="48" t="s">
        <v>997</v>
      </c>
      <c r="AE190" s="48">
        <v>0.5</v>
      </c>
      <c r="AF190" s="48">
        <v>0.5</v>
      </c>
      <c r="AG190" s="48">
        <v>0.4</v>
      </c>
      <c r="AH190" s="48">
        <v>0.4</v>
      </c>
      <c r="AI190" s="48">
        <v>0.3</v>
      </c>
      <c r="AJ190" s="48">
        <v>0.35</v>
      </c>
      <c r="AK190" s="48">
        <v>0.4</v>
      </c>
      <c r="AL190" s="49" t="s">
        <v>4669</v>
      </c>
      <c r="AM190" s="48">
        <v>0.4</v>
      </c>
      <c r="AN190" s="48">
        <v>0.4</v>
      </c>
      <c r="AO190" s="48">
        <v>0.4</v>
      </c>
      <c r="AP190" s="48">
        <v>0.35</v>
      </c>
      <c r="AQ190" s="48">
        <v>0.4</v>
      </c>
      <c r="AR190" s="64">
        <v>0.35</v>
      </c>
      <c r="AS190" s="48">
        <v>0.3</v>
      </c>
      <c r="AT190" s="64">
        <v>0.3</v>
      </c>
      <c r="AU190" s="64">
        <v>0.3</v>
      </c>
      <c r="AV190" s="48">
        <v>0.3</v>
      </c>
      <c r="AW190" s="48">
        <v>0.3</v>
      </c>
      <c r="AX190" s="48">
        <v>0.4</v>
      </c>
      <c r="AY190" s="48">
        <v>0.45</v>
      </c>
      <c r="AZ190" s="48">
        <v>0.4</v>
      </c>
      <c r="BA190" s="48">
        <v>0.45</v>
      </c>
      <c r="BB190" s="48">
        <v>0.3</v>
      </c>
      <c r="BC190" s="48">
        <v>0.3</v>
      </c>
      <c r="BD190" s="48">
        <v>0.45</v>
      </c>
      <c r="BE190" s="48">
        <v>0.3</v>
      </c>
      <c r="BF190" s="48">
        <v>0.4</v>
      </c>
      <c r="BG190" s="48">
        <v>0.4</v>
      </c>
    </row>
    <row r="191" spans="1:59" s="55" customFormat="1" ht="11.25" customHeight="1">
      <c r="A191" s="95" t="s">
        <v>688</v>
      </c>
      <c r="B191" s="94"/>
      <c r="C191" s="94"/>
      <c r="D191" s="94"/>
      <c r="E191" s="94" t="s">
        <v>4636</v>
      </c>
      <c r="F191" s="94" t="s">
        <v>4626</v>
      </c>
      <c r="G191" s="91"/>
      <c r="H191" s="94" t="s">
        <v>2025</v>
      </c>
      <c r="I191" s="94"/>
      <c r="J191" s="94" t="s">
        <v>2633</v>
      </c>
      <c r="K191" s="94"/>
      <c r="L191" s="94" t="s">
        <v>1525</v>
      </c>
      <c r="M191" s="94" t="s">
        <v>1016</v>
      </c>
      <c r="N191" s="94"/>
      <c r="O191" s="94" t="s">
        <v>1381</v>
      </c>
      <c r="P191" s="94"/>
      <c r="Q191" s="94"/>
      <c r="R191" s="94" t="s">
        <v>2792</v>
      </c>
      <c r="S191" s="94"/>
      <c r="T191" s="94"/>
      <c r="U191" s="94"/>
      <c r="V191" s="94" t="s">
        <v>1381</v>
      </c>
      <c r="W191" s="94" t="s">
        <v>1792</v>
      </c>
      <c r="X191" s="94" t="s">
        <v>1794</v>
      </c>
      <c r="Y191" s="94" t="s">
        <v>762</v>
      </c>
      <c r="Z191" s="94" t="s">
        <v>1088</v>
      </c>
      <c r="AA191" s="91"/>
      <c r="AB191" s="94"/>
      <c r="AC191" s="94"/>
      <c r="AD191" s="94"/>
      <c r="AE191" s="94" t="s">
        <v>1169</v>
      </c>
      <c r="AF191" s="94"/>
      <c r="AG191" s="91"/>
      <c r="AH191" s="91"/>
      <c r="AI191" s="94"/>
      <c r="AJ191" s="94"/>
      <c r="AK191" s="94" t="s">
        <v>1170</v>
      </c>
      <c r="AL191" s="91" t="s">
        <v>39</v>
      </c>
      <c r="AM191" s="94" t="s">
        <v>1223</v>
      </c>
      <c r="AN191" s="94" t="s">
        <v>1170</v>
      </c>
      <c r="AO191" s="94" t="s">
        <v>1223</v>
      </c>
      <c r="AP191" s="94"/>
      <c r="AQ191" s="91"/>
      <c r="AR191" s="94"/>
      <c r="AS191" s="94" t="s">
        <v>1704</v>
      </c>
      <c r="AT191" s="91"/>
      <c r="AU191" s="94"/>
      <c r="AV191" s="94" t="s">
        <v>869</v>
      </c>
      <c r="AW191" s="94" t="s">
        <v>869</v>
      </c>
      <c r="AX191" s="94"/>
      <c r="AY191" s="94"/>
      <c r="AZ191" s="94" t="s">
        <v>1283</v>
      </c>
      <c r="BA191" s="94" t="s">
        <v>1283</v>
      </c>
      <c r="BB191" s="91"/>
      <c r="BC191" s="91" t="s">
        <v>1381</v>
      </c>
      <c r="BD191" s="94"/>
      <c r="BE191" s="94" t="s">
        <v>918</v>
      </c>
      <c r="BF191" s="94" t="s">
        <v>958</v>
      </c>
      <c r="BG191" s="94"/>
    </row>
    <row r="192" spans="1:59" s="55" customFormat="1" ht="22.5" customHeight="1">
      <c r="A192" s="53" t="s">
        <v>20</v>
      </c>
      <c r="B192" s="64">
        <v>0.1</v>
      </c>
      <c r="C192" s="64">
        <v>0.1</v>
      </c>
      <c r="D192" s="64">
        <v>0.15</v>
      </c>
      <c r="E192" s="48">
        <v>0.1</v>
      </c>
      <c r="F192" s="48">
        <v>0.15</v>
      </c>
      <c r="G192" s="64">
        <v>0.1</v>
      </c>
      <c r="H192" s="48">
        <v>0.15</v>
      </c>
      <c r="I192" s="48">
        <v>0.15</v>
      </c>
      <c r="J192" s="48">
        <v>0.15</v>
      </c>
      <c r="K192" s="64">
        <v>0.35</v>
      </c>
      <c r="L192" s="48">
        <v>0.15</v>
      </c>
      <c r="M192" s="64">
        <v>0.2</v>
      </c>
      <c r="N192" s="48">
        <v>0.2</v>
      </c>
      <c r="O192" s="48">
        <v>0.1</v>
      </c>
      <c r="P192" s="48">
        <v>0.15</v>
      </c>
      <c r="Q192" s="48">
        <v>0.1</v>
      </c>
      <c r="R192" s="48">
        <v>0.1</v>
      </c>
      <c r="S192" s="64">
        <v>0.1</v>
      </c>
      <c r="T192" s="48">
        <v>0.2</v>
      </c>
      <c r="U192" s="48">
        <v>0.15</v>
      </c>
      <c r="V192" s="48">
        <v>0.1</v>
      </c>
      <c r="W192" s="48">
        <v>0.1</v>
      </c>
      <c r="X192" s="48">
        <v>0.15</v>
      </c>
      <c r="Y192" s="64">
        <v>0.2</v>
      </c>
      <c r="Z192" s="64">
        <v>0.15</v>
      </c>
      <c r="AA192" s="21">
        <v>0.125</v>
      </c>
      <c r="AB192" s="48">
        <v>0.2</v>
      </c>
      <c r="AC192" s="48" t="s">
        <v>983</v>
      </c>
      <c r="AD192" s="48" t="s">
        <v>998</v>
      </c>
      <c r="AE192" s="48">
        <v>0.15</v>
      </c>
      <c r="AF192" s="48">
        <v>0.2</v>
      </c>
      <c r="AG192" s="48">
        <v>0.2</v>
      </c>
      <c r="AH192" s="48">
        <v>0.2</v>
      </c>
      <c r="AI192" s="48">
        <v>0.1</v>
      </c>
      <c r="AJ192" s="48">
        <v>0.15</v>
      </c>
      <c r="AK192" s="48">
        <v>0.15</v>
      </c>
      <c r="AL192" s="49" t="s">
        <v>4669</v>
      </c>
      <c r="AM192" s="48">
        <v>0.15</v>
      </c>
      <c r="AN192" s="48">
        <v>0.15</v>
      </c>
      <c r="AO192" s="48">
        <v>0.15</v>
      </c>
      <c r="AP192" s="48">
        <v>0.15</v>
      </c>
      <c r="AQ192" s="48">
        <v>0.15</v>
      </c>
      <c r="AR192" s="64">
        <v>0.15</v>
      </c>
      <c r="AS192" s="48">
        <v>0.1</v>
      </c>
      <c r="AT192" s="64">
        <v>0.1</v>
      </c>
      <c r="AU192" s="64">
        <v>0.1</v>
      </c>
      <c r="AV192" s="48">
        <v>0.1</v>
      </c>
      <c r="AW192" s="48">
        <v>0.1</v>
      </c>
      <c r="AX192" s="48">
        <v>0.1</v>
      </c>
      <c r="AY192" s="48">
        <v>0.15</v>
      </c>
      <c r="AZ192" s="48">
        <v>0.1</v>
      </c>
      <c r="BA192" s="48">
        <v>0.15</v>
      </c>
      <c r="BB192" s="48">
        <v>0.1</v>
      </c>
      <c r="BC192" s="48">
        <v>0.1</v>
      </c>
      <c r="BD192" s="48">
        <v>0.2</v>
      </c>
      <c r="BE192" s="48">
        <v>0.1</v>
      </c>
      <c r="BF192" s="48">
        <v>0.15</v>
      </c>
      <c r="BG192" s="48">
        <v>0.15</v>
      </c>
    </row>
    <row r="193" spans="1:59" s="55" customFormat="1" ht="11.25" customHeight="1">
      <c r="A193" s="95" t="s">
        <v>688</v>
      </c>
      <c r="B193" s="94"/>
      <c r="C193" s="94"/>
      <c r="D193" s="94"/>
      <c r="E193" s="94" t="s">
        <v>4636</v>
      </c>
      <c r="F193" s="94" t="s">
        <v>4626</v>
      </c>
      <c r="G193" s="91"/>
      <c r="H193" s="94" t="s">
        <v>2025</v>
      </c>
      <c r="I193" s="94"/>
      <c r="J193" s="94" t="s">
        <v>2633</v>
      </c>
      <c r="K193" s="94"/>
      <c r="L193" s="94" t="s">
        <v>1525</v>
      </c>
      <c r="M193" s="94" t="s">
        <v>1016</v>
      </c>
      <c r="N193" s="94"/>
      <c r="O193" s="94" t="s">
        <v>1381</v>
      </c>
      <c r="P193" s="94"/>
      <c r="Q193" s="94"/>
      <c r="R193" s="94" t="s">
        <v>2792</v>
      </c>
      <c r="S193" s="94"/>
      <c r="T193" s="94"/>
      <c r="U193" s="94"/>
      <c r="V193" s="94" t="s">
        <v>1381</v>
      </c>
      <c r="W193" s="94" t="s">
        <v>1792</v>
      </c>
      <c r="X193" s="94" t="s">
        <v>1794</v>
      </c>
      <c r="Y193" s="94" t="s">
        <v>762</v>
      </c>
      <c r="Z193" s="94" t="s">
        <v>1088</v>
      </c>
      <c r="AA193" s="91"/>
      <c r="AB193" s="94"/>
      <c r="AC193" s="94"/>
      <c r="AD193" s="94"/>
      <c r="AE193" s="94" t="s">
        <v>1169</v>
      </c>
      <c r="AF193" s="94"/>
      <c r="AG193" s="91"/>
      <c r="AH193" s="91"/>
      <c r="AI193" s="94"/>
      <c r="AJ193" s="94"/>
      <c r="AK193" s="94" t="s">
        <v>1170</v>
      </c>
      <c r="AL193" s="91" t="s">
        <v>39</v>
      </c>
      <c r="AM193" s="94" t="s">
        <v>1223</v>
      </c>
      <c r="AN193" s="94" t="s">
        <v>1170</v>
      </c>
      <c r="AO193" s="94" t="s">
        <v>1223</v>
      </c>
      <c r="AP193" s="94"/>
      <c r="AQ193" s="91"/>
      <c r="AR193" s="94"/>
      <c r="AS193" s="94" t="s">
        <v>1704</v>
      </c>
      <c r="AT193" s="91"/>
      <c r="AU193" s="94"/>
      <c r="AV193" s="94" t="s">
        <v>869</v>
      </c>
      <c r="AW193" s="94" t="s">
        <v>869</v>
      </c>
      <c r="AX193" s="94"/>
      <c r="AY193" s="94"/>
      <c r="AZ193" s="94" t="s">
        <v>1283</v>
      </c>
      <c r="BA193" s="94" t="s">
        <v>1283</v>
      </c>
      <c r="BB193" s="91"/>
      <c r="BC193" s="91" t="s">
        <v>1381</v>
      </c>
      <c r="BD193" s="94"/>
      <c r="BE193" s="94" t="s">
        <v>918</v>
      </c>
      <c r="BF193" s="94" t="s">
        <v>958</v>
      </c>
      <c r="BG193" s="94"/>
    </row>
    <row r="194" spans="1:59" s="55" customFormat="1" ht="22.5" customHeight="1">
      <c r="A194" s="53" t="s">
        <v>21</v>
      </c>
      <c r="B194" s="64">
        <v>0.05</v>
      </c>
      <c r="C194" s="64">
        <v>0.05</v>
      </c>
      <c r="D194" s="64">
        <v>0.1</v>
      </c>
      <c r="E194" s="48">
        <v>0.05</v>
      </c>
      <c r="F194" s="48">
        <v>0.1</v>
      </c>
      <c r="G194" s="64">
        <v>0.05</v>
      </c>
      <c r="H194" s="48">
        <v>0.15</v>
      </c>
      <c r="I194" s="48">
        <v>0.15</v>
      </c>
      <c r="J194" s="48">
        <v>0.15</v>
      </c>
      <c r="K194" s="64">
        <v>0.08</v>
      </c>
      <c r="L194" s="48">
        <v>0.08</v>
      </c>
      <c r="M194" s="64">
        <v>0.2</v>
      </c>
      <c r="N194" s="48">
        <v>0.1</v>
      </c>
      <c r="O194" s="48">
        <v>0.05</v>
      </c>
      <c r="P194" s="48">
        <v>0.15</v>
      </c>
      <c r="Q194" s="48">
        <v>0.05</v>
      </c>
      <c r="R194" s="48">
        <v>0.05</v>
      </c>
      <c r="S194" s="64">
        <v>0.05</v>
      </c>
      <c r="T194" s="48">
        <v>0.15</v>
      </c>
      <c r="U194" s="48">
        <v>0.15</v>
      </c>
      <c r="V194" s="48">
        <v>0.05</v>
      </c>
      <c r="W194" s="48">
        <v>0.05</v>
      </c>
      <c r="X194" s="48">
        <v>0.15</v>
      </c>
      <c r="Y194" s="64">
        <v>0.2</v>
      </c>
      <c r="Z194" s="64">
        <v>0.15</v>
      </c>
      <c r="AA194" s="21">
        <v>7.4999999999999997E-2</v>
      </c>
      <c r="AB194" s="48">
        <v>0.2</v>
      </c>
      <c r="AC194" s="48" t="s">
        <v>983</v>
      </c>
      <c r="AD194" s="48" t="s">
        <v>998</v>
      </c>
      <c r="AE194" s="48">
        <v>0.15</v>
      </c>
      <c r="AF194" s="48">
        <v>0.2</v>
      </c>
      <c r="AG194" s="48">
        <v>0.2</v>
      </c>
      <c r="AH194" s="48">
        <v>0.2</v>
      </c>
      <c r="AI194" s="48">
        <v>0.05</v>
      </c>
      <c r="AJ194" s="48">
        <v>0.1</v>
      </c>
      <c r="AK194" s="48">
        <v>0.15</v>
      </c>
      <c r="AL194" s="49" t="s">
        <v>4669</v>
      </c>
      <c r="AM194" s="48">
        <v>0.1</v>
      </c>
      <c r="AN194" s="48">
        <v>0.15</v>
      </c>
      <c r="AO194" s="48">
        <v>0.1</v>
      </c>
      <c r="AP194" s="48">
        <v>0.1</v>
      </c>
      <c r="AQ194" s="48">
        <v>0.15</v>
      </c>
      <c r="AR194" s="64">
        <v>0.1</v>
      </c>
      <c r="AS194" s="48">
        <v>0.05</v>
      </c>
      <c r="AT194" s="64">
        <v>0.05</v>
      </c>
      <c r="AU194" s="64">
        <v>0.05</v>
      </c>
      <c r="AV194" s="48">
        <v>0.05</v>
      </c>
      <c r="AW194" s="48">
        <v>0.05</v>
      </c>
      <c r="AX194" s="48">
        <v>0.1</v>
      </c>
      <c r="AY194" s="48">
        <v>0.15</v>
      </c>
      <c r="AZ194" s="48">
        <v>0.1</v>
      </c>
      <c r="BA194" s="48">
        <v>0.15</v>
      </c>
      <c r="BB194" s="48">
        <v>0.05</v>
      </c>
      <c r="BC194" s="48">
        <v>0.05</v>
      </c>
      <c r="BD194" s="48">
        <v>0.2</v>
      </c>
      <c r="BE194" s="48">
        <v>0.05</v>
      </c>
      <c r="BF194" s="48" t="s">
        <v>959</v>
      </c>
      <c r="BG194" s="48">
        <v>0.1</v>
      </c>
    </row>
    <row r="195" spans="1:59" s="55" customFormat="1" ht="11.25" customHeight="1">
      <c r="A195" s="95" t="s">
        <v>688</v>
      </c>
      <c r="B195" s="94"/>
      <c r="C195" s="94"/>
      <c r="D195" s="94"/>
      <c r="E195" s="94" t="s">
        <v>4636</v>
      </c>
      <c r="F195" s="94" t="s">
        <v>4626</v>
      </c>
      <c r="G195" s="91"/>
      <c r="H195" s="94" t="s">
        <v>2025</v>
      </c>
      <c r="I195" s="94"/>
      <c r="J195" s="94" t="s">
        <v>2633</v>
      </c>
      <c r="K195" s="94"/>
      <c r="L195" s="94" t="s">
        <v>1525</v>
      </c>
      <c r="M195" s="94" t="s">
        <v>1016</v>
      </c>
      <c r="N195" s="94"/>
      <c r="O195" s="94" t="s">
        <v>1381</v>
      </c>
      <c r="P195" s="94"/>
      <c r="Q195" s="94"/>
      <c r="R195" s="94" t="s">
        <v>2792</v>
      </c>
      <c r="S195" s="94"/>
      <c r="T195" s="94"/>
      <c r="U195" s="94"/>
      <c r="V195" s="94" t="s">
        <v>1381</v>
      </c>
      <c r="W195" s="94" t="s">
        <v>1792</v>
      </c>
      <c r="X195" s="94" t="s">
        <v>1794</v>
      </c>
      <c r="Y195" s="94" t="s">
        <v>762</v>
      </c>
      <c r="Z195" s="94" t="s">
        <v>1088</v>
      </c>
      <c r="AA195" s="91"/>
      <c r="AB195" s="94"/>
      <c r="AC195" s="94"/>
      <c r="AD195" s="94"/>
      <c r="AE195" s="94" t="s">
        <v>1169</v>
      </c>
      <c r="AF195" s="94"/>
      <c r="AG195" s="91"/>
      <c r="AH195" s="91"/>
      <c r="AI195" s="94"/>
      <c r="AJ195" s="94"/>
      <c r="AK195" s="94" t="s">
        <v>1170</v>
      </c>
      <c r="AL195" s="91" t="s">
        <v>39</v>
      </c>
      <c r="AM195" s="94" t="s">
        <v>1223</v>
      </c>
      <c r="AN195" s="94" t="s">
        <v>1170</v>
      </c>
      <c r="AO195" s="94" t="s">
        <v>1223</v>
      </c>
      <c r="AP195" s="94"/>
      <c r="AQ195" s="91"/>
      <c r="AR195" s="94"/>
      <c r="AS195" s="94" t="s">
        <v>1704</v>
      </c>
      <c r="AT195" s="91"/>
      <c r="AU195" s="94"/>
      <c r="AV195" s="94" t="s">
        <v>869</v>
      </c>
      <c r="AW195" s="94" t="s">
        <v>869</v>
      </c>
      <c r="AX195" s="94"/>
      <c r="AY195" s="94"/>
      <c r="AZ195" s="94" t="s">
        <v>1283</v>
      </c>
      <c r="BA195" s="94" t="s">
        <v>1283</v>
      </c>
      <c r="BB195" s="91"/>
      <c r="BC195" s="91" t="s">
        <v>1381</v>
      </c>
      <c r="BD195" s="94"/>
      <c r="BE195" s="94" t="s">
        <v>918</v>
      </c>
      <c r="BF195" s="94" t="s">
        <v>958</v>
      </c>
      <c r="BG195" s="94"/>
    </row>
    <row r="196" spans="1:59" s="55" customFormat="1" ht="22.5" customHeight="1">
      <c r="A196" s="53" t="s">
        <v>28</v>
      </c>
      <c r="B196" s="64" t="s">
        <v>39</v>
      </c>
      <c r="C196" s="64" t="s">
        <v>39</v>
      </c>
      <c r="D196" s="64">
        <v>1</v>
      </c>
      <c r="E196" s="48" t="s">
        <v>39</v>
      </c>
      <c r="F196" s="48">
        <v>0.5</v>
      </c>
      <c r="G196" s="64" t="s">
        <v>39</v>
      </c>
      <c r="H196" s="48">
        <v>1</v>
      </c>
      <c r="I196" s="48">
        <v>1</v>
      </c>
      <c r="J196" s="48">
        <v>1</v>
      </c>
      <c r="K196" s="64">
        <v>0.8</v>
      </c>
      <c r="L196" s="48">
        <v>0.8</v>
      </c>
      <c r="M196" s="64">
        <v>1</v>
      </c>
      <c r="N196" s="48">
        <v>1</v>
      </c>
      <c r="O196" s="48">
        <v>1</v>
      </c>
      <c r="P196" s="48">
        <v>1</v>
      </c>
      <c r="Q196" s="48" t="s">
        <v>39</v>
      </c>
      <c r="R196" s="48" t="s">
        <v>39</v>
      </c>
      <c r="S196" s="64" t="s">
        <v>39</v>
      </c>
      <c r="T196" s="48">
        <v>1</v>
      </c>
      <c r="U196" s="48">
        <v>1</v>
      </c>
      <c r="V196" s="48" t="s">
        <v>39</v>
      </c>
      <c r="W196" s="48">
        <v>0.4</v>
      </c>
      <c r="X196" s="48">
        <v>1</v>
      </c>
      <c r="Y196" s="64">
        <v>1</v>
      </c>
      <c r="Z196" s="64">
        <v>1</v>
      </c>
      <c r="AA196" s="18" t="s">
        <v>39</v>
      </c>
      <c r="AB196" s="48">
        <v>1</v>
      </c>
      <c r="AC196" s="48" t="s">
        <v>984</v>
      </c>
      <c r="AD196" s="48" t="s">
        <v>999</v>
      </c>
      <c r="AE196" s="48">
        <v>1</v>
      </c>
      <c r="AF196" s="48">
        <v>1</v>
      </c>
      <c r="AG196" s="48">
        <v>1</v>
      </c>
      <c r="AH196" s="48">
        <v>1</v>
      </c>
      <c r="AI196" s="48" t="s">
        <v>39</v>
      </c>
      <c r="AJ196" s="48" t="s">
        <v>39</v>
      </c>
      <c r="AK196" s="48">
        <v>1</v>
      </c>
      <c r="AL196" s="49" t="s">
        <v>4669</v>
      </c>
      <c r="AM196" s="48">
        <v>0.7</v>
      </c>
      <c r="AN196" s="48">
        <v>1</v>
      </c>
      <c r="AO196" s="48">
        <v>0.7</v>
      </c>
      <c r="AP196" s="48" t="s">
        <v>39</v>
      </c>
      <c r="AQ196" s="48">
        <v>1</v>
      </c>
      <c r="AR196" s="64" t="s">
        <v>39</v>
      </c>
      <c r="AS196" s="48" t="s">
        <v>39</v>
      </c>
      <c r="AT196" s="64" t="s">
        <v>39</v>
      </c>
      <c r="AU196" s="64" t="s">
        <v>39</v>
      </c>
      <c r="AV196" s="48" t="s">
        <v>39</v>
      </c>
      <c r="AW196" s="48" t="s">
        <v>39</v>
      </c>
      <c r="AX196" s="48">
        <v>1</v>
      </c>
      <c r="AY196" s="48">
        <v>1</v>
      </c>
      <c r="AZ196" s="48">
        <v>1</v>
      </c>
      <c r="BA196" s="48">
        <v>1</v>
      </c>
      <c r="BB196" s="48">
        <v>0.4</v>
      </c>
      <c r="BC196" s="48" t="s">
        <v>39</v>
      </c>
      <c r="BD196" s="48">
        <v>1</v>
      </c>
      <c r="BE196" s="48" t="s">
        <v>39</v>
      </c>
      <c r="BF196" s="48">
        <v>0.5</v>
      </c>
      <c r="BG196" s="48">
        <v>0.9</v>
      </c>
    </row>
    <row r="197" spans="1:59" s="55" customFormat="1" ht="11.25" customHeight="1">
      <c r="A197" s="95" t="s">
        <v>688</v>
      </c>
      <c r="B197" s="94"/>
      <c r="C197" s="94"/>
      <c r="D197" s="94"/>
      <c r="E197" s="94"/>
      <c r="F197" s="94" t="s">
        <v>4626</v>
      </c>
      <c r="G197" s="91"/>
      <c r="H197" s="94" t="s">
        <v>2025</v>
      </c>
      <c r="I197" s="94"/>
      <c r="J197" s="94" t="s">
        <v>2633</v>
      </c>
      <c r="K197" s="94"/>
      <c r="L197" s="94" t="s">
        <v>1525</v>
      </c>
      <c r="M197" s="94" t="s">
        <v>1016</v>
      </c>
      <c r="N197" s="94"/>
      <c r="O197" s="94" t="s">
        <v>1381</v>
      </c>
      <c r="P197" s="94"/>
      <c r="Q197" s="94"/>
      <c r="R197" s="94" t="s">
        <v>39</v>
      </c>
      <c r="S197" s="94"/>
      <c r="T197" s="94"/>
      <c r="U197" s="94"/>
      <c r="V197" s="94" t="s">
        <v>39</v>
      </c>
      <c r="W197" s="94" t="s">
        <v>1792</v>
      </c>
      <c r="X197" s="94" t="s">
        <v>1794</v>
      </c>
      <c r="Y197" s="94" t="s">
        <v>762</v>
      </c>
      <c r="Z197" s="94" t="s">
        <v>1088</v>
      </c>
      <c r="AA197" s="91"/>
      <c r="AB197" s="94"/>
      <c r="AC197" s="94"/>
      <c r="AD197" s="94"/>
      <c r="AE197" s="94" t="s">
        <v>1169</v>
      </c>
      <c r="AF197" s="94"/>
      <c r="AG197" s="91"/>
      <c r="AH197" s="91"/>
      <c r="AI197" s="94"/>
      <c r="AJ197" s="94"/>
      <c r="AK197" s="94" t="s">
        <v>1170</v>
      </c>
      <c r="AL197" s="91" t="s">
        <v>39</v>
      </c>
      <c r="AM197" s="94" t="s">
        <v>1223</v>
      </c>
      <c r="AN197" s="94" t="s">
        <v>1170</v>
      </c>
      <c r="AO197" s="94" t="s">
        <v>1223</v>
      </c>
      <c r="AP197" s="94"/>
      <c r="AQ197" s="91"/>
      <c r="AR197" s="94"/>
      <c r="AS197" s="94" t="s">
        <v>39</v>
      </c>
      <c r="AT197" s="91"/>
      <c r="AU197" s="94"/>
      <c r="AV197" s="94" t="s">
        <v>39</v>
      </c>
      <c r="AW197" s="94" t="s">
        <v>39</v>
      </c>
      <c r="AX197" s="94"/>
      <c r="AY197" s="94"/>
      <c r="AZ197" s="94" t="s">
        <v>1283</v>
      </c>
      <c r="BA197" s="94" t="s">
        <v>1283</v>
      </c>
      <c r="BB197" s="91"/>
      <c r="BC197" s="91" t="s">
        <v>39</v>
      </c>
      <c r="BD197" s="94"/>
      <c r="BE197" s="94" t="s">
        <v>39</v>
      </c>
      <c r="BF197" s="94" t="s">
        <v>958</v>
      </c>
      <c r="BG197" s="94"/>
    </row>
    <row r="198" spans="1:59" s="55" customFormat="1" ht="22.5" customHeight="1">
      <c r="A198" s="53" t="s">
        <v>110</v>
      </c>
      <c r="B198" s="64" t="s">
        <v>39</v>
      </c>
      <c r="C198" s="64" t="s">
        <v>39</v>
      </c>
      <c r="D198" s="64">
        <v>0.3</v>
      </c>
      <c r="E198" s="48" t="s">
        <v>39</v>
      </c>
      <c r="F198" s="48">
        <v>0.25</v>
      </c>
      <c r="G198" s="64" t="s">
        <v>39</v>
      </c>
      <c r="H198" s="48" t="s">
        <v>39</v>
      </c>
      <c r="I198" s="48" t="s">
        <v>39</v>
      </c>
      <c r="J198" s="48" t="s">
        <v>39</v>
      </c>
      <c r="K198" s="64">
        <v>0.3</v>
      </c>
      <c r="L198" s="48">
        <v>0.3</v>
      </c>
      <c r="M198" s="64" t="s">
        <v>39</v>
      </c>
      <c r="N198" s="48" t="s">
        <v>39</v>
      </c>
      <c r="O198" s="48">
        <v>0.15</v>
      </c>
      <c r="P198" s="48">
        <v>0.25</v>
      </c>
      <c r="Q198" s="48" t="s">
        <v>39</v>
      </c>
      <c r="R198" s="48" t="s">
        <v>39</v>
      </c>
      <c r="S198" s="64">
        <v>0.2</v>
      </c>
      <c r="T198" s="48">
        <v>0.2</v>
      </c>
      <c r="U198" s="48" t="s">
        <v>39</v>
      </c>
      <c r="V198" s="48" t="s">
        <v>39</v>
      </c>
      <c r="W198" s="48" t="s">
        <v>39</v>
      </c>
      <c r="X198" s="48" t="s">
        <v>39</v>
      </c>
      <c r="Y198" s="64">
        <v>0.25</v>
      </c>
      <c r="Z198" s="64" t="s">
        <v>39</v>
      </c>
      <c r="AA198" s="18" t="s">
        <v>39</v>
      </c>
      <c r="AB198" s="48">
        <v>0.25</v>
      </c>
      <c r="AC198" s="48" t="s">
        <v>985</v>
      </c>
      <c r="AD198" s="48" t="s">
        <v>1000</v>
      </c>
      <c r="AE198" s="48" t="s">
        <v>39</v>
      </c>
      <c r="AF198" s="48" t="s">
        <v>39</v>
      </c>
      <c r="AG198" s="48" t="s">
        <v>39</v>
      </c>
      <c r="AH198" s="48" t="s">
        <v>39</v>
      </c>
      <c r="AI198" s="48" t="s">
        <v>39</v>
      </c>
      <c r="AJ198" s="48" t="s">
        <v>39</v>
      </c>
      <c r="AK198" s="48">
        <v>0.25</v>
      </c>
      <c r="AL198" s="49" t="s">
        <v>4669</v>
      </c>
      <c r="AM198" s="48">
        <v>0.2</v>
      </c>
      <c r="AN198" s="48">
        <v>0.25</v>
      </c>
      <c r="AO198" s="48">
        <v>0.2</v>
      </c>
      <c r="AP198" s="48" t="s">
        <v>39</v>
      </c>
      <c r="AQ198" s="48" t="s">
        <v>39</v>
      </c>
      <c r="AR198" s="64" t="s">
        <v>39</v>
      </c>
      <c r="AS198" s="48" t="s">
        <v>39</v>
      </c>
      <c r="AT198" s="64" t="s">
        <v>39</v>
      </c>
      <c r="AU198" s="64" t="s">
        <v>39</v>
      </c>
      <c r="AV198" s="48" t="s">
        <v>39</v>
      </c>
      <c r="AW198" s="48" t="s">
        <v>39</v>
      </c>
      <c r="AX198" s="48" t="s">
        <v>202</v>
      </c>
      <c r="AY198" s="48">
        <v>0.25</v>
      </c>
      <c r="AZ198" s="48">
        <v>0.25</v>
      </c>
      <c r="BA198" s="48">
        <v>0.25</v>
      </c>
      <c r="BB198" s="48">
        <v>0.2</v>
      </c>
      <c r="BC198" s="48" t="s">
        <v>39</v>
      </c>
      <c r="BD198" s="48">
        <v>0.25</v>
      </c>
      <c r="BE198" s="48" t="s">
        <v>39</v>
      </c>
      <c r="BF198" s="48">
        <v>0.2</v>
      </c>
      <c r="BG198" s="48" t="s">
        <v>39</v>
      </c>
    </row>
    <row r="199" spans="1:59" s="55" customFormat="1" ht="11.25" customHeight="1">
      <c r="A199" s="95" t="s">
        <v>688</v>
      </c>
      <c r="B199" s="94"/>
      <c r="C199" s="94"/>
      <c r="D199" s="94"/>
      <c r="E199" s="94"/>
      <c r="F199" s="94" t="s">
        <v>4626</v>
      </c>
      <c r="G199" s="91"/>
      <c r="H199" s="94" t="s">
        <v>39</v>
      </c>
      <c r="I199" s="94"/>
      <c r="J199" s="94" t="s">
        <v>39</v>
      </c>
      <c r="K199" s="94"/>
      <c r="L199" s="94" t="s">
        <v>1525</v>
      </c>
      <c r="M199" s="94" t="s">
        <v>39</v>
      </c>
      <c r="N199" s="94"/>
      <c r="O199" s="94" t="s">
        <v>1381</v>
      </c>
      <c r="P199" s="94"/>
      <c r="Q199" s="94"/>
      <c r="R199" s="94" t="s">
        <v>39</v>
      </c>
      <c r="S199" s="94"/>
      <c r="T199" s="94"/>
      <c r="U199" s="94"/>
      <c r="V199" s="94" t="s">
        <v>39</v>
      </c>
      <c r="W199" s="94" t="s">
        <v>39</v>
      </c>
      <c r="X199" s="94" t="s">
        <v>39</v>
      </c>
      <c r="Y199" s="94" t="s">
        <v>762</v>
      </c>
      <c r="Z199" s="94" t="s">
        <v>39</v>
      </c>
      <c r="AA199" s="91"/>
      <c r="AB199" s="94"/>
      <c r="AC199" s="94"/>
      <c r="AD199" s="94"/>
      <c r="AE199" s="94" t="s">
        <v>39</v>
      </c>
      <c r="AF199" s="94"/>
      <c r="AG199" s="91"/>
      <c r="AH199" s="91"/>
      <c r="AI199" s="94"/>
      <c r="AJ199" s="94"/>
      <c r="AK199" s="94" t="s">
        <v>1170</v>
      </c>
      <c r="AL199" s="91" t="s">
        <v>39</v>
      </c>
      <c r="AM199" s="94" t="s">
        <v>1223</v>
      </c>
      <c r="AN199" s="94" t="s">
        <v>1170</v>
      </c>
      <c r="AO199" s="94" t="s">
        <v>1223</v>
      </c>
      <c r="AP199" s="94"/>
      <c r="AQ199" s="91"/>
      <c r="AR199" s="94"/>
      <c r="AS199" s="94" t="s">
        <v>39</v>
      </c>
      <c r="AT199" s="91"/>
      <c r="AU199" s="94"/>
      <c r="AV199" s="94" t="s">
        <v>39</v>
      </c>
      <c r="AW199" s="94" t="s">
        <v>39</v>
      </c>
      <c r="AX199" s="94"/>
      <c r="AY199" s="94"/>
      <c r="AZ199" s="94" t="s">
        <v>1284</v>
      </c>
      <c r="BA199" s="94" t="s">
        <v>1284</v>
      </c>
      <c r="BB199" s="91"/>
      <c r="BC199" s="91" t="s">
        <v>39</v>
      </c>
      <c r="BD199" s="94"/>
      <c r="BE199" s="94" t="s">
        <v>39</v>
      </c>
      <c r="BF199" s="94" t="s">
        <v>958</v>
      </c>
      <c r="BG199" s="94"/>
    </row>
    <row r="200" spans="1:59" s="55" customFormat="1" ht="22.5" customHeight="1">
      <c r="A200" s="53" t="s">
        <v>111</v>
      </c>
      <c r="B200" s="64" t="s">
        <v>39</v>
      </c>
      <c r="C200" s="64" t="s">
        <v>39</v>
      </c>
      <c r="D200" s="64">
        <v>0.8</v>
      </c>
      <c r="E200" s="48" t="s">
        <v>39</v>
      </c>
      <c r="F200" s="48">
        <v>1</v>
      </c>
      <c r="G200" s="64" t="s">
        <v>39</v>
      </c>
      <c r="H200" s="48" t="s">
        <v>39</v>
      </c>
      <c r="I200" s="48" t="s">
        <v>39</v>
      </c>
      <c r="J200" s="48" t="s">
        <v>39</v>
      </c>
      <c r="K200" s="64" t="s">
        <v>39</v>
      </c>
      <c r="L200" s="48" t="s">
        <v>39</v>
      </c>
      <c r="M200" s="64" t="s">
        <v>39</v>
      </c>
      <c r="N200" s="48" t="s">
        <v>39</v>
      </c>
      <c r="O200" s="48">
        <v>1</v>
      </c>
      <c r="P200" s="48">
        <v>1</v>
      </c>
      <c r="Q200" s="48" t="s">
        <v>39</v>
      </c>
      <c r="R200" s="48" t="s">
        <v>39</v>
      </c>
      <c r="S200" s="64" t="s">
        <v>39</v>
      </c>
      <c r="T200" s="48" t="s">
        <v>39</v>
      </c>
      <c r="U200" s="48" t="s">
        <v>39</v>
      </c>
      <c r="V200" s="48" t="s">
        <v>39</v>
      </c>
      <c r="W200" s="48" t="s">
        <v>39</v>
      </c>
      <c r="X200" s="48" t="s">
        <v>39</v>
      </c>
      <c r="Y200" s="64">
        <v>1</v>
      </c>
      <c r="Z200" s="64" t="s">
        <v>39</v>
      </c>
      <c r="AA200" s="18" t="s">
        <v>39</v>
      </c>
      <c r="AB200" s="48">
        <v>1</v>
      </c>
      <c r="AC200" s="48" t="s">
        <v>984</v>
      </c>
      <c r="AD200" s="48" t="s">
        <v>999</v>
      </c>
      <c r="AE200" s="48" t="s">
        <v>39</v>
      </c>
      <c r="AF200" s="48" t="s">
        <v>39</v>
      </c>
      <c r="AG200" s="64" t="s">
        <v>39</v>
      </c>
      <c r="AH200" s="64" t="s">
        <v>39</v>
      </c>
      <c r="AI200" s="48" t="s">
        <v>39</v>
      </c>
      <c r="AJ200" s="48" t="s">
        <v>39</v>
      </c>
      <c r="AK200" s="48">
        <v>1</v>
      </c>
      <c r="AL200" s="49" t="s">
        <v>4669</v>
      </c>
      <c r="AM200" s="48">
        <v>1</v>
      </c>
      <c r="AN200" s="48">
        <v>1</v>
      </c>
      <c r="AO200" s="48">
        <v>1</v>
      </c>
      <c r="AP200" s="48" t="s">
        <v>39</v>
      </c>
      <c r="AQ200" s="48" t="s">
        <v>39</v>
      </c>
      <c r="AR200" s="64" t="s">
        <v>39</v>
      </c>
      <c r="AS200" s="48" t="s">
        <v>39</v>
      </c>
      <c r="AT200" s="64" t="s">
        <v>39</v>
      </c>
      <c r="AU200" s="64" t="s">
        <v>39</v>
      </c>
      <c r="AV200" s="48" t="s">
        <v>39</v>
      </c>
      <c r="AW200" s="48" t="s">
        <v>39</v>
      </c>
      <c r="AX200" s="48" t="s">
        <v>39</v>
      </c>
      <c r="AY200" s="48" t="s">
        <v>39</v>
      </c>
      <c r="AZ200" s="48">
        <v>1</v>
      </c>
      <c r="BA200" s="48">
        <v>1</v>
      </c>
      <c r="BB200" s="48">
        <v>1</v>
      </c>
      <c r="BC200" s="48" t="s">
        <v>39</v>
      </c>
      <c r="BD200" s="48">
        <v>1</v>
      </c>
      <c r="BE200" s="48" t="s">
        <v>39</v>
      </c>
      <c r="BF200" s="48" t="s">
        <v>39</v>
      </c>
      <c r="BG200" s="48" t="s">
        <v>39</v>
      </c>
    </row>
    <row r="201" spans="1:59" s="55" customFormat="1" ht="11.25" customHeight="1">
      <c r="A201" s="95" t="s">
        <v>688</v>
      </c>
      <c r="B201" s="94"/>
      <c r="C201" s="94"/>
      <c r="D201" s="94"/>
      <c r="E201" s="94"/>
      <c r="F201" s="94" t="s">
        <v>4626</v>
      </c>
      <c r="G201" s="91"/>
      <c r="H201" s="94" t="s">
        <v>39</v>
      </c>
      <c r="I201" s="94"/>
      <c r="J201" s="94" t="s">
        <v>39</v>
      </c>
      <c r="K201" s="94"/>
      <c r="L201" s="94" t="s">
        <v>39</v>
      </c>
      <c r="M201" s="94" t="s">
        <v>39</v>
      </c>
      <c r="N201" s="94"/>
      <c r="O201" s="94" t="s">
        <v>1381</v>
      </c>
      <c r="P201" s="94"/>
      <c r="Q201" s="94"/>
      <c r="R201" s="94" t="s">
        <v>39</v>
      </c>
      <c r="S201" s="94"/>
      <c r="T201" s="94"/>
      <c r="U201" s="94"/>
      <c r="V201" s="94" t="s">
        <v>39</v>
      </c>
      <c r="W201" s="94" t="s">
        <v>39</v>
      </c>
      <c r="X201" s="94" t="s">
        <v>39</v>
      </c>
      <c r="Y201" s="94" t="s">
        <v>762</v>
      </c>
      <c r="Z201" s="94" t="s">
        <v>39</v>
      </c>
      <c r="AA201" s="91"/>
      <c r="AB201" s="94"/>
      <c r="AC201" s="94"/>
      <c r="AD201" s="94"/>
      <c r="AE201" s="94" t="s">
        <v>39</v>
      </c>
      <c r="AF201" s="94"/>
      <c r="AG201" s="91"/>
      <c r="AH201" s="91"/>
      <c r="AI201" s="94"/>
      <c r="AJ201" s="94"/>
      <c r="AK201" s="94" t="s">
        <v>1170</v>
      </c>
      <c r="AL201" s="91" t="s">
        <v>39</v>
      </c>
      <c r="AM201" s="94" t="s">
        <v>1223</v>
      </c>
      <c r="AN201" s="94" t="s">
        <v>1170</v>
      </c>
      <c r="AO201" s="94" t="s">
        <v>1223</v>
      </c>
      <c r="AP201" s="94"/>
      <c r="AQ201" s="91"/>
      <c r="AR201" s="94"/>
      <c r="AS201" s="94" t="s">
        <v>39</v>
      </c>
      <c r="AT201" s="91"/>
      <c r="AU201" s="94"/>
      <c r="AV201" s="94" t="s">
        <v>39</v>
      </c>
      <c r="AW201" s="94" t="s">
        <v>39</v>
      </c>
      <c r="AX201" s="94"/>
      <c r="AY201" s="94"/>
      <c r="AZ201" s="94" t="s">
        <v>1284</v>
      </c>
      <c r="BA201" s="94" t="s">
        <v>1284</v>
      </c>
      <c r="BB201" s="91"/>
      <c r="BC201" s="91" t="s">
        <v>39</v>
      </c>
      <c r="BD201" s="94"/>
      <c r="BE201" s="94" t="s">
        <v>39</v>
      </c>
      <c r="BF201" s="94" t="s">
        <v>39</v>
      </c>
      <c r="BG201" s="94"/>
    </row>
    <row r="202" spans="1:59" s="55" customFormat="1" ht="22.5" customHeight="1">
      <c r="A202" s="53" t="s">
        <v>112</v>
      </c>
      <c r="B202" s="64" t="s">
        <v>39</v>
      </c>
      <c r="C202" s="64" t="s">
        <v>39</v>
      </c>
      <c r="D202" s="64">
        <v>0.1</v>
      </c>
      <c r="E202" s="48" t="s">
        <v>39</v>
      </c>
      <c r="F202" s="48">
        <v>0.1</v>
      </c>
      <c r="G202" s="64" t="s">
        <v>39</v>
      </c>
      <c r="H202" s="48" t="s">
        <v>39</v>
      </c>
      <c r="I202" s="48" t="s">
        <v>39</v>
      </c>
      <c r="J202" s="48" t="s">
        <v>39</v>
      </c>
      <c r="K202" s="64">
        <v>0.3</v>
      </c>
      <c r="L202" s="48">
        <v>0.3</v>
      </c>
      <c r="M202" s="64" t="s">
        <v>39</v>
      </c>
      <c r="N202" s="48" t="s">
        <v>39</v>
      </c>
      <c r="O202" s="48">
        <v>0.05</v>
      </c>
      <c r="P202" s="48">
        <v>0.1</v>
      </c>
      <c r="Q202" s="48" t="s">
        <v>39</v>
      </c>
      <c r="R202" s="48" t="s">
        <v>39</v>
      </c>
      <c r="S202" s="64">
        <v>0.1</v>
      </c>
      <c r="T202" s="48">
        <v>0.1</v>
      </c>
      <c r="U202" s="48" t="s">
        <v>39</v>
      </c>
      <c r="V202" s="48" t="s">
        <v>39</v>
      </c>
      <c r="W202" s="48" t="s">
        <v>39</v>
      </c>
      <c r="X202" s="48" t="s">
        <v>39</v>
      </c>
      <c r="Y202" s="64">
        <v>0.1</v>
      </c>
      <c r="Z202" s="64" t="s">
        <v>39</v>
      </c>
      <c r="AA202" s="18" t="s">
        <v>39</v>
      </c>
      <c r="AB202" s="48">
        <v>0.1</v>
      </c>
      <c r="AC202" s="48" t="s">
        <v>986</v>
      </c>
      <c r="AD202" s="48" t="s">
        <v>1001</v>
      </c>
      <c r="AE202" s="48" t="s">
        <v>39</v>
      </c>
      <c r="AF202" s="48" t="s">
        <v>39</v>
      </c>
      <c r="AG202" s="64" t="s">
        <v>39</v>
      </c>
      <c r="AH202" s="64" t="s">
        <v>39</v>
      </c>
      <c r="AI202" s="48" t="s">
        <v>39</v>
      </c>
      <c r="AJ202" s="48" t="s">
        <v>39</v>
      </c>
      <c r="AK202" s="48">
        <v>0.1</v>
      </c>
      <c r="AL202" s="49" t="s">
        <v>4669</v>
      </c>
      <c r="AM202" s="48">
        <v>0.1</v>
      </c>
      <c r="AN202" s="48">
        <v>0.1</v>
      </c>
      <c r="AO202" s="48">
        <v>0.1</v>
      </c>
      <c r="AP202" s="48" t="s">
        <v>39</v>
      </c>
      <c r="AQ202" s="48" t="s">
        <v>39</v>
      </c>
      <c r="AR202" s="64" t="s">
        <v>39</v>
      </c>
      <c r="AS202" s="48" t="s">
        <v>39</v>
      </c>
      <c r="AT202" s="64" t="s">
        <v>39</v>
      </c>
      <c r="AU202" s="64" t="s">
        <v>39</v>
      </c>
      <c r="AV202" s="48" t="s">
        <v>39</v>
      </c>
      <c r="AW202" s="48" t="s">
        <v>39</v>
      </c>
      <c r="AX202" s="48" t="s">
        <v>202</v>
      </c>
      <c r="AY202" s="48">
        <v>0.1</v>
      </c>
      <c r="AZ202" s="48">
        <v>0.1</v>
      </c>
      <c r="BA202" s="48">
        <v>0.1</v>
      </c>
      <c r="BB202" s="48">
        <v>0.1</v>
      </c>
      <c r="BC202" s="48" t="s">
        <v>39</v>
      </c>
      <c r="BD202" s="48">
        <v>0.1</v>
      </c>
      <c r="BE202" s="48" t="s">
        <v>39</v>
      </c>
      <c r="BF202" s="48">
        <v>0.1</v>
      </c>
      <c r="BG202" s="48" t="s">
        <v>39</v>
      </c>
    </row>
    <row r="203" spans="1:59" s="55" customFormat="1" ht="11.25" customHeight="1">
      <c r="A203" s="95" t="s">
        <v>688</v>
      </c>
      <c r="B203" s="94"/>
      <c r="C203" s="94"/>
      <c r="D203" s="94"/>
      <c r="E203" s="94" t="s">
        <v>39</v>
      </c>
      <c r="F203" s="94" t="s">
        <v>4626</v>
      </c>
      <c r="G203" s="91"/>
      <c r="H203" s="94" t="s">
        <v>39</v>
      </c>
      <c r="I203" s="94"/>
      <c r="J203" s="94" t="s">
        <v>39</v>
      </c>
      <c r="K203" s="94"/>
      <c r="L203" s="94" t="s">
        <v>1525</v>
      </c>
      <c r="M203" s="94" t="s">
        <v>39</v>
      </c>
      <c r="N203" s="94"/>
      <c r="O203" s="94" t="s">
        <v>1381</v>
      </c>
      <c r="P203" s="94"/>
      <c r="Q203" s="94"/>
      <c r="R203" s="94" t="s">
        <v>39</v>
      </c>
      <c r="S203" s="94"/>
      <c r="T203" s="94"/>
      <c r="U203" s="94"/>
      <c r="V203" s="94" t="s">
        <v>39</v>
      </c>
      <c r="W203" s="94" t="s">
        <v>39</v>
      </c>
      <c r="X203" s="94" t="s">
        <v>39</v>
      </c>
      <c r="Y203" s="94" t="s">
        <v>762</v>
      </c>
      <c r="Z203" s="94" t="s">
        <v>39</v>
      </c>
      <c r="AA203" s="91"/>
      <c r="AB203" s="94"/>
      <c r="AC203" s="94"/>
      <c r="AD203" s="94"/>
      <c r="AE203" s="94" t="s">
        <v>39</v>
      </c>
      <c r="AF203" s="94"/>
      <c r="AG203" s="91"/>
      <c r="AH203" s="91"/>
      <c r="AI203" s="94"/>
      <c r="AJ203" s="94"/>
      <c r="AK203" s="94" t="s">
        <v>1170</v>
      </c>
      <c r="AL203" s="91" t="s">
        <v>39</v>
      </c>
      <c r="AM203" s="94" t="s">
        <v>1223</v>
      </c>
      <c r="AN203" s="94" t="s">
        <v>1170</v>
      </c>
      <c r="AO203" s="94" t="s">
        <v>1223</v>
      </c>
      <c r="AP203" s="94"/>
      <c r="AQ203" s="91"/>
      <c r="AR203" s="94"/>
      <c r="AS203" s="94" t="s">
        <v>39</v>
      </c>
      <c r="AT203" s="91"/>
      <c r="AU203" s="94"/>
      <c r="AV203" s="94" t="s">
        <v>39</v>
      </c>
      <c r="AW203" s="94" t="s">
        <v>39</v>
      </c>
      <c r="AX203" s="94"/>
      <c r="AY203" s="94"/>
      <c r="AZ203" s="94" t="s">
        <v>1284</v>
      </c>
      <c r="BA203" s="94" t="s">
        <v>1284</v>
      </c>
      <c r="BB203" s="91"/>
      <c r="BC203" s="91" t="s">
        <v>39</v>
      </c>
      <c r="BD203" s="94"/>
      <c r="BE203" s="94" t="s">
        <v>39</v>
      </c>
      <c r="BF203" s="94" t="s">
        <v>958</v>
      </c>
      <c r="BG203" s="94"/>
    </row>
    <row r="204" spans="1:59" s="55" customFormat="1" ht="22.5" customHeight="1">
      <c r="A204" s="53" t="s">
        <v>113</v>
      </c>
      <c r="B204" s="64" t="s">
        <v>39</v>
      </c>
      <c r="C204" s="64" t="s">
        <v>39</v>
      </c>
      <c r="D204" s="64" t="s">
        <v>4482</v>
      </c>
      <c r="E204" s="48" t="s">
        <v>39</v>
      </c>
      <c r="F204" s="48" t="s">
        <v>39</v>
      </c>
      <c r="G204" s="64" t="s">
        <v>39</v>
      </c>
      <c r="H204" s="48" t="s">
        <v>39</v>
      </c>
      <c r="I204" s="48" t="s">
        <v>39</v>
      </c>
      <c r="J204" s="48" t="s">
        <v>39</v>
      </c>
      <c r="K204" s="64" t="s">
        <v>39</v>
      </c>
      <c r="L204" s="48" t="s">
        <v>39</v>
      </c>
      <c r="M204" s="64" t="s">
        <v>39</v>
      </c>
      <c r="N204" s="48" t="s">
        <v>39</v>
      </c>
      <c r="O204" s="48">
        <v>0.1</v>
      </c>
      <c r="P204" s="48">
        <v>0.2</v>
      </c>
      <c r="Q204" s="48" t="s">
        <v>39</v>
      </c>
      <c r="R204" s="48" t="s">
        <v>39</v>
      </c>
      <c r="S204" s="64" t="s">
        <v>39</v>
      </c>
      <c r="T204" s="48" t="s">
        <v>39</v>
      </c>
      <c r="U204" s="48" t="s">
        <v>39</v>
      </c>
      <c r="V204" s="48" t="s">
        <v>39</v>
      </c>
      <c r="W204" s="48" t="s">
        <v>39</v>
      </c>
      <c r="X204" s="48" t="s">
        <v>39</v>
      </c>
      <c r="Y204" s="64">
        <v>0.2</v>
      </c>
      <c r="Z204" s="64" t="s">
        <v>39</v>
      </c>
      <c r="AA204" s="18" t="s">
        <v>39</v>
      </c>
      <c r="AB204" s="48">
        <v>0.2</v>
      </c>
      <c r="AC204" s="48" t="s">
        <v>987</v>
      </c>
      <c r="AD204" s="48" t="s">
        <v>1002</v>
      </c>
      <c r="AE204" s="48" t="s">
        <v>39</v>
      </c>
      <c r="AF204" s="48" t="s">
        <v>39</v>
      </c>
      <c r="AG204" s="64" t="s">
        <v>39</v>
      </c>
      <c r="AH204" s="64" t="s">
        <v>39</v>
      </c>
      <c r="AI204" s="48" t="s">
        <v>39</v>
      </c>
      <c r="AJ204" s="48" t="s">
        <v>39</v>
      </c>
      <c r="AK204" s="48">
        <v>0.2</v>
      </c>
      <c r="AL204" s="49" t="s">
        <v>4669</v>
      </c>
      <c r="AM204" s="48">
        <v>0.2</v>
      </c>
      <c r="AN204" s="48">
        <v>0.2</v>
      </c>
      <c r="AO204" s="48">
        <v>0.2</v>
      </c>
      <c r="AP204" s="48" t="s">
        <v>39</v>
      </c>
      <c r="AQ204" s="48" t="s">
        <v>39</v>
      </c>
      <c r="AR204" s="64" t="s">
        <v>39</v>
      </c>
      <c r="AS204" s="48" t="s">
        <v>39</v>
      </c>
      <c r="AT204" s="64" t="s">
        <v>39</v>
      </c>
      <c r="AU204" s="64" t="s">
        <v>39</v>
      </c>
      <c r="AV204" s="48" t="s">
        <v>39</v>
      </c>
      <c r="AW204" s="48" t="s">
        <v>39</v>
      </c>
      <c r="AX204" s="48" t="s">
        <v>39</v>
      </c>
      <c r="AY204" s="48" t="s">
        <v>39</v>
      </c>
      <c r="AZ204" s="48" t="s">
        <v>39</v>
      </c>
      <c r="BA204" s="48" t="s">
        <v>39</v>
      </c>
      <c r="BB204" s="48" t="s">
        <v>39</v>
      </c>
      <c r="BC204" s="48" t="s">
        <v>39</v>
      </c>
      <c r="BD204" s="48" t="s">
        <v>39</v>
      </c>
      <c r="BE204" s="48" t="s">
        <v>39</v>
      </c>
      <c r="BF204" s="48" t="s">
        <v>39</v>
      </c>
      <c r="BG204" s="48" t="s">
        <v>39</v>
      </c>
    </row>
    <row r="205" spans="1:59" s="55" customFormat="1" ht="11.25" customHeight="1">
      <c r="A205" s="95" t="s">
        <v>688</v>
      </c>
      <c r="B205" s="94"/>
      <c r="C205" s="94"/>
      <c r="D205" s="94"/>
      <c r="E205" s="94"/>
      <c r="F205" s="94" t="s">
        <v>4626</v>
      </c>
      <c r="G205" s="91"/>
      <c r="H205" s="94" t="s">
        <v>39</v>
      </c>
      <c r="I205" s="94"/>
      <c r="J205" s="94" t="s">
        <v>39</v>
      </c>
      <c r="K205" s="94"/>
      <c r="L205" s="94" t="s">
        <v>39</v>
      </c>
      <c r="M205" s="94" t="s">
        <v>39</v>
      </c>
      <c r="N205" s="94"/>
      <c r="O205" s="94" t="s">
        <v>1381</v>
      </c>
      <c r="P205" s="94"/>
      <c r="Q205" s="94"/>
      <c r="R205" s="94" t="s">
        <v>39</v>
      </c>
      <c r="S205" s="94"/>
      <c r="T205" s="94"/>
      <c r="U205" s="94"/>
      <c r="V205" s="94" t="s">
        <v>39</v>
      </c>
      <c r="W205" s="94" t="s">
        <v>39</v>
      </c>
      <c r="X205" s="94" t="s">
        <v>39</v>
      </c>
      <c r="Y205" s="94" t="s">
        <v>762</v>
      </c>
      <c r="Z205" s="94" t="s">
        <v>39</v>
      </c>
      <c r="AA205" s="91"/>
      <c r="AB205" s="94"/>
      <c r="AC205" s="94"/>
      <c r="AD205" s="94"/>
      <c r="AE205" s="94" t="s">
        <v>39</v>
      </c>
      <c r="AF205" s="94"/>
      <c r="AG205" s="91"/>
      <c r="AH205" s="91"/>
      <c r="AI205" s="94"/>
      <c r="AJ205" s="94"/>
      <c r="AK205" s="94" t="s">
        <v>1170</v>
      </c>
      <c r="AL205" s="91" t="s">
        <v>39</v>
      </c>
      <c r="AM205" s="94" t="s">
        <v>1223</v>
      </c>
      <c r="AN205" s="94" t="s">
        <v>1170</v>
      </c>
      <c r="AO205" s="94" t="s">
        <v>1223</v>
      </c>
      <c r="AP205" s="94"/>
      <c r="AQ205" s="91"/>
      <c r="AR205" s="94"/>
      <c r="AS205" s="94" t="s">
        <v>39</v>
      </c>
      <c r="AT205" s="91"/>
      <c r="AU205" s="94"/>
      <c r="AV205" s="94" t="s">
        <v>39</v>
      </c>
      <c r="AW205" s="94" t="s">
        <v>39</v>
      </c>
      <c r="AX205" s="94"/>
      <c r="AY205" s="94"/>
      <c r="AZ205" s="94" t="s">
        <v>39</v>
      </c>
      <c r="BA205" s="94" t="s">
        <v>39</v>
      </c>
      <c r="BB205" s="91"/>
      <c r="BC205" s="91" t="s">
        <v>39</v>
      </c>
      <c r="BD205" s="94"/>
      <c r="BE205" s="94" t="s">
        <v>39</v>
      </c>
      <c r="BF205" s="94" t="s">
        <v>39</v>
      </c>
      <c r="BG205" s="94"/>
    </row>
    <row r="206" spans="1:59" s="55" customFormat="1" ht="22.5" customHeight="1">
      <c r="A206" s="53" t="s">
        <v>114</v>
      </c>
      <c r="B206" s="64" t="s">
        <v>39</v>
      </c>
      <c r="C206" s="64" t="s">
        <v>39</v>
      </c>
      <c r="D206" s="64" t="s">
        <v>39</v>
      </c>
      <c r="E206" s="48" t="s">
        <v>39</v>
      </c>
      <c r="F206" s="48" t="s">
        <v>39</v>
      </c>
      <c r="G206" s="64" t="s">
        <v>39</v>
      </c>
      <c r="H206" s="48" t="s">
        <v>39</v>
      </c>
      <c r="I206" s="48" t="s">
        <v>39</v>
      </c>
      <c r="J206" s="48" t="s">
        <v>39</v>
      </c>
      <c r="K206" s="64" t="s">
        <v>39</v>
      </c>
      <c r="L206" s="48" t="s">
        <v>39</v>
      </c>
      <c r="M206" s="64" t="s">
        <v>39</v>
      </c>
      <c r="N206" s="48" t="s">
        <v>39</v>
      </c>
      <c r="O206" s="48" t="s">
        <v>39</v>
      </c>
      <c r="P206" s="48">
        <v>0.1</v>
      </c>
      <c r="Q206" s="48" t="s">
        <v>39</v>
      </c>
      <c r="R206" s="48" t="s">
        <v>39</v>
      </c>
      <c r="S206" s="64" t="s">
        <v>39</v>
      </c>
      <c r="T206" s="48" t="s">
        <v>39</v>
      </c>
      <c r="U206" s="48" t="s">
        <v>39</v>
      </c>
      <c r="V206" s="48" t="s">
        <v>39</v>
      </c>
      <c r="W206" s="48" t="s">
        <v>39</v>
      </c>
      <c r="X206" s="48" t="s">
        <v>39</v>
      </c>
      <c r="Y206" s="64">
        <v>0.1</v>
      </c>
      <c r="Z206" s="64" t="s">
        <v>39</v>
      </c>
      <c r="AA206" s="18" t="s">
        <v>39</v>
      </c>
      <c r="AB206" s="48">
        <v>0.1</v>
      </c>
      <c r="AC206" s="48" t="s">
        <v>986</v>
      </c>
      <c r="AD206" s="48" t="s">
        <v>1001</v>
      </c>
      <c r="AE206" s="48" t="s">
        <v>39</v>
      </c>
      <c r="AF206" s="48" t="s">
        <v>39</v>
      </c>
      <c r="AG206" s="64" t="s">
        <v>39</v>
      </c>
      <c r="AH206" s="64" t="s">
        <v>39</v>
      </c>
      <c r="AI206" s="48" t="s">
        <v>39</v>
      </c>
      <c r="AJ206" s="48" t="s">
        <v>39</v>
      </c>
      <c r="AK206" s="48" t="s">
        <v>39</v>
      </c>
      <c r="AL206" s="49" t="s">
        <v>4669</v>
      </c>
      <c r="AM206" s="48" t="s">
        <v>39</v>
      </c>
      <c r="AN206" s="48" t="s">
        <v>39</v>
      </c>
      <c r="AO206" s="48" t="s">
        <v>39</v>
      </c>
      <c r="AP206" s="48" t="s">
        <v>39</v>
      </c>
      <c r="AQ206" s="48" t="s">
        <v>39</v>
      </c>
      <c r="AR206" s="64" t="s">
        <v>39</v>
      </c>
      <c r="AS206" s="48" t="s">
        <v>39</v>
      </c>
      <c r="AT206" s="64" t="s">
        <v>39</v>
      </c>
      <c r="AU206" s="64" t="s">
        <v>39</v>
      </c>
      <c r="AV206" s="48" t="s">
        <v>39</v>
      </c>
      <c r="AW206" s="48" t="s">
        <v>39</v>
      </c>
      <c r="AX206" s="48" t="s">
        <v>39</v>
      </c>
      <c r="AY206" s="48" t="s">
        <v>39</v>
      </c>
      <c r="AZ206" s="48" t="s">
        <v>39</v>
      </c>
      <c r="BA206" s="48" t="s">
        <v>39</v>
      </c>
      <c r="BB206" s="48" t="s">
        <v>39</v>
      </c>
      <c r="BC206" s="48" t="s">
        <v>39</v>
      </c>
      <c r="BD206" s="48" t="s">
        <v>39</v>
      </c>
      <c r="BE206" s="48" t="s">
        <v>39</v>
      </c>
      <c r="BF206" s="48" t="s">
        <v>39</v>
      </c>
      <c r="BG206" s="48" t="s">
        <v>39</v>
      </c>
    </row>
    <row r="207" spans="1:59" s="55" customFormat="1" ht="11.25" customHeight="1">
      <c r="A207" s="95" t="s">
        <v>688</v>
      </c>
      <c r="B207" s="94"/>
      <c r="C207" s="94"/>
      <c r="D207" s="94"/>
      <c r="E207" s="94"/>
      <c r="F207" s="94" t="s">
        <v>39</v>
      </c>
      <c r="G207" s="91"/>
      <c r="H207" s="94" t="s">
        <v>39</v>
      </c>
      <c r="I207" s="94"/>
      <c r="J207" s="94" t="s">
        <v>39</v>
      </c>
      <c r="K207" s="94"/>
      <c r="L207" s="94" t="s">
        <v>39</v>
      </c>
      <c r="M207" s="94" t="s">
        <v>39</v>
      </c>
      <c r="N207" s="94"/>
      <c r="O207" s="94" t="s">
        <v>39</v>
      </c>
      <c r="P207" s="94"/>
      <c r="Q207" s="94"/>
      <c r="R207" s="94" t="s">
        <v>39</v>
      </c>
      <c r="S207" s="94"/>
      <c r="T207" s="94"/>
      <c r="U207" s="94"/>
      <c r="V207" s="94" t="s">
        <v>39</v>
      </c>
      <c r="W207" s="94" t="s">
        <v>39</v>
      </c>
      <c r="X207" s="94" t="s">
        <v>39</v>
      </c>
      <c r="Y207" s="94" t="s">
        <v>762</v>
      </c>
      <c r="Z207" s="94" t="s">
        <v>39</v>
      </c>
      <c r="AA207" s="91"/>
      <c r="AB207" s="94"/>
      <c r="AC207" s="94"/>
      <c r="AD207" s="94"/>
      <c r="AE207" s="94" t="s">
        <v>39</v>
      </c>
      <c r="AF207" s="94"/>
      <c r="AG207" s="91"/>
      <c r="AH207" s="91"/>
      <c r="AI207" s="94"/>
      <c r="AJ207" s="94"/>
      <c r="AK207" s="94" t="s">
        <v>39</v>
      </c>
      <c r="AL207" s="91" t="s">
        <v>39</v>
      </c>
      <c r="AM207" s="94" t="s">
        <v>39</v>
      </c>
      <c r="AN207" s="94" t="s">
        <v>39</v>
      </c>
      <c r="AO207" s="94" t="s">
        <v>39</v>
      </c>
      <c r="AP207" s="94"/>
      <c r="AQ207" s="91"/>
      <c r="AR207" s="94"/>
      <c r="AS207" s="94" t="s">
        <v>39</v>
      </c>
      <c r="AT207" s="91"/>
      <c r="AU207" s="94"/>
      <c r="AV207" s="94" t="s">
        <v>39</v>
      </c>
      <c r="AW207" s="94" t="s">
        <v>39</v>
      </c>
      <c r="AX207" s="94"/>
      <c r="AY207" s="94"/>
      <c r="AZ207" s="94" t="s">
        <v>39</v>
      </c>
      <c r="BA207" s="94" t="s">
        <v>39</v>
      </c>
      <c r="BB207" s="91"/>
      <c r="BC207" s="91" t="s">
        <v>39</v>
      </c>
      <c r="BD207" s="94"/>
      <c r="BE207" s="94" t="s">
        <v>39</v>
      </c>
      <c r="BF207" s="94" t="s">
        <v>39</v>
      </c>
      <c r="BG207" s="94"/>
    </row>
    <row r="208" spans="1:59" s="55" customFormat="1" ht="22.5" customHeight="1">
      <c r="A208" s="53" t="s">
        <v>115</v>
      </c>
      <c r="B208" s="64" t="s">
        <v>39</v>
      </c>
      <c r="C208" s="64" t="s">
        <v>39</v>
      </c>
      <c r="D208" s="64" t="s">
        <v>39</v>
      </c>
      <c r="E208" s="48" t="s">
        <v>39</v>
      </c>
      <c r="F208" s="48" t="s">
        <v>39</v>
      </c>
      <c r="G208" s="64" t="s">
        <v>39</v>
      </c>
      <c r="H208" s="48" t="s">
        <v>39</v>
      </c>
      <c r="I208" s="48" t="s">
        <v>39</v>
      </c>
      <c r="J208" s="48" t="s">
        <v>39</v>
      </c>
      <c r="K208" s="64" t="s">
        <v>39</v>
      </c>
      <c r="L208" s="48" t="s">
        <v>39</v>
      </c>
      <c r="M208" s="64" t="s">
        <v>39</v>
      </c>
      <c r="N208" s="48" t="s">
        <v>39</v>
      </c>
      <c r="O208" s="48" t="s">
        <v>39</v>
      </c>
      <c r="P208" s="48">
        <v>0.2</v>
      </c>
      <c r="Q208" s="48" t="s">
        <v>39</v>
      </c>
      <c r="R208" s="48" t="s">
        <v>39</v>
      </c>
      <c r="S208" s="64" t="s">
        <v>39</v>
      </c>
      <c r="T208" s="48" t="s">
        <v>39</v>
      </c>
      <c r="U208" s="48" t="s">
        <v>39</v>
      </c>
      <c r="V208" s="48" t="s">
        <v>39</v>
      </c>
      <c r="W208" s="48" t="s">
        <v>39</v>
      </c>
      <c r="X208" s="48" t="s">
        <v>39</v>
      </c>
      <c r="Y208" s="64">
        <v>0.2</v>
      </c>
      <c r="Z208" s="64" t="s">
        <v>39</v>
      </c>
      <c r="AA208" s="18" t="s">
        <v>39</v>
      </c>
      <c r="AB208" s="48">
        <v>0.2</v>
      </c>
      <c r="AC208" s="48" t="s">
        <v>987</v>
      </c>
      <c r="AD208" s="48" t="s">
        <v>1002</v>
      </c>
      <c r="AE208" s="48" t="s">
        <v>39</v>
      </c>
      <c r="AF208" s="48" t="s">
        <v>39</v>
      </c>
      <c r="AG208" s="64" t="s">
        <v>39</v>
      </c>
      <c r="AH208" s="64" t="s">
        <v>39</v>
      </c>
      <c r="AI208" s="48" t="s">
        <v>39</v>
      </c>
      <c r="AJ208" s="48" t="s">
        <v>39</v>
      </c>
      <c r="AK208" s="48" t="s">
        <v>39</v>
      </c>
      <c r="AL208" s="49" t="s">
        <v>4669</v>
      </c>
      <c r="AM208" s="48" t="s">
        <v>39</v>
      </c>
      <c r="AN208" s="48" t="s">
        <v>39</v>
      </c>
      <c r="AO208" s="48" t="s">
        <v>39</v>
      </c>
      <c r="AP208" s="48" t="s">
        <v>39</v>
      </c>
      <c r="AQ208" s="48" t="s">
        <v>39</v>
      </c>
      <c r="AR208" s="64" t="s">
        <v>39</v>
      </c>
      <c r="AS208" s="48" t="s">
        <v>39</v>
      </c>
      <c r="AT208" s="64" t="s">
        <v>39</v>
      </c>
      <c r="AU208" s="64" t="s">
        <v>39</v>
      </c>
      <c r="AV208" s="48" t="s">
        <v>39</v>
      </c>
      <c r="AW208" s="48" t="s">
        <v>39</v>
      </c>
      <c r="AX208" s="48" t="s">
        <v>39</v>
      </c>
      <c r="AY208" s="48" t="s">
        <v>39</v>
      </c>
      <c r="AZ208" s="48" t="s">
        <v>39</v>
      </c>
      <c r="BA208" s="48" t="s">
        <v>39</v>
      </c>
      <c r="BB208" s="48" t="s">
        <v>39</v>
      </c>
      <c r="BC208" s="48" t="s">
        <v>39</v>
      </c>
      <c r="BD208" s="48" t="s">
        <v>39</v>
      </c>
      <c r="BE208" s="48" t="s">
        <v>39</v>
      </c>
      <c r="BF208" s="48" t="s">
        <v>39</v>
      </c>
      <c r="BG208" s="48" t="s">
        <v>39</v>
      </c>
    </row>
    <row r="209" spans="1:59" s="55" customFormat="1" ht="11.25" customHeight="1">
      <c r="A209" s="95" t="s">
        <v>688</v>
      </c>
      <c r="B209" s="94"/>
      <c r="C209" s="94"/>
      <c r="D209" s="94"/>
      <c r="E209" s="94"/>
      <c r="F209" s="94" t="s">
        <v>39</v>
      </c>
      <c r="G209" s="91"/>
      <c r="H209" s="94" t="s">
        <v>39</v>
      </c>
      <c r="I209" s="94"/>
      <c r="J209" s="94" t="s">
        <v>39</v>
      </c>
      <c r="K209" s="94"/>
      <c r="L209" s="94" t="s">
        <v>39</v>
      </c>
      <c r="M209" s="94" t="s">
        <v>39</v>
      </c>
      <c r="N209" s="94"/>
      <c r="O209" s="94" t="s">
        <v>39</v>
      </c>
      <c r="P209" s="94"/>
      <c r="Q209" s="94"/>
      <c r="R209" s="94" t="s">
        <v>39</v>
      </c>
      <c r="S209" s="94"/>
      <c r="T209" s="94"/>
      <c r="U209" s="94"/>
      <c r="V209" s="94" t="s">
        <v>39</v>
      </c>
      <c r="W209" s="94" t="s">
        <v>39</v>
      </c>
      <c r="X209" s="94" t="s">
        <v>39</v>
      </c>
      <c r="Y209" s="94" t="s">
        <v>762</v>
      </c>
      <c r="Z209" s="94" t="s">
        <v>39</v>
      </c>
      <c r="AA209" s="91"/>
      <c r="AB209" s="94"/>
      <c r="AC209" s="94"/>
      <c r="AD209" s="94"/>
      <c r="AE209" s="94" t="s">
        <v>39</v>
      </c>
      <c r="AF209" s="94"/>
      <c r="AG209" s="91"/>
      <c r="AH209" s="91"/>
      <c r="AI209" s="94"/>
      <c r="AJ209" s="94"/>
      <c r="AK209" s="94" t="s">
        <v>39</v>
      </c>
      <c r="AL209" s="91" t="s">
        <v>39</v>
      </c>
      <c r="AM209" s="94" t="s">
        <v>39</v>
      </c>
      <c r="AN209" s="94" t="s">
        <v>39</v>
      </c>
      <c r="AO209" s="94" t="s">
        <v>39</v>
      </c>
      <c r="AP209" s="94"/>
      <c r="AQ209" s="91"/>
      <c r="AR209" s="94"/>
      <c r="AS209" s="94" t="s">
        <v>39</v>
      </c>
      <c r="AT209" s="91"/>
      <c r="AU209" s="94"/>
      <c r="AV209" s="94" t="s">
        <v>39</v>
      </c>
      <c r="AW209" s="94" t="s">
        <v>39</v>
      </c>
      <c r="AX209" s="94"/>
      <c r="AY209" s="94"/>
      <c r="AZ209" s="94" t="s">
        <v>39</v>
      </c>
      <c r="BA209" s="94" t="s">
        <v>39</v>
      </c>
      <c r="BB209" s="91"/>
      <c r="BC209" s="91" t="s">
        <v>39</v>
      </c>
      <c r="BD209" s="94"/>
      <c r="BE209" s="94" t="s">
        <v>39</v>
      </c>
      <c r="BF209" s="94" t="s">
        <v>39</v>
      </c>
      <c r="BG209" s="94"/>
    </row>
    <row r="210" spans="1:59" s="55" customFormat="1" ht="22.5" customHeight="1">
      <c r="A210" s="53" t="s">
        <v>116</v>
      </c>
      <c r="B210" s="64" t="s">
        <v>39</v>
      </c>
      <c r="C210" s="64" t="s">
        <v>39</v>
      </c>
      <c r="D210" s="64" t="s">
        <v>39</v>
      </c>
      <c r="E210" s="48" t="s">
        <v>39</v>
      </c>
      <c r="F210" s="48" t="s">
        <v>39</v>
      </c>
      <c r="G210" s="64" t="s">
        <v>39</v>
      </c>
      <c r="H210" s="48" t="s">
        <v>39</v>
      </c>
      <c r="I210" s="48" t="s">
        <v>39</v>
      </c>
      <c r="J210" s="48" t="s">
        <v>39</v>
      </c>
      <c r="K210" s="64" t="s">
        <v>39</v>
      </c>
      <c r="L210" s="48" t="s">
        <v>39</v>
      </c>
      <c r="M210" s="64" t="s">
        <v>39</v>
      </c>
      <c r="N210" s="48" t="s">
        <v>39</v>
      </c>
      <c r="O210" s="48" t="s">
        <v>39</v>
      </c>
      <c r="P210" s="48">
        <v>0.25</v>
      </c>
      <c r="Q210" s="48" t="s">
        <v>39</v>
      </c>
      <c r="R210" s="48" t="s">
        <v>39</v>
      </c>
      <c r="S210" s="64" t="s">
        <v>39</v>
      </c>
      <c r="T210" s="48" t="s">
        <v>39</v>
      </c>
      <c r="U210" s="48" t="s">
        <v>39</v>
      </c>
      <c r="V210" s="48" t="s">
        <v>39</v>
      </c>
      <c r="W210" s="48" t="s">
        <v>39</v>
      </c>
      <c r="X210" s="48" t="s">
        <v>39</v>
      </c>
      <c r="Y210" s="64">
        <v>0.25</v>
      </c>
      <c r="Z210" s="64" t="s">
        <v>39</v>
      </c>
      <c r="AA210" s="18" t="s">
        <v>39</v>
      </c>
      <c r="AB210" s="48">
        <v>0.25</v>
      </c>
      <c r="AC210" s="48" t="s">
        <v>985</v>
      </c>
      <c r="AD210" s="48" t="s">
        <v>1000</v>
      </c>
      <c r="AE210" s="48" t="s">
        <v>39</v>
      </c>
      <c r="AF210" s="48" t="s">
        <v>39</v>
      </c>
      <c r="AG210" s="64" t="s">
        <v>39</v>
      </c>
      <c r="AH210" s="64" t="s">
        <v>39</v>
      </c>
      <c r="AI210" s="48" t="s">
        <v>39</v>
      </c>
      <c r="AJ210" s="48" t="s">
        <v>39</v>
      </c>
      <c r="AK210" s="48" t="s">
        <v>39</v>
      </c>
      <c r="AL210" s="49" t="s">
        <v>4669</v>
      </c>
      <c r="AM210" s="48" t="s">
        <v>39</v>
      </c>
      <c r="AN210" s="48" t="s">
        <v>39</v>
      </c>
      <c r="AO210" s="48" t="s">
        <v>39</v>
      </c>
      <c r="AP210" s="48" t="s">
        <v>39</v>
      </c>
      <c r="AQ210" s="48" t="s">
        <v>39</v>
      </c>
      <c r="AR210" s="64" t="s">
        <v>39</v>
      </c>
      <c r="AS210" s="48" t="s">
        <v>39</v>
      </c>
      <c r="AT210" s="64" t="s">
        <v>39</v>
      </c>
      <c r="AU210" s="64" t="s">
        <v>39</v>
      </c>
      <c r="AV210" s="48" t="s">
        <v>39</v>
      </c>
      <c r="AW210" s="48" t="s">
        <v>39</v>
      </c>
      <c r="AX210" s="48" t="s">
        <v>39</v>
      </c>
      <c r="AY210" s="48" t="s">
        <v>39</v>
      </c>
      <c r="AZ210" s="48" t="s">
        <v>39</v>
      </c>
      <c r="BA210" s="48" t="s">
        <v>39</v>
      </c>
      <c r="BB210" s="48" t="s">
        <v>39</v>
      </c>
      <c r="BC210" s="48" t="s">
        <v>39</v>
      </c>
      <c r="BD210" s="48" t="s">
        <v>39</v>
      </c>
      <c r="BE210" s="48" t="s">
        <v>39</v>
      </c>
      <c r="BF210" s="48" t="s">
        <v>39</v>
      </c>
      <c r="BG210" s="48" t="s">
        <v>39</v>
      </c>
    </row>
    <row r="211" spans="1:59" s="55" customFormat="1" ht="11.25" customHeight="1">
      <c r="A211" s="95" t="s">
        <v>688</v>
      </c>
      <c r="B211" s="94"/>
      <c r="C211" s="94"/>
      <c r="D211" s="94"/>
      <c r="E211" s="94"/>
      <c r="F211" s="94" t="s">
        <v>39</v>
      </c>
      <c r="G211" s="91"/>
      <c r="H211" s="94" t="s">
        <v>39</v>
      </c>
      <c r="I211" s="94"/>
      <c r="J211" s="94" t="s">
        <v>39</v>
      </c>
      <c r="K211" s="94"/>
      <c r="L211" s="94" t="s">
        <v>39</v>
      </c>
      <c r="M211" s="94" t="s">
        <v>39</v>
      </c>
      <c r="N211" s="94"/>
      <c r="O211" s="94" t="s">
        <v>39</v>
      </c>
      <c r="P211" s="94"/>
      <c r="Q211" s="94"/>
      <c r="R211" s="94" t="s">
        <v>39</v>
      </c>
      <c r="S211" s="94"/>
      <c r="T211" s="94"/>
      <c r="U211" s="94"/>
      <c r="V211" s="94" t="s">
        <v>39</v>
      </c>
      <c r="W211" s="94" t="s">
        <v>39</v>
      </c>
      <c r="X211" s="94" t="s">
        <v>39</v>
      </c>
      <c r="Y211" s="94" t="s">
        <v>762</v>
      </c>
      <c r="Z211" s="94" t="s">
        <v>39</v>
      </c>
      <c r="AA211" s="91"/>
      <c r="AB211" s="94"/>
      <c r="AC211" s="94"/>
      <c r="AD211" s="94"/>
      <c r="AE211" s="94" t="s">
        <v>39</v>
      </c>
      <c r="AF211" s="94"/>
      <c r="AG211" s="91"/>
      <c r="AH211" s="91"/>
      <c r="AI211" s="94"/>
      <c r="AJ211" s="94"/>
      <c r="AK211" s="94" t="s">
        <v>39</v>
      </c>
      <c r="AL211" s="91" t="s">
        <v>39</v>
      </c>
      <c r="AM211" s="94" t="s">
        <v>39</v>
      </c>
      <c r="AN211" s="94" t="s">
        <v>39</v>
      </c>
      <c r="AO211" s="94" t="s">
        <v>39</v>
      </c>
      <c r="AP211" s="94"/>
      <c r="AQ211" s="91"/>
      <c r="AR211" s="94"/>
      <c r="AS211" s="94" t="s">
        <v>39</v>
      </c>
      <c r="AT211" s="91"/>
      <c r="AU211" s="94"/>
      <c r="AV211" s="94" t="s">
        <v>39</v>
      </c>
      <c r="AW211" s="94" t="s">
        <v>39</v>
      </c>
      <c r="AX211" s="94"/>
      <c r="AY211" s="94"/>
      <c r="AZ211" s="94" t="s">
        <v>39</v>
      </c>
      <c r="BA211" s="94" t="s">
        <v>39</v>
      </c>
      <c r="BB211" s="91"/>
      <c r="BC211" s="91" t="s">
        <v>39</v>
      </c>
      <c r="BD211" s="94"/>
      <c r="BE211" s="94" t="s">
        <v>39</v>
      </c>
      <c r="BF211" s="94" t="s">
        <v>39</v>
      </c>
      <c r="BG211" s="94"/>
    </row>
    <row r="212" spans="1:59" s="55" customFormat="1" ht="22.5" customHeight="1">
      <c r="A212" s="53" t="s">
        <v>117</v>
      </c>
      <c r="B212" s="64" t="s">
        <v>39</v>
      </c>
      <c r="C212" s="64" t="s">
        <v>39</v>
      </c>
      <c r="D212" s="64" t="s">
        <v>39</v>
      </c>
      <c r="E212" s="48" t="s">
        <v>39</v>
      </c>
      <c r="F212" s="48" t="s">
        <v>39</v>
      </c>
      <c r="G212" s="64" t="s">
        <v>39</v>
      </c>
      <c r="H212" s="48" t="s">
        <v>39</v>
      </c>
      <c r="I212" s="48" t="s">
        <v>39</v>
      </c>
      <c r="J212" s="48" t="s">
        <v>39</v>
      </c>
      <c r="K212" s="64" t="s">
        <v>39</v>
      </c>
      <c r="L212" s="48" t="s">
        <v>39</v>
      </c>
      <c r="M212" s="64" t="s">
        <v>39</v>
      </c>
      <c r="N212" s="48" t="s">
        <v>39</v>
      </c>
      <c r="O212" s="48" t="s">
        <v>39</v>
      </c>
      <c r="P212" s="48">
        <v>0.5</v>
      </c>
      <c r="Q212" s="48" t="s">
        <v>39</v>
      </c>
      <c r="R212" s="48" t="s">
        <v>39</v>
      </c>
      <c r="S212" s="64" t="s">
        <v>39</v>
      </c>
      <c r="T212" s="48" t="s">
        <v>39</v>
      </c>
      <c r="U212" s="48" t="s">
        <v>39</v>
      </c>
      <c r="V212" s="48" t="s">
        <v>39</v>
      </c>
      <c r="W212" s="48" t="s">
        <v>39</v>
      </c>
      <c r="X212" s="48" t="s">
        <v>39</v>
      </c>
      <c r="Y212" s="64">
        <v>0.5</v>
      </c>
      <c r="Z212" s="64" t="s">
        <v>39</v>
      </c>
      <c r="AA212" s="18" t="s">
        <v>39</v>
      </c>
      <c r="AB212" s="48">
        <v>0.5</v>
      </c>
      <c r="AC212" s="48" t="s">
        <v>988</v>
      </c>
      <c r="AD212" s="48" t="s">
        <v>1003</v>
      </c>
      <c r="AE212" s="48" t="s">
        <v>39</v>
      </c>
      <c r="AF212" s="48" t="s">
        <v>39</v>
      </c>
      <c r="AG212" s="64" t="s">
        <v>39</v>
      </c>
      <c r="AH212" s="64" t="s">
        <v>39</v>
      </c>
      <c r="AI212" s="48" t="s">
        <v>39</v>
      </c>
      <c r="AJ212" s="48" t="s">
        <v>39</v>
      </c>
      <c r="AK212" s="48">
        <v>0.5</v>
      </c>
      <c r="AL212" s="49" t="s">
        <v>4669</v>
      </c>
      <c r="AM212" s="48">
        <v>0.5</v>
      </c>
      <c r="AN212" s="48">
        <v>0.5</v>
      </c>
      <c r="AO212" s="48">
        <v>0.5</v>
      </c>
      <c r="AP212" s="48" t="s">
        <v>39</v>
      </c>
      <c r="AQ212" s="48" t="s">
        <v>39</v>
      </c>
      <c r="AR212" s="64" t="s">
        <v>39</v>
      </c>
      <c r="AS212" s="48" t="s">
        <v>39</v>
      </c>
      <c r="AT212" s="64" t="s">
        <v>39</v>
      </c>
      <c r="AU212" s="64" t="s">
        <v>39</v>
      </c>
      <c r="AV212" s="48" t="s">
        <v>39</v>
      </c>
      <c r="AW212" s="48" t="s">
        <v>39</v>
      </c>
      <c r="AX212" s="48" t="s">
        <v>39</v>
      </c>
      <c r="AY212" s="48" t="s">
        <v>39</v>
      </c>
      <c r="AZ212" s="48" t="s">
        <v>39</v>
      </c>
      <c r="BA212" s="48" t="s">
        <v>39</v>
      </c>
      <c r="BB212" s="48" t="s">
        <v>39</v>
      </c>
      <c r="BC212" s="48" t="s">
        <v>39</v>
      </c>
      <c r="BD212" s="48" t="s">
        <v>39</v>
      </c>
      <c r="BE212" s="48" t="s">
        <v>39</v>
      </c>
      <c r="BF212" s="48" t="s">
        <v>39</v>
      </c>
      <c r="BG212" s="48" t="s">
        <v>39</v>
      </c>
    </row>
    <row r="213" spans="1:59" s="55" customFormat="1" ht="11.25" customHeight="1">
      <c r="A213" s="95" t="s">
        <v>688</v>
      </c>
      <c r="B213" s="94"/>
      <c r="C213" s="94"/>
      <c r="D213" s="94"/>
      <c r="E213" s="94"/>
      <c r="F213" s="94" t="s">
        <v>39</v>
      </c>
      <c r="G213" s="91"/>
      <c r="H213" s="94" t="s">
        <v>39</v>
      </c>
      <c r="I213" s="94"/>
      <c r="J213" s="94" t="s">
        <v>39</v>
      </c>
      <c r="K213" s="94"/>
      <c r="L213" s="94" t="s">
        <v>39</v>
      </c>
      <c r="M213" s="94" t="s">
        <v>39</v>
      </c>
      <c r="N213" s="94"/>
      <c r="O213" s="94" t="s">
        <v>39</v>
      </c>
      <c r="P213" s="94"/>
      <c r="Q213" s="94"/>
      <c r="R213" s="94" t="s">
        <v>39</v>
      </c>
      <c r="S213" s="94"/>
      <c r="T213" s="94"/>
      <c r="U213" s="94"/>
      <c r="V213" s="94" t="s">
        <v>39</v>
      </c>
      <c r="W213" s="94" t="s">
        <v>39</v>
      </c>
      <c r="X213" s="94" t="s">
        <v>39</v>
      </c>
      <c r="Y213" s="94" t="s">
        <v>762</v>
      </c>
      <c r="Z213" s="94" t="s">
        <v>39</v>
      </c>
      <c r="AA213" s="91"/>
      <c r="AB213" s="94"/>
      <c r="AC213" s="94"/>
      <c r="AD213" s="94"/>
      <c r="AE213" s="94" t="s">
        <v>39</v>
      </c>
      <c r="AF213" s="94"/>
      <c r="AG213" s="91"/>
      <c r="AH213" s="91"/>
      <c r="AI213" s="94"/>
      <c r="AJ213" s="94"/>
      <c r="AK213" s="94" t="s">
        <v>1170</v>
      </c>
      <c r="AL213" s="91" t="s">
        <v>39</v>
      </c>
      <c r="AM213" s="94" t="s">
        <v>1223</v>
      </c>
      <c r="AN213" s="94" t="s">
        <v>1170</v>
      </c>
      <c r="AO213" s="94" t="s">
        <v>1223</v>
      </c>
      <c r="AP213" s="94"/>
      <c r="AQ213" s="91"/>
      <c r="AR213" s="94"/>
      <c r="AS213" s="94" t="s">
        <v>39</v>
      </c>
      <c r="AT213" s="91"/>
      <c r="AU213" s="94"/>
      <c r="AV213" s="94" t="s">
        <v>39</v>
      </c>
      <c r="AW213" s="94" t="s">
        <v>39</v>
      </c>
      <c r="AX213" s="94"/>
      <c r="AY213" s="94"/>
      <c r="AZ213" s="94" t="s">
        <v>39</v>
      </c>
      <c r="BA213" s="94" t="s">
        <v>39</v>
      </c>
      <c r="BB213" s="91"/>
      <c r="BC213" s="91" t="s">
        <v>39</v>
      </c>
      <c r="BD213" s="94"/>
      <c r="BE213" s="94" t="s">
        <v>39</v>
      </c>
      <c r="BF213" s="94" t="s">
        <v>39</v>
      </c>
      <c r="BG213" s="94"/>
    </row>
    <row r="214" spans="1:59" ht="15" customHeight="1">
      <c r="A214" s="38"/>
      <c r="B214" s="38"/>
      <c r="C214" s="38"/>
      <c r="D214" s="38"/>
      <c r="E214" s="38"/>
      <c r="F214" s="38"/>
      <c r="M214" s="38"/>
      <c r="AL214" s="142"/>
      <c r="BG214" s="52"/>
    </row>
    <row r="215" spans="1:59" s="55" customFormat="1" ht="22.5" customHeight="1">
      <c r="A215" s="66" t="s">
        <v>201</v>
      </c>
      <c r="B215" s="67" t="str">
        <f>B1</f>
        <v>Allianz Unfall Aktiv</v>
      </c>
      <c r="C215" s="51" t="s">
        <v>4413</v>
      </c>
      <c r="D215" s="51" t="s">
        <v>4414</v>
      </c>
      <c r="E215" s="67" t="str">
        <f>E1</f>
        <v>Ammerländer Comfort</v>
      </c>
      <c r="F215" s="67" t="str">
        <f>F1</f>
        <v>Ammerländer Exclusiv</v>
      </c>
      <c r="G215" s="67" t="str">
        <f t="shared" ref="G215:BD215" si="7">G1</f>
        <v>AXA ohne Beitragsrückgew.
(Stand 04-2010)</v>
      </c>
      <c r="H215" s="26" t="str">
        <f>H1</f>
        <v>Baden Badener Top 2008
(Stand 11-2007)</v>
      </c>
      <c r="I215" s="26" t="str">
        <f>I1</f>
        <v>Baden Badener Top 2011
(Stand 03-2012)</v>
      </c>
      <c r="J215" s="26" t="str">
        <f>J1</f>
        <v>Baden Badener Top 2012
(Stand 03-2013)</v>
      </c>
      <c r="K215" s="67" t="str">
        <f t="shared" si="7"/>
        <v>Basler Ambiente Top
(Stand 01-2009)</v>
      </c>
      <c r="L215" s="26" t="str">
        <f t="shared" si="7"/>
        <v>Basler Ambiente Top
(Stand 04-2011)</v>
      </c>
      <c r="M215" s="67" t="str">
        <f>M1</f>
        <v>Chubb (Gruppenunfall)</v>
      </c>
      <c r="N215" s="26" t="str">
        <f t="shared" si="7"/>
        <v>Condor Comfort
(Stand 01-2009)</v>
      </c>
      <c r="O215" s="26" t="str">
        <f t="shared" si="7"/>
        <v>Debeka
(Stand 01-2008)</v>
      </c>
      <c r="P215" s="26" t="str">
        <f>P1</f>
        <v>Dt. Ring up-unfallprotect max (Stand 10-2010)</v>
      </c>
      <c r="Q215" s="26" t="str">
        <f t="shared" si="7"/>
        <v>DEVK Komplett
(Stand 05-2011)</v>
      </c>
      <c r="R215" s="26" t="str">
        <f t="shared" si="7"/>
        <v>DEVK Komplett
(Stand 12-2012)</v>
      </c>
      <c r="S215" s="26" t="str">
        <f t="shared" si="7"/>
        <v>ERGO Unfall life
(Stand 04-2010)</v>
      </c>
      <c r="T215" s="26" t="str">
        <f t="shared" si="7"/>
        <v>Generali Komfort Plus
(Stand 10-2012)</v>
      </c>
      <c r="U215" s="26" t="str">
        <f t="shared" si="7"/>
        <v>Gothaer Unfall Top 2010 Plus (01-2013)</v>
      </c>
      <c r="V215" s="67" t="str">
        <f>V1</f>
        <v>Grundeigentümer (Regulär)
Pro Domo Basis (10-2009)</v>
      </c>
      <c r="W215" s="67" t="str">
        <f>W1</f>
        <v>Grundeigentümer (Regulär)
Pro Domo Komfort (10-2009)</v>
      </c>
      <c r="X215" s="67" t="str">
        <f>X1</f>
        <v>Grundeigentümer (Regulär)
Pro Domo Premium (02-2010)</v>
      </c>
      <c r="Y215" s="67" t="str">
        <f>Y1</f>
        <v>HKD Vollschutz
(Stand 01-2012)</v>
      </c>
      <c r="Z215" s="67" t="str">
        <f>Z1</f>
        <v>Interlloyd Eurosecure 2005</v>
      </c>
      <c r="AA215" s="26" t="str">
        <f t="shared" si="7"/>
        <v>Interlloyd Protect
(Stand 2007)</v>
      </c>
      <c r="AB215" s="26" t="str">
        <f t="shared" si="7"/>
        <v>Interlloyd Premium
(Stand 01-2010)</v>
      </c>
      <c r="AC215" s="26" t="str">
        <f t="shared" si="7"/>
        <v>Interrisk XL (Plus-Taxe)
(Stand 07-2011)</v>
      </c>
      <c r="AD215" s="26" t="str">
        <f t="shared" si="7"/>
        <v>Interrisk XXL (Maxi-Taxe)
(Stand 07-2011)</v>
      </c>
      <c r="AE215" s="26" t="str">
        <f>AE1</f>
        <v>Janitos MLP Classic 2007
(Stand 01-2008)</v>
      </c>
      <c r="AF215" s="26" t="str">
        <f t="shared" si="7"/>
        <v>Janitos Balance
(Stand 04-2011)</v>
      </c>
      <c r="AG215" s="26" t="str">
        <f t="shared" si="7"/>
        <v>KRAVAG afm Familien-UV
(Stand 07-2008)</v>
      </c>
      <c r="AH215" s="26" t="str">
        <f t="shared" si="7"/>
        <v>KRAVAG afm Gruppen-UV
(Stand 07-2008)</v>
      </c>
      <c r="AI215" s="5" t="str">
        <f t="shared" si="7"/>
        <v>nationale suisse Basis-Plus
(Stand 01-2008)</v>
      </c>
      <c r="AJ215" s="5" t="str">
        <f t="shared" si="7"/>
        <v>nationale suisse Ideal
(Stand 01-2008)</v>
      </c>
      <c r="AK215" s="67" t="str">
        <f t="shared" si="7"/>
        <v>Prokundo ExklusivPaket
(Stand 01-2012)</v>
      </c>
      <c r="AL215" s="147" t="str">
        <f>AL1</f>
        <v>Prokundo Gleichgewicht</v>
      </c>
      <c r="AM215" s="67" t="str">
        <f t="shared" si="7"/>
        <v>Prokundo Komfort
(Stand 01-2012)</v>
      </c>
      <c r="AN215" s="67" t="str">
        <f>AN1</f>
        <v>Prokundo ExklusivPaket
(Stand 08-2012)</v>
      </c>
      <c r="AO215" s="67" t="str">
        <f>AO1</f>
        <v>Prokundo Komfort
(Stand 08-2012)</v>
      </c>
      <c r="AP215" s="26" t="str">
        <f t="shared" si="7"/>
        <v>Provinzial Top
(Stand 04-2009)</v>
      </c>
      <c r="AQ215" s="26" t="str">
        <f t="shared" si="7"/>
        <v>Rhion Plus
(Stand 04-2011)</v>
      </c>
      <c r="AR215" s="67" t="str">
        <f>AR1</f>
        <v>R+V Exklusiv
(Stand 07-2010)</v>
      </c>
      <c r="AS215" s="67" t="str">
        <f>AS1</f>
        <v>R+V PrivatPolice (classic)
(Stand 07-2012)</v>
      </c>
      <c r="AT215" s="26" t="str">
        <f t="shared" si="7"/>
        <v>Signal Iduna Basis
(Stand 05-2001)</v>
      </c>
      <c r="AU215" s="67" t="str">
        <f t="shared" si="7"/>
        <v>Signal Iduna Exklusiv
(Stand 11-2009)</v>
      </c>
      <c r="AV215" s="67" t="str">
        <f t="shared" si="7"/>
        <v>Signal Iduna Exklusiv
(Stand 10-2011)</v>
      </c>
      <c r="AW215" s="67" t="str">
        <f t="shared" si="7"/>
        <v>Signal Iduna Exklusiv (ÖD)
z.B. PVAG, VÖDAG
(Stand 10-2011)</v>
      </c>
      <c r="AX215" s="67" t="str">
        <f t="shared" si="7"/>
        <v>SLP Primus
(Stand 07-2010)</v>
      </c>
      <c r="AY215" s="67" t="str">
        <f t="shared" si="7"/>
        <v>SLP Primus Plus
(Stand 07-2010)</v>
      </c>
      <c r="AZ215" s="67" t="str">
        <f t="shared" si="7"/>
        <v>SLP Primus
(Stand 04-2012)</v>
      </c>
      <c r="BA215" s="67" t="str">
        <f t="shared" si="7"/>
        <v>SLP Primus Plus
(Stand 04-2012)</v>
      </c>
      <c r="BB215" s="26" t="str">
        <f t="shared" si="7"/>
        <v>Stuttgarter
(Stand 07-2010)</v>
      </c>
      <c r="BC215" s="26" t="str">
        <f t="shared" si="7"/>
        <v>VGH AUB 2008
(Stand 11-2010)</v>
      </c>
      <c r="BD215" s="26" t="str">
        <f t="shared" si="7"/>
        <v>VHV Exklusiv
(Stand 04-2011)</v>
      </c>
      <c r="BE215" s="67" t="str">
        <f>BE1</f>
        <v>Württembergische
(Stand 11-2009)</v>
      </c>
      <c r="BF215" s="67" t="str">
        <f>BF1</f>
        <v>Württembergische Top
(Stand 11-2009)</v>
      </c>
      <c r="BG215" s="67" t="str">
        <f>BG1</f>
        <v>Zurich Makler Top-Schutz
(Stand 04-2011)</v>
      </c>
    </row>
    <row r="216" spans="1:59" s="68" customFormat="1" ht="409.5">
      <c r="A216" s="53" t="s">
        <v>2590</v>
      </c>
      <c r="B216" s="49" t="s">
        <v>39</v>
      </c>
      <c r="C216" s="74" t="s">
        <v>4488</v>
      </c>
      <c r="D216" s="74" t="s">
        <v>4543</v>
      </c>
      <c r="E216" s="76" t="s">
        <v>4639</v>
      </c>
      <c r="F216" s="76" t="s">
        <v>4640</v>
      </c>
      <c r="G216" s="65" t="s">
        <v>39</v>
      </c>
      <c r="H216" s="76" t="s">
        <v>2075</v>
      </c>
      <c r="I216" s="76" t="s">
        <v>2104</v>
      </c>
      <c r="J216" s="76" t="s">
        <v>2656</v>
      </c>
      <c r="K216" s="49" t="s">
        <v>659</v>
      </c>
      <c r="L216" s="54" t="s">
        <v>1570</v>
      </c>
      <c r="M216" s="74" t="s">
        <v>1036</v>
      </c>
      <c r="N216" s="73" t="s">
        <v>39</v>
      </c>
      <c r="O216" s="54" t="s">
        <v>39</v>
      </c>
      <c r="P216" s="76" t="s">
        <v>347</v>
      </c>
      <c r="Q216" s="48" t="s">
        <v>39</v>
      </c>
      <c r="R216" s="48" t="s">
        <v>39</v>
      </c>
      <c r="S216" s="54" t="s">
        <v>233</v>
      </c>
      <c r="T216" s="76" t="s">
        <v>1764</v>
      </c>
      <c r="U216" s="73" t="s">
        <v>39</v>
      </c>
      <c r="V216" s="76" t="s">
        <v>1851</v>
      </c>
      <c r="W216" s="76" t="s">
        <v>1859</v>
      </c>
      <c r="X216" s="76" t="s">
        <v>1828</v>
      </c>
      <c r="Y216" s="76" t="s">
        <v>686</v>
      </c>
      <c r="Z216" s="54" t="s">
        <v>39</v>
      </c>
      <c r="AA216" s="22" t="s">
        <v>39</v>
      </c>
      <c r="AB216" s="73" t="s">
        <v>39</v>
      </c>
      <c r="AC216" s="73" t="s">
        <v>677</v>
      </c>
      <c r="AD216" s="76" t="s">
        <v>2488</v>
      </c>
      <c r="AE216" s="76" t="s">
        <v>3793</v>
      </c>
      <c r="AF216" s="54" t="s">
        <v>523</v>
      </c>
      <c r="AG216" s="73" t="s">
        <v>39</v>
      </c>
      <c r="AH216" s="54" t="s">
        <v>238</v>
      </c>
      <c r="AI216" s="73" t="s">
        <v>39</v>
      </c>
      <c r="AJ216" s="73" t="s">
        <v>39</v>
      </c>
      <c r="AK216" s="76" t="s">
        <v>1207</v>
      </c>
      <c r="AL216" s="49" t="s">
        <v>4674</v>
      </c>
      <c r="AM216" s="76" t="s">
        <v>1244</v>
      </c>
      <c r="AN216" s="76" t="s">
        <v>1207</v>
      </c>
      <c r="AO216" s="76" t="s">
        <v>1244</v>
      </c>
      <c r="AP216" s="54" t="s">
        <v>463</v>
      </c>
      <c r="AQ216" s="74" t="s">
        <v>567</v>
      </c>
      <c r="AR216" s="65" t="s">
        <v>39</v>
      </c>
      <c r="AS216" s="76" t="s">
        <v>1718</v>
      </c>
      <c r="AT216" s="65" t="s">
        <v>39</v>
      </c>
      <c r="AU216" s="49" t="s">
        <v>464</v>
      </c>
      <c r="AV216" s="76" t="s">
        <v>895</v>
      </c>
      <c r="AW216" s="76" t="s">
        <v>899</v>
      </c>
      <c r="AX216" s="73" t="s">
        <v>566</v>
      </c>
      <c r="AY216" s="54" t="s">
        <v>566</v>
      </c>
      <c r="AZ216" s="76" t="s">
        <v>1375</v>
      </c>
      <c r="BA216" s="76" t="s">
        <v>1344</v>
      </c>
      <c r="BB216" s="54" t="s">
        <v>572</v>
      </c>
      <c r="BC216" s="76" t="s">
        <v>3079</v>
      </c>
      <c r="BD216" s="76" t="s">
        <v>1778</v>
      </c>
      <c r="BE216" s="76" t="s">
        <v>960</v>
      </c>
      <c r="BF216" s="76" t="s">
        <v>960</v>
      </c>
      <c r="BG216" s="76" t="s">
        <v>442</v>
      </c>
    </row>
    <row r="217" spans="1:59" s="68" customFormat="1" ht="68.25" customHeight="1">
      <c r="A217" s="53" t="s">
        <v>2591</v>
      </c>
      <c r="B217" s="73"/>
      <c r="C217" s="138"/>
      <c r="D217" s="138"/>
      <c r="E217" s="54"/>
      <c r="F217" s="54"/>
      <c r="G217" s="48" t="s">
        <v>39</v>
      </c>
      <c r="H217" s="48" t="s">
        <v>39</v>
      </c>
      <c r="I217" s="48" t="s">
        <v>39</v>
      </c>
      <c r="J217" s="48" t="s">
        <v>39</v>
      </c>
      <c r="K217" s="48" t="s">
        <v>39</v>
      </c>
      <c r="L217" s="48" t="s">
        <v>39</v>
      </c>
      <c r="M217" s="73" t="s">
        <v>39</v>
      </c>
      <c r="N217" s="48" t="s">
        <v>39</v>
      </c>
      <c r="O217" s="48" t="s">
        <v>39</v>
      </c>
      <c r="P217" s="48" t="s">
        <v>39</v>
      </c>
      <c r="Q217" s="48" t="s">
        <v>39</v>
      </c>
      <c r="R217" s="48" t="s">
        <v>39</v>
      </c>
      <c r="S217" s="48" t="s">
        <v>39</v>
      </c>
      <c r="T217" s="48" t="s">
        <v>39</v>
      </c>
      <c r="U217" s="48" t="s">
        <v>39</v>
      </c>
      <c r="V217" s="48" t="s">
        <v>39</v>
      </c>
      <c r="W217" s="48" t="s">
        <v>39</v>
      </c>
      <c r="X217" s="48" t="s">
        <v>39</v>
      </c>
      <c r="Y217" s="48" t="s">
        <v>39</v>
      </c>
      <c r="Z217" s="48" t="s">
        <v>39</v>
      </c>
      <c r="AA217" s="48" t="s">
        <v>39</v>
      </c>
      <c r="AB217" s="48" t="s">
        <v>39</v>
      </c>
      <c r="AC217" s="48" t="s">
        <v>39</v>
      </c>
      <c r="AD217" s="48" t="s">
        <v>39</v>
      </c>
      <c r="AE217" s="48" t="s">
        <v>39</v>
      </c>
      <c r="AF217" s="48" t="s">
        <v>39</v>
      </c>
      <c r="AG217" s="48" t="s">
        <v>39</v>
      </c>
      <c r="AH217" s="48" t="s">
        <v>39</v>
      </c>
      <c r="AI217" s="48" t="s">
        <v>39</v>
      </c>
      <c r="AJ217" s="48" t="s">
        <v>39</v>
      </c>
      <c r="AK217" s="48" t="s">
        <v>39</v>
      </c>
      <c r="AL217" s="141" t="s">
        <v>39</v>
      </c>
      <c r="AM217" s="48" t="s">
        <v>39</v>
      </c>
      <c r="AN217" s="48" t="s">
        <v>39</v>
      </c>
      <c r="AO217" s="48" t="s">
        <v>39</v>
      </c>
      <c r="AP217" s="48" t="s">
        <v>39</v>
      </c>
      <c r="AQ217" s="48" t="s">
        <v>39</v>
      </c>
      <c r="AR217" s="48" t="s">
        <v>39</v>
      </c>
      <c r="AS217" s="48" t="s">
        <v>39</v>
      </c>
      <c r="AT217" s="48" t="s">
        <v>39</v>
      </c>
      <c r="AU217" s="48" t="s">
        <v>39</v>
      </c>
      <c r="AV217" s="48" t="s">
        <v>39</v>
      </c>
      <c r="AW217" s="48" t="s">
        <v>39</v>
      </c>
      <c r="AX217" s="48" t="s">
        <v>39</v>
      </c>
      <c r="AY217" s="48" t="s">
        <v>39</v>
      </c>
      <c r="AZ217" s="48" t="s">
        <v>39</v>
      </c>
      <c r="BA217" s="48" t="s">
        <v>39</v>
      </c>
      <c r="BB217" s="48" t="s">
        <v>39</v>
      </c>
      <c r="BC217" s="48" t="s">
        <v>39</v>
      </c>
      <c r="BD217" s="48" t="s">
        <v>39</v>
      </c>
      <c r="BE217" s="48" t="s">
        <v>39</v>
      </c>
      <c r="BF217" s="48" t="s">
        <v>39</v>
      </c>
      <c r="BG217" s="48" t="s">
        <v>39</v>
      </c>
    </row>
    <row r="218" spans="1:59" s="68" customFormat="1" ht="69" customHeight="1">
      <c r="A218" s="95" t="s">
        <v>688</v>
      </c>
      <c r="B218" s="94"/>
      <c r="C218" s="94"/>
      <c r="D218" s="94"/>
      <c r="E218" s="91"/>
      <c r="F218" s="91"/>
      <c r="G218" s="91"/>
      <c r="H218" s="91" t="s">
        <v>2074</v>
      </c>
      <c r="I218" s="94"/>
      <c r="J218" s="91" t="s">
        <v>2657</v>
      </c>
      <c r="K218" s="94"/>
      <c r="L218" s="91" t="s">
        <v>1537</v>
      </c>
      <c r="M218" s="94" t="s">
        <v>1035</v>
      </c>
      <c r="N218" s="94"/>
      <c r="O218" s="94"/>
      <c r="P218" s="94"/>
      <c r="Q218" s="94"/>
      <c r="R218" s="94"/>
      <c r="S218" s="94"/>
      <c r="T218" s="94"/>
      <c r="U218" s="94"/>
      <c r="V218" s="94" t="s">
        <v>1868</v>
      </c>
      <c r="W218" s="94" t="s">
        <v>1858</v>
      </c>
      <c r="X218" s="94" t="s">
        <v>1829</v>
      </c>
      <c r="Y218" s="94"/>
      <c r="Z218" s="94" t="s">
        <v>39</v>
      </c>
      <c r="AA218" s="91"/>
      <c r="AB218" s="94"/>
      <c r="AC218" s="94"/>
      <c r="AD218" s="94"/>
      <c r="AE218" s="91" t="s">
        <v>3792</v>
      </c>
      <c r="AF218" s="94"/>
      <c r="AG218" s="91"/>
      <c r="AH218" s="91"/>
      <c r="AI218" s="94"/>
      <c r="AJ218" s="94"/>
      <c r="AK218" s="94" t="s">
        <v>1197</v>
      </c>
      <c r="AL218" s="91" t="s">
        <v>4670</v>
      </c>
      <c r="AM218" s="91" t="s">
        <v>1245</v>
      </c>
      <c r="AN218" s="94" t="s">
        <v>1197</v>
      </c>
      <c r="AO218" s="91" t="s">
        <v>1245</v>
      </c>
      <c r="AP218" s="94"/>
      <c r="AQ218" s="91"/>
      <c r="AR218" s="94"/>
      <c r="AS218" s="94" t="s">
        <v>1719</v>
      </c>
      <c r="AT218" s="91"/>
      <c r="AU218" s="94"/>
      <c r="AV218" s="94"/>
      <c r="AW218" s="94"/>
      <c r="AX218" s="94"/>
      <c r="AY218" s="94"/>
      <c r="AZ218" s="91" t="s">
        <v>1376</v>
      </c>
      <c r="BA218" s="91" t="s">
        <v>1343</v>
      </c>
      <c r="BB218" s="91"/>
      <c r="BC218" s="91" t="s">
        <v>3080</v>
      </c>
      <c r="BD218" s="94"/>
      <c r="BE218" s="91" t="s">
        <v>949</v>
      </c>
      <c r="BF218" s="91" t="s">
        <v>949</v>
      </c>
      <c r="BG218" s="94"/>
    </row>
    <row r="219" spans="1:59" ht="15" customHeight="1">
      <c r="A219" s="38"/>
      <c r="B219" s="185"/>
      <c r="C219" s="150"/>
      <c r="D219" s="150"/>
      <c r="E219" s="149"/>
      <c r="F219" s="149"/>
      <c r="J219" s="38"/>
      <c r="M219" s="149"/>
      <c r="N219" s="38"/>
      <c r="AE219" s="129"/>
      <c r="AL219" s="149"/>
    </row>
    <row r="220" spans="1:59" s="55" customFormat="1" ht="22.5" customHeight="1">
      <c r="A220" s="50" t="s">
        <v>155</v>
      </c>
      <c r="B220" s="62" t="str">
        <f>B1</f>
        <v>Allianz Unfall Aktiv</v>
      </c>
      <c r="C220" s="148" t="s">
        <v>4413</v>
      </c>
      <c r="D220" s="148" t="s">
        <v>4414</v>
      </c>
      <c r="E220" s="62" t="str">
        <f>E1</f>
        <v>Ammerländer Comfort</v>
      </c>
      <c r="F220" s="62" t="str">
        <f>F1</f>
        <v>Ammerländer Exclusiv</v>
      </c>
      <c r="G220" s="57" t="str">
        <f t="shared" ref="G220:BG220" si="8">G1</f>
        <v>AXA ohne Beitragsrückgew.
(Stand 04-2010)</v>
      </c>
      <c r="H220" s="6" t="str">
        <f t="shared" si="8"/>
        <v>Baden Badener Top 2008
(Stand 11-2007)</v>
      </c>
      <c r="I220" s="6" t="str">
        <f t="shared" si="8"/>
        <v>Baden Badener Top 2011
(Stand 03-2012)</v>
      </c>
      <c r="J220" s="6" t="str">
        <f>J1</f>
        <v>Baden Badener Top 2012
(Stand 03-2013)</v>
      </c>
      <c r="K220" s="57" t="str">
        <f t="shared" si="8"/>
        <v>Basler Ambiente Top
(Stand 01-2009)</v>
      </c>
      <c r="L220" s="6" t="str">
        <f t="shared" si="8"/>
        <v>Basler Ambiente Top
(Stand 04-2011)</v>
      </c>
      <c r="M220" s="62" t="str">
        <f>M1</f>
        <v>Chubb (Gruppenunfall)</v>
      </c>
      <c r="N220" s="6" t="str">
        <f t="shared" si="8"/>
        <v>Condor Comfort
(Stand 01-2009)</v>
      </c>
      <c r="O220" s="6" t="str">
        <f t="shared" si="8"/>
        <v>Debeka
(Stand 01-2008)</v>
      </c>
      <c r="P220" s="6" t="str">
        <f t="shared" si="8"/>
        <v>Dt. Ring up-unfallprotect max (Stand 10-2010)</v>
      </c>
      <c r="Q220" s="6" t="str">
        <f t="shared" si="8"/>
        <v>DEVK Komplett
(Stand 05-2011)</v>
      </c>
      <c r="R220" s="6" t="str">
        <f t="shared" si="8"/>
        <v>DEVK Komplett
(Stand 12-2012)</v>
      </c>
      <c r="S220" s="6" t="str">
        <f t="shared" si="8"/>
        <v>ERGO Unfall life
(Stand 04-2010)</v>
      </c>
      <c r="T220" s="6" t="str">
        <f t="shared" si="8"/>
        <v>Generali Komfort Plus
(Stand 10-2012)</v>
      </c>
      <c r="U220" s="6" t="str">
        <f>U1</f>
        <v>Gothaer Unfall Top 2010 Plus (01-2013)</v>
      </c>
      <c r="V220" s="57" t="str">
        <f>V1</f>
        <v>Grundeigentümer (Regulär)
Pro Domo Basis (10-2009)</v>
      </c>
      <c r="W220" s="57" t="str">
        <f>W1</f>
        <v>Grundeigentümer (Regulär)
Pro Domo Komfort (10-2009)</v>
      </c>
      <c r="X220" s="57" t="str">
        <f>X1</f>
        <v>Grundeigentümer (Regulär)
Pro Domo Premium (02-2010)</v>
      </c>
      <c r="Y220" s="57" t="str">
        <f t="shared" si="8"/>
        <v>HKD Vollschutz
(Stand 01-2012)</v>
      </c>
      <c r="Z220" s="57" t="str">
        <f t="shared" si="8"/>
        <v>Interlloyd Eurosecure 2005</v>
      </c>
      <c r="AA220" s="6" t="str">
        <f t="shared" si="8"/>
        <v>Interlloyd Protect
(Stand 2007)</v>
      </c>
      <c r="AB220" s="6" t="str">
        <f t="shared" si="8"/>
        <v>Interlloyd Premium
(Stand 01-2010)</v>
      </c>
      <c r="AC220" s="6" t="str">
        <f t="shared" si="8"/>
        <v>Interrisk XL (Plus-Taxe)
(Stand 07-2011)</v>
      </c>
      <c r="AD220" s="6" t="str">
        <f t="shared" si="8"/>
        <v>Interrisk XXL (Maxi-Taxe)
(Stand 07-2011)</v>
      </c>
      <c r="AE220" s="130" t="str">
        <f t="shared" si="8"/>
        <v>Janitos MLP Classic 2007
(Stand 01-2008)</v>
      </c>
      <c r="AF220" s="6" t="str">
        <f t="shared" si="8"/>
        <v>Janitos Balance
(Stand 04-2011)</v>
      </c>
      <c r="AG220" s="6" t="str">
        <f t="shared" si="8"/>
        <v>KRAVAG afm Familien-UV
(Stand 07-2008)</v>
      </c>
      <c r="AH220" s="6" t="str">
        <f t="shared" si="8"/>
        <v>KRAVAG afm Gruppen-UV
(Stand 07-2008)</v>
      </c>
      <c r="AI220" s="5" t="str">
        <f t="shared" si="8"/>
        <v>nationale suisse Basis-Plus
(Stand 01-2008)</v>
      </c>
      <c r="AJ220" s="5" t="str">
        <f t="shared" si="8"/>
        <v>nationale suisse Ideal
(Stand 01-2008)</v>
      </c>
      <c r="AK220" s="57" t="str">
        <f t="shared" si="8"/>
        <v>Prokundo ExklusivPaket
(Stand 01-2012)</v>
      </c>
      <c r="AL220" s="144" t="s">
        <v>4642</v>
      </c>
      <c r="AM220" s="57" t="str">
        <f t="shared" si="8"/>
        <v>Prokundo Komfort
(Stand 01-2012)</v>
      </c>
      <c r="AN220" s="57" t="str">
        <f t="shared" si="8"/>
        <v>Prokundo ExklusivPaket
(Stand 08-2012)</v>
      </c>
      <c r="AO220" s="57" t="str">
        <f t="shared" si="8"/>
        <v>Prokundo Komfort
(Stand 08-2012)</v>
      </c>
      <c r="AP220" s="6" t="str">
        <f t="shared" si="8"/>
        <v>Provinzial Top
(Stand 04-2009)</v>
      </c>
      <c r="AQ220" s="6" t="str">
        <f t="shared" si="8"/>
        <v>Rhion Plus
(Stand 04-2011)</v>
      </c>
      <c r="AR220" s="57" t="str">
        <f t="shared" si="8"/>
        <v>R+V Exklusiv
(Stand 07-2010)</v>
      </c>
      <c r="AS220" s="57" t="str">
        <f t="shared" si="8"/>
        <v>R+V PrivatPolice (classic)
(Stand 07-2012)</v>
      </c>
      <c r="AT220" s="6" t="str">
        <f t="shared" si="8"/>
        <v>Signal Iduna Basis
(Stand 05-2001)</v>
      </c>
      <c r="AU220" s="57" t="str">
        <f t="shared" si="8"/>
        <v>Signal Iduna Exklusiv
(Stand 11-2009)</v>
      </c>
      <c r="AV220" s="57" t="str">
        <f t="shared" si="8"/>
        <v>Signal Iduna Exklusiv
(Stand 10-2011)</v>
      </c>
      <c r="AW220" s="57" t="str">
        <f t="shared" si="8"/>
        <v>Signal Iduna Exklusiv (ÖD)
z.B. PVAG, VÖDAG
(Stand 10-2011)</v>
      </c>
      <c r="AX220" s="6" t="str">
        <f t="shared" si="8"/>
        <v>SLP Primus
(Stand 07-2010)</v>
      </c>
      <c r="AY220" s="6" t="str">
        <f t="shared" si="8"/>
        <v>SLP Primus Plus
(Stand 07-2010)</v>
      </c>
      <c r="AZ220" s="6" t="str">
        <f t="shared" si="8"/>
        <v>SLP Primus
(Stand 04-2012)</v>
      </c>
      <c r="BA220" s="6" t="str">
        <f t="shared" si="8"/>
        <v>SLP Primus Plus
(Stand 04-2012)</v>
      </c>
      <c r="BB220" s="6" t="str">
        <f t="shared" si="8"/>
        <v>Stuttgarter
(Stand 07-2010)</v>
      </c>
      <c r="BC220" s="6" t="str">
        <f t="shared" si="8"/>
        <v>VGH AUB 2008
(Stand 11-2010)</v>
      </c>
      <c r="BD220" s="6" t="str">
        <f t="shared" si="8"/>
        <v>VHV Exklusiv
(Stand 04-2011)</v>
      </c>
      <c r="BE220" s="6" t="str">
        <f t="shared" si="8"/>
        <v>Württembergische
(Stand 11-2009)</v>
      </c>
      <c r="BF220" s="6" t="str">
        <f t="shared" si="8"/>
        <v>Württembergische Top
(Stand 11-2009)</v>
      </c>
      <c r="BG220" s="57" t="str">
        <f t="shared" si="8"/>
        <v>Zurich Makler Top-Schutz
(Stand 04-2011)</v>
      </c>
    </row>
    <row r="221" spans="1:59" ht="22.5" customHeight="1">
      <c r="A221" s="128"/>
      <c r="B221" s="49" t="s">
        <v>258</v>
      </c>
      <c r="C221" s="49" t="s">
        <v>4486</v>
      </c>
      <c r="D221" s="49" t="s">
        <v>4486</v>
      </c>
      <c r="E221" s="54" t="s">
        <v>4490</v>
      </c>
      <c r="F221" s="54" t="s">
        <v>4490</v>
      </c>
      <c r="G221" s="49" t="s">
        <v>256</v>
      </c>
      <c r="H221" s="54" t="s">
        <v>2023</v>
      </c>
      <c r="I221" s="54" t="s">
        <v>1514</v>
      </c>
      <c r="J221" s="54" t="s">
        <v>3266</v>
      </c>
      <c r="K221" s="49" t="s">
        <v>282</v>
      </c>
      <c r="L221" s="54" t="s">
        <v>1517</v>
      </c>
      <c r="M221" s="49" t="s">
        <v>1005</v>
      </c>
      <c r="N221" s="54" t="s">
        <v>257</v>
      </c>
      <c r="O221" s="54" t="s">
        <v>1880</v>
      </c>
      <c r="P221" s="54" t="s">
        <v>331</v>
      </c>
      <c r="Q221" s="54" t="s">
        <v>1515</v>
      </c>
      <c r="R221" s="54" t="s">
        <v>2620</v>
      </c>
      <c r="S221" s="54" t="s">
        <v>256</v>
      </c>
      <c r="T221" s="54" t="s">
        <v>1882</v>
      </c>
      <c r="U221" s="54" t="s">
        <v>2682</v>
      </c>
      <c r="V221" s="54" t="s">
        <v>1784</v>
      </c>
      <c r="W221" s="54" t="s">
        <v>1783</v>
      </c>
      <c r="X221" s="54" t="s">
        <v>1782</v>
      </c>
      <c r="Y221" s="54" t="s">
        <v>685</v>
      </c>
      <c r="Z221" s="54" t="s">
        <v>1066</v>
      </c>
      <c r="AA221" s="22" t="s">
        <v>158</v>
      </c>
      <c r="AB221" s="54" t="s">
        <v>621</v>
      </c>
      <c r="AC221" s="54" t="s">
        <v>630</v>
      </c>
      <c r="AD221" s="54" t="s">
        <v>631</v>
      </c>
      <c r="AE221" s="54" t="s">
        <v>1880</v>
      </c>
      <c r="AF221" s="54" t="s">
        <v>286</v>
      </c>
      <c r="AG221" s="54" t="s">
        <v>255</v>
      </c>
      <c r="AH221" s="54" t="s">
        <v>255</v>
      </c>
      <c r="AI221" s="54" t="s">
        <v>254</v>
      </c>
      <c r="AJ221" s="54" t="s">
        <v>253</v>
      </c>
      <c r="AK221" s="54" t="s">
        <v>1249</v>
      </c>
      <c r="AL221" s="145" t="s">
        <v>4671</v>
      </c>
      <c r="AM221" s="54" t="s">
        <v>1249</v>
      </c>
      <c r="AN221" s="54" t="s">
        <v>1891</v>
      </c>
      <c r="AO221" s="54" t="s">
        <v>1891</v>
      </c>
      <c r="AP221" s="54" t="s">
        <v>252</v>
      </c>
      <c r="AQ221" s="49" t="s">
        <v>585</v>
      </c>
      <c r="AR221" s="49" t="s">
        <v>251</v>
      </c>
      <c r="AS221" s="54" t="s">
        <v>1703</v>
      </c>
      <c r="AT221" s="49" t="s">
        <v>450</v>
      </c>
      <c r="AU221" s="49" t="s">
        <v>412</v>
      </c>
      <c r="AV221" s="54" t="s">
        <v>839</v>
      </c>
      <c r="AW221" s="54" t="s">
        <v>839</v>
      </c>
      <c r="AX221" s="54" t="s">
        <v>251</v>
      </c>
      <c r="AY221" s="54" t="s">
        <v>251</v>
      </c>
      <c r="AZ221" s="54" t="s">
        <v>1346</v>
      </c>
      <c r="BA221" s="54" t="s">
        <v>1345</v>
      </c>
      <c r="BB221" s="54" t="s">
        <v>251</v>
      </c>
      <c r="BC221" s="54" t="s">
        <v>3069</v>
      </c>
      <c r="BD221" s="54" t="s">
        <v>585</v>
      </c>
      <c r="BE221" s="54" t="s">
        <v>412</v>
      </c>
      <c r="BF221" s="54" t="s">
        <v>412</v>
      </c>
      <c r="BG221" s="54" t="s">
        <v>435</v>
      </c>
    </row>
    <row r="222" spans="1:59">
      <c r="A222" s="38"/>
      <c r="B222" s="38"/>
      <c r="C222" s="38"/>
      <c r="D222" s="38"/>
      <c r="E222" s="38"/>
      <c r="F222" s="38"/>
      <c r="J222" s="38" t="s">
        <v>3265</v>
      </c>
      <c r="M222" s="38"/>
      <c r="R222" s="38"/>
      <c r="T222" s="38" t="s">
        <v>1881</v>
      </c>
      <c r="U222" s="38" t="s">
        <v>2681</v>
      </c>
      <c r="AC222" s="38"/>
      <c r="AD222" s="38"/>
      <c r="AE222" s="38"/>
      <c r="AF222" s="38"/>
      <c r="AL222" s="143"/>
      <c r="AN222" s="38"/>
      <c r="AO222" s="38"/>
      <c r="AZ222" s="38"/>
      <c r="BA222" s="38"/>
    </row>
    <row r="223" spans="1:59" ht="18">
      <c r="A223" s="53" t="s">
        <v>1879</v>
      </c>
      <c r="B223" s="123" t="s">
        <v>2676</v>
      </c>
      <c r="C223" s="123" t="s">
        <v>4487</v>
      </c>
      <c r="D223" s="123" t="s">
        <v>4487</v>
      </c>
      <c r="E223" s="123" t="s">
        <v>4641</v>
      </c>
      <c r="F223" s="123" t="s">
        <v>4641</v>
      </c>
      <c r="G223" s="123" t="s">
        <v>1124</v>
      </c>
      <c r="H223" s="123" t="s">
        <v>1124</v>
      </c>
      <c r="I223" s="81" t="s">
        <v>1124</v>
      </c>
      <c r="J223" s="81" t="s">
        <v>1124</v>
      </c>
      <c r="K223" s="81" t="s">
        <v>1124</v>
      </c>
      <c r="L223" s="81" t="s">
        <v>1124</v>
      </c>
      <c r="M223" s="81" t="s">
        <v>1124</v>
      </c>
      <c r="N223" s="81" t="s">
        <v>1124</v>
      </c>
      <c r="O223" s="81" t="s">
        <v>1124</v>
      </c>
      <c r="P223" s="81" t="s">
        <v>1124</v>
      </c>
      <c r="Q223" s="81" t="s">
        <v>1124</v>
      </c>
      <c r="R223" s="81" t="s">
        <v>1124</v>
      </c>
      <c r="S223" s="81" t="s">
        <v>1124</v>
      </c>
      <c r="T223" s="81" t="s">
        <v>1124</v>
      </c>
      <c r="U223" s="81" t="s">
        <v>1124</v>
      </c>
      <c r="V223" s="81" t="s">
        <v>1124</v>
      </c>
      <c r="W223" s="81" t="s">
        <v>1124</v>
      </c>
      <c r="X223" s="81" t="s">
        <v>1124</v>
      </c>
      <c r="Y223" s="81" t="s">
        <v>1124</v>
      </c>
      <c r="Z223" s="81" t="s">
        <v>1124</v>
      </c>
      <c r="AA223" s="81" t="s">
        <v>1124</v>
      </c>
      <c r="AB223" s="81" t="s">
        <v>1124</v>
      </c>
      <c r="AC223" s="81" t="s">
        <v>1124</v>
      </c>
      <c r="AD223" s="81" t="s">
        <v>1124</v>
      </c>
      <c r="AE223" s="123" t="s">
        <v>1124</v>
      </c>
      <c r="AF223" s="81" t="s">
        <v>1124</v>
      </c>
      <c r="AG223" s="81" t="s">
        <v>1124</v>
      </c>
      <c r="AH223" s="81" t="s">
        <v>1124</v>
      </c>
      <c r="AI223" s="81" t="s">
        <v>1124</v>
      </c>
      <c r="AJ223" s="81" t="s">
        <v>1124</v>
      </c>
      <c r="AK223" s="81" t="s">
        <v>1124</v>
      </c>
      <c r="AL223" s="123" t="s">
        <v>4672</v>
      </c>
      <c r="AM223" s="81" t="s">
        <v>1124</v>
      </c>
      <c r="AN223" s="81" t="s">
        <v>1124</v>
      </c>
      <c r="AO223" s="81" t="s">
        <v>1124</v>
      </c>
      <c r="AP223" s="81" t="s">
        <v>1124</v>
      </c>
      <c r="AQ223" s="81" t="s">
        <v>1124</v>
      </c>
      <c r="AR223" s="81" t="s">
        <v>1124</v>
      </c>
      <c r="AS223" s="81" t="s">
        <v>1124</v>
      </c>
      <c r="AT223" s="81" t="s">
        <v>1124</v>
      </c>
      <c r="AU223" s="81" t="s">
        <v>1124</v>
      </c>
      <c r="AV223" s="81" t="s">
        <v>1124</v>
      </c>
      <c r="AW223" s="81" t="s">
        <v>1124</v>
      </c>
      <c r="AX223" s="81" t="s">
        <v>1124</v>
      </c>
      <c r="AY223" s="81" t="s">
        <v>1124</v>
      </c>
      <c r="AZ223" s="81" t="s">
        <v>1124</v>
      </c>
      <c r="BA223" s="81" t="s">
        <v>1124</v>
      </c>
      <c r="BB223" s="81" t="s">
        <v>1124</v>
      </c>
      <c r="BC223" s="81" t="s">
        <v>1124</v>
      </c>
      <c r="BD223" s="81" t="s">
        <v>1124</v>
      </c>
      <c r="BE223" s="81" t="s">
        <v>1124</v>
      </c>
      <c r="BF223" s="81" t="s">
        <v>1124</v>
      </c>
      <c r="BG223" s="81" t="s">
        <v>1124</v>
      </c>
    </row>
    <row r="224" spans="1:59">
      <c r="J224" s="38"/>
      <c r="R224" s="38"/>
    </row>
    <row r="225" spans="14:53">
      <c r="N225" s="38"/>
      <c r="T225" s="38"/>
      <c r="AC225" s="38"/>
      <c r="AD225" s="38"/>
      <c r="AE225" s="38"/>
      <c r="AF225" s="38"/>
      <c r="AN225" s="38"/>
      <c r="AO225" s="38"/>
      <c r="AZ225" s="38"/>
      <c r="BA225" s="38"/>
    </row>
  </sheetData>
  <conditionalFormatting sqref="AQ221:AR221 AS220:AS221 AU4:BG4 AU152:BG152 AU52:BG52 AU46:BG46 AU36:BG36 AU26:BG26 AU22:BG22 AU106:BG106 AU144:BG144 AU70:BG70 AU122:BG122 AU54:BG54 AU2:BG2 AU104:BG104 AU10:BG10 AU12:BG12 AU6:BG6 AU42:BG42 AU94:BG94 AU92:BG92 AU88:BG88 AU90:BG90 AU84:BG84 AU82:BG82 AU80:BG80 AU78:BG78 AU100:BG100 AU120:BG120 AU130:BG130 AU138:BG138 AU140:BG140 AU136:BG136 AU150:BG150 AU60:BG60 AU48:BG48 AU50:BG50 AU56:BG56 AU58:BG58 AU64:BG64 AU14:BG14 AU148:BG148 AU16:BG16 AU18:BG18 AU24:BG24 AU28:BG28 AU30:BG30 AU32:BG32 AU72:BG72 AU74:BG74 AU38:BG38 AU40:BG40 AU44:BG44 AU62:BG62 AU86:BG86 AU108:BG108 AU110:BG110 AU116:BG116 AU146:BG146 AU128:BG128 AU132:BG132 AU134:BG134 G221:H221 K221 O221 S221 Y221:Z221 P220:R220 L220 G62:L62 V218:X218 T220 G4:L4 G44:L44 G158:L158 G166:L166 G168:L168 G174:L174 G184:L184 G186:L186 G188:L188 G190:L190 G192:L192 G194:L194 G196:L196 G176:L176 G178:L178 G180:L180 G36:L36 G30:L30 G108:L108 G144:L144 G70:L70 G78:L78 G152:L152 G16:L16 G10:L10 G160:L160 G162:L162 G164:L164 G170:L170 G182:L182 G212:L212 G202:L202 G200:L200 G198:L198 G172:L172 G38:L38 G26:L26 G2:L2 G80:L80 G204:L204 G206:L206 G208:L208 G210:L210 G48:L48 G40:L40 G6:L6 G22:L22 G28:L28 G32:L32 G64:L64 G68:L68 G86:L86 G126:L126 G134:L134 G132:L132 G138:L138 G140:L140 G12:L12 G76:L76 G14:L14 G24:L24 G8:L8 G20:L20 G72:L72 G74:L74 G84:L84 G106:L106 G128:L128 G130:L130 G116:L116 G54:L54 G58:L58 G98:L98 G96:L96 G122:L122 G92:L92 G118:L118 G120:L120 G82:L82 G150:L150 G18:L18 G148:L148 G146:L146 G136:L136 G104:L104 G110:L110 G100:L100 G94:L94 G90:L90 G88:L88 G42:L42 G46:L46 G50:L50 G52:L52 G56:L56 G60:L60 I220 G216:L217 AC216:AC217 AQ216:AS217 N216:Z217 N60:AK60 N56:AK56 N52:AK52 N50:AK50 N46:AK46 N42:AK42 N88:AK88 N90:AK90 N94:AK94 N100:AK100 N110:AK110 N104:AK104 N136:AK136 N146:AK146 N148:AK148 N18:AK18 N150:AK150 N82:AK82 N120:AK120 N118:AK118 N92:AK92 N122:AK122 N96:AK96 N98:AK98 N58:AK58 N54:AK54 N116:AK116 N130:AK130 N128:AK128 N106:AK106 N84:AK84 N74:AK74 N72:AK72 N20:AK20 N8:AK8 N24:AK24 N14:AK14 N76:AK76 N12:AK12 N140:AK140 N138:AK138 N132:AK132 N134:AK134 N126:AK126 N86:AK86 N68:AK68 N64:AK64 N32:AK32 N28:AK28 N22:AK22 N6:AK6 N40:AK40 N48:AK48 N210:AK210 N208:AK208 N206:AK206 N204:AK204 N80:AK80 N2:AK2 N26:AK26 N38:AK38 N172:AK172 N198:AK198 N200:AK200 N202:AK202 N212:AK212 N182:AK182 N170:AK170 N164:AK164 N162:AK162 N160:AK160 N10:AK10 N16:AK16 N152:AK152 N78:AK78 N70:AK70 N144:AK144 N108:AK108 N30:AK30 N36:AK36 N180:AK180 N178:AK178 N176:AK176 N196:AK196 N194:AK194 N192:AK192 N190:AK190 N188:AK188 N186:AK186 N184:AK184 N174:AK174 N168:AK168 N166:AK166 N158:AK158 N44:AK44 N4:AK4 N62:AK62 AM62:AS62 AM4:AS4 AM44:AS44 AM158:BG158 AM166:BG166 AM168:BG168 AM174:BG174 AM184:BG184 AM186:BG186 AM188:BG188 AM190:BG190 AM192:BG192 AM194:BG194 AM196:BG196 AM176:BG176 AM178:BG178 AM180:BG180 AM36:AS36 AM30:AS30 AM108:AS108 AM144:AS144 AM70:AS70 AM78:AS78 AM152:AS152 AM16:AS16 AM10:AS10 AM160:BG160 AM162:BG162 AM164:BG164 AM170:BG170 AM182:BG182 AM212:BG212 AM202:BG202 AM200:BG200 AM198:BG198 AM172:BG172 AM38:AS38 AM26:AS26 AM2:AS2 AM80:AS80 AM204:BG204 AM206:BG206 AM208:BG208 AM210:BG210 AM48:AS48 AM40:AS40 AM6:AS6 AM22:AS22 AM28:AS28 AM32:AS32 AM64:AS64 AM68:BG68 AM86:AS86 AM126:BG126 AM134:AS134 AM132:AS132 AM138:AS138 AM140:AS140 AM12:AS12 AM76:BG76 AM14:AS14 AM24:AS24 AM8:BG8 AM20:BG20 AM72:AS72 AM74:AS74 AM84:AS84 AM106:AS106 AM128:AS128 AM130:AS130 AM116:AS116 AM54:AS54 AM58:AS58 AM98:BG98 AM96:BG96 AM122:AS122 AM92:AS92 AM118:BG118 AM120:AS120 AM82:AS82 AM150:AS150 AM18:AS18 AM148:AS148 AM146:AS146 AM136:AS136 AM104:AS104 AM110:AS110 AM100:AS100 AM94:AS94 AM90:AS90 AM88:AS88 AM42:AS42 AM46:AS46 AM50:AS50 AM52:AS52 AM56:AS56 AM60:AS60">
    <cfRule type="cellIs" dxfId="195" priority="525" stopIfTrue="1" operator="equal">
      <formula>#REF!</formula>
    </cfRule>
  </conditionalFormatting>
  <conditionalFormatting sqref="AV220:AW220 AU221:AY221 BB221:BG221 AZ220:BA221 AS220:AS221 AU4:BG4 AU52:BG52 AU46:BG46 AU36:BG36 AU26:BG26 AU22:BG22 AU106:BG106 AU144:BG144 AU70:BG70 AU122:BG122 AU54:BG54 AU2:BG2 AU104:BG104 AU10:BG10 AU12:BG12 AU6:BG6 AU42:BG42 AU94:BG94 AU92:BG92 AU88:BG88 AU90:BG90 AU84:BG84 AU82:BG82 AU80:BG80 AU78:BG78 AU100:BG100 AU120:BG120 AU130:BG130 AU138:BG138 AU140:BG140 AU136:BG136 AU150:BG150 AU60:BG60 AU48:BG48 AU50:BG50 AU56:BG56 AU58:BG58 AU64:BG64 AU14:BG14 AU148:BG148 AU16:BG16 AU18:BG18 AU24:BG24 AU28:BG28 AU30:BG30 AU32:BG32 AU72:BG72 AU74:BG74 AU38:BG38 AU40:BG40 AU44:BG44 AU62:BG62 AU86:BG86 AU108:BG108 AU110:BG110 AU116:BG116 AU128:BG128 AU132:BG132 AU134:BG134 AU146:BG146 AU152:BG152 AG221:AK221 AN220:AP220 L220 G221:L221 P220:R221 T220:X220 AC220:AF221 S221:AB221 G4:L4 G44:L44 G158:L158 G166:L166 G168:L168 G174:L174 G184:L184 G186:L186 G188:L188 G190:L190 G192:L192 G194:L194 G196:L196 G176:L176 G178:L178 G180:L180 G36:L36 G30:L30 G108:L108 G144:L144 G70:L70 G78:L78 G152:L152 G16:L16 G10:L10 G160:L160 G162:L162 G164:L164 G170:L170 G182:L182 G212:L212 G202:L202 G200:L200 G198:L198 G172:L172 G38:L38 G26:L26 G2:L2 G80:L80 G204:L204 G206:L206 G208:L208 G210:L210 G48:L48 G40:L40 G6:L6 G22:L22 G28:L28 G32:L32 G64:L64 G68:L68 G86:L86 G126:L126 G134:L134 G132:L132 G138:L138 G140:L140 G12:L12 G76:L76 G14:L14 G24:L24 G8:L8 G20:L20 G72:L72 G74:L74 G84:L84 G106:L106 G128:L128 G130:L130 G116:L116 G54:L54 G58:L58 G98:L98 G96:L96 G122:L122 G92:L92 G118:L118 G120:L120 G82:L82 G150:L150 G18:L18 G148:L148 G146:L146 G136:L136 G104:L104 G110:L110 G100:L100 G94:L94 G90:L90 G88:L88 G42:L42 G46:L46 G50:L50 G52:L52 G56:L56 G60:L60 G62:L62 I220:J220 V216:X218 G216:L217 AC216:AC217 AQ216:AS217 AU216:BA217 BG216:BG217 N216:Z217 N62:AK62 N60:AK60 N56:AK56 N52:AK52 N50:AK50 N46:AK46 N42:AK42 N88:AK88 N90:AK90 N94:AK94 N100:AK100 N110:AK110 N104:AK104 N136:AK136 N146:AK146 N148:AK148 N18:AK18 N150:AK150 N82:AK82 N120:AK120 N118:AK118 N92:AK92 N122:AK122 N96:AK96 N98:AK98 N58:AK58 N54:AK54 N116:AK116 N130:AK130 N128:AK128 N106:AK106 N84:AK84 N74:AK74 N72:AK72 N20:AK20 N8:AK8 N24:AK24 N14:AK14 N76:AK76 N12:AK12 N140:AK140 N138:AK138 N132:AK132 N134:AK134 N126:AK126 N86:AK86 N68:AK68 N64:AK64 N32:AK32 N28:AK28 N22:AK22 N6:AK6 N40:AK40 N48:AK48 N210:AK210 N208:AK208 N206:AK206 N204:AK204 N80:AK80 N2:AK2 N26:AK26 N38:AK38 N172:AK172 N198:AK198 N200:AK200 N202:AK202 N212:AK212 N182:AK182 N170:AK170 N164:AK164 N162:AK162 N160:AK160 N10:AK10 N16:AK16 N152:AK152 N78:AK78 N70:AK70 N144:AK144 N108:AK108 N30:AK30 N36:AK36 N180:AK180 N178:AK178 N176:AK176 N196:AK196 N194:AK194 N192:AK192 N190:AK190 N188:AK188 N186:AK186 N184:AK184 N174:AK174 N168:AK168 N166:AK166 N158:AK158 N44:AK44 N4:AK4 N221:O221 N220 AM4:AS4 AM44:AS44 AM158:BG158 AM166:BG166 AM168:BG168 AM174:BG174 AM184:BG184 AM186:BG186 AM188:BG188 AM190:BG190 AM192:BG192 AM194:BG194 AM196:BG196 AM176:BG176 AM178:BG178 AM180:BG180 AM36:AS36 AM30:AS30 AM108:AS108 AM144:AS144 AM70:AS70 AM78:AS78 AM152:AS152 AM16:AS16 AM10:AS10 AM160:BG160 AM162:BG162 AM164:BG164 AM170:BG170 AM182:BG182 AM212:BG212 AM202:BG202 AM200:BG200 AM198:BG198 AM172:BG172 AM38:AS38 AM26:AS26 AM2:AS2 AM80:AS80 AM204:BG204 AM206:BG206 AM208:BG208 AM210:BG210 AM48:AS48 AM40:AS40 AM6:AS6 AM22:AS22 AM28:AS28 AM32:AS32 AM64:AS64 AM68:BG68 AM86:AS86 AM126:BG126 AM134:AS134 AM132:AS132 AM138:AS138 AM140:AS140 AM12:AS12 AM76:BG76 AM14:AS14 AM24:AS24 AM8:BG8 AM20:BG20 AM72:AS72 AM74:AS74 AM84:AS84 AM106:AS106 AM128:AS128 AM130:AS130 AM116:AS116 AM54:AS54 AM58:AS58 AM98:BG98 AM96:BG96 AM122:AS122 AM92:AS92 AM118:BG118 AM120:AS120 AM82:AS82 AM150:AS150 AM18:AS18 AM148:AS148 AM146:AS146 AM136:AS136 AM104:AS104 AM110:AS110 AM100:AS100 AM94:AS94 AM90:AS90 AM88:AS88 AM42:AS42 AM46:AS46 AM50:AS50 AM52:AS52 AM56:AS56 AM60:AS60 AM62:AS62 AM221:AR221">
    <cfRule type="containsBlanks" dxfId="194" priority="524" stopIfTrue="1">
      <formula>LEN(TRIM(G2))=0</formula>
    </cfRule>
  </conditionalFormatting>
  <conditionalFormatting sqref="AA217">
    <cfRule type="cellIs" dxfId="193" priority="326" stopIfTrue="1" operator="equal">
      <formula>#REF!</formula>
    </cfRule>
  </conditionalFormatting>
  <conditionalFormatting sqref="AA217">
    <cfRule type="containsBlanks" dxfId="192" priority="325" stopIfTrue="1">
      <formula>LEN(TRIM(AA217))=0</formula>
    </cfRule>
  </conditionalFormatting>
  <conditionalFormatting sqref="AB217">
    <cfRule type="cellIs" dxfId="191" priority="324" stopIfTrue="1" operator="equal">
      <formula>#REF!</formula>
    </cfRule>
  </conditionalFormatting>
  <conditionalFormatting sqref="AB217">
    <cfRule type="containsBlanks" dxfId="190" priority="323" stopIfTrue="1">
      <formula>LEN(TRIM(AB217))=0</formula>
    </cfRule>
  </conditionalFormatting>
  <conditionalFormatting sqref="AD217">
    <cfRule type="cellIs" dxfId="189" priority="322" stopIfTrue="1" operator="equal">
      <formula>#REF!</formula>
    </cfRule>
  </conditionalFormatting>
  <conditionalFormatting sqref="AD217">
    <cfRule type="containsBlanks" dxfId="188" priority="321" stopIfTrue="1">
      <formula>LEN(TRIM(AD217))=0</formula>
    </cfRule>
  </conditionalFormatting>
  <conditionalFormatting sqref="AE217">
    <cfRule type="cellIs" dxfId="187" priority="320" stopIfTrue="1" operator="equal">
      <formula>#REF!</formula>
    </cfRule>
  </conditionalFormatting>
  <conditionalFormatting sqref="AE217">
    <cfRule type="containsBlanks" dxfId="186" priority="319" stopIfTrue="1">
      <formula>LEN(TRIM(AE217))=0</formula>
    </cfRule>
  </conditionalFormatting>
  <conditionalFormatting sqref="AF217">
    <cfRule type="cellIs" dxfId="185" priority="318" stopIfTrue="1" operator="equal">
      <formula>#REF!</formula>
    </cfRule>
  </conditionalFormatting>
  <conditionalFormatting sqref="AF217">
    <cfRule type="containsBlanks" dxfId="184" priority="317" stopIfTrue="1">
      <formula>LEN(TRIM(AF217))=0</formula>
    </cfRule>
  </conditionalFormatting>
  <conditionalFormatting sqref="AG217">
    <cfRule type="cellIs" dxfId="183" priority="316" stopIfTrue="1" operator="equal">
      <formula>#REF!</formula>
    </cfRule>
  </conditionalFormatting>
  <conditionalFormatting sqref="AG217">
    <cfRule type="containsBlanks" dxfId="182" priority="315" stopIfTrue="1">
      <formula>LEN(TRIM(AG217))=0</formula>
    </cfRule>
  </conditionalFormatting>
  <conditionalFormatting sqref="AH217">
    <cfRule type="cellIs" dxfId="181" priority="314" stopIfTrue="1" operator="equal">
      <formula>#REF!</formula>
    </cfRule>
  </conditionalFormatting>
  <conditionalFormatting sqref="AH217">
    <cfRule type="containsBlanks" dxfId="180" priority="313" stopIfTrue="1">
      <formula>LEN(TRIM(AH217))=0</formula>
    </cfRule>
  </conditionalFormatting>
  <conditionalFormatting sqref="AI217">
    <cfRule type="cellIs" dxfId="179" priority="312" stopIfTrue="1" operator="equal">
      <formula>#REF!</formula>
    </cfRule>
  </conditionalFormatting>
  <conditionalFormatting sqref="AI217">
    <cfRule type="containsBlanks" dxfId="178" priority="311" stopIfTrue="1">
      <formula>LEN(TRIM(AI217))=0</formula>
    </cfRule>
  </conditionalFormatting>
  <conditionalFormatting sqref="AJ217">
    <cfRule type="cellIs" dxfId="177" priority="310" stopIfTrue="1" operator="equal">
      <formula>#REF!</formula>
    </cfRule>
  </conditionalFormatting>
  <conditionalFormatting sqref="AJ217">
    <cfRule type="containsBlanks" dxfId="176" priority="309" stopIfTrue="1">
      <formula>LEN(TRIM(AJ217))=0</formula>
    </cfRule>
  </conditionalFormatting>
  <conditionalFormatting sqref="AK217">
    <cfRule type="cellIs" dxfId="175" priority="308" stopIfTrue="1" operator="equal">
      <formula>#REF!</formula>
    </cfRule>
  </conditionalFormatting>
  <conditionalFormatting sqref="AK217">
    <cfRule type="containsBlanks" dxfId="174" priority="307" stopIfTrue="1">
      <formula>LEN(TRIM(AK217))=0</formula>
    </cfRule>
  </conditionalFormatting>
  <conditionalFormatting sqref="AM217">
    <cfRule type="cellIs" dxfId="173" priority="306" stopIfTrue="1" operator="equal">
      <formula>#REF!</formula>
    </cfRule>
  </conditionalFormatting>
  <conditionalFormatting sqref="AM217">
    <cfRule type="containsBlanks" dxfId="172" priority="305" stopIfTrue="1">
      <formula>LEN(TRIM(AM217))=0</formula>
    </cfRule>
  </conditionalFormatting>
  <conditionalFormatting sqref="AN217">
    <cfRule type="cellIs" dxfId="171" priority="304" stopIfTrue="1" operator="equal">
      <formula>#REF!</formula>
    </cfRule>
  </conditionalFormatting>
  <conditionalFormatting sqref="AN217">
    <cfRule type="containsBlanks" dxfId="170" priority="303" stopIfTrue="1">
      <formula>LEN(TRIM(AN217))=0</formula>
    </cfRule>
  </conditionalFormatting>
  <conditionalFormatting sqref="AO217">
    <cfRule type="cellIs" dxfId="169" priority="302" stopIfTrue="1" operator="equal">
      <formula>#REF!</formula>
    </cfRule>
  </conditionalFormatting>
  <conditionalFormatting sqref="AO217">
    <cfRule type="containsBlanks" dxfId="168" priority="301" stopIfTrue="1">
      <formula>LEN(TRIM(AO217))=0</formula>
    </cfRule>
  </conditionalFormatting>
  <conditionalFormatting sqref="AP217">
    <cfRule type="cellIs" dxfId="167" priority="300" stopIfTrue="1" operator="equal">
      <formula>#REF!</formula>
    </cfRule>
  </conditionalFormatting>
  <conditionalFormatting sqref="AP217">
    <cfRule type="containsBlanks" dxfId="166" priority="299" stopIfTrue="1">
      <formula>LEN(TRIM(AP217))=0</formula>
    </cfRule>
  </conditionalFormatting>
  <conditionalFormatting sqref="AT217">
    <cfRule type="cellIs" dxfId="165" priority="298" stopIfTrue="1" operator="equal">
      <formula>#REF!</formula>
    </cfRule>
  </conditionalFormatting>
  <conditionalFormatting sqref="AT217">
    <cfRule type="containsBlanks" dxfId="164" priority="297" stopIfTrue="1">
      <formula>LEN(TRIM(AT217))=0</formula>
    </cfRule>
  </conditionalFormatting>
  <conditionalFormatting sqref="AU217">
    <cfRule type="cellIs" dxfId="163" priority="296" stopIfTrue="1" operator="equal">
      <formula>#REF!</formula>
    </cfRule>
  </conditionalFormatting>
  <conditionalFormatting sqref="AV217">
    <cfRule type="cellIs" dxfId="162" priority="295" stopIfTrue="1" operator="equal">
      <formula>#REF!</formula>
    </cfRule>
  </conditionalFormatting>
  <conditionalFormatting sqref="AW217">
    <cfRule type="cellIs" dxfId="161" priority="294" stopIfTrue="1" operator="equal">
      <formula>#REF!</formula>
    </cfRule>
  </conditionalFormatting>
  <conditionalFormatting sqref="AX217">
    <cfRule type="cellIs" dxfId="160" priority="293" stopIfTrue="1" operator="equal">
      <formula>#REF!</formula>
    </cfRule>
  </conditionalFormatting>
  <conditionalFormatting sqref="AY217">
    <cfRule type="cellIs" dxfId="159" priority="292" stopIfTrue="1" operator="equal">
      <formula>#REF!</formula>
    </cfRule>
  </conditionalFormatting>
  <conditionalFormatting sqref="AZ217">
    <cfRule type="cellIs" dxfId="158" priority="291" stopIfTrue="1" operator="equal">
      <formula>#REF!</formula>
    </cfRule>
  </conditionalFormatting>
  <conditionalFormatting sqref="BA217">
    <cfRule type="cellIs" dxfId="157" priority="290" stopIfTrue="1" operator="equal">
      <formula>#REF!</formula>
    </cfRule>
  </conditionalFormatting>
  <conditionalFormatting sqref="BB217">
    <cfRule type="cellIs" dxfId="156" priority="289" stopIfTrue="1" operator="equal">
      <formula>#REF!</formula>
    </cfRule>
  </conditionalFormatting>
  <conditionalFormatting sqref="BB217">
    <cfRule type="containsBlanks" dxfId="155" priority="288" stopIfTrue="1">
      <formula>LEN(TRIM(BB217))=0</formula>
    </cfRule>
  </conditionalFormatting>
  <conditionalFormatting sqref="BC217">
    <cfRule type="cellIs" dxfId="154" priority="287" stopIfTrue="1" operator="equal">
      <formula>#REF!</formula>
    </cfRule>
  </conditionalFormatting>
  <conditionalFormatting sqref="BC217">
    <cfRule type="containsBlanks" dxfId="153" priority="286" stopIfTrue="1">
      <formula>LEN(TRIM(BC217))=0</formula>
    </cfRule>
  </conditionalFormatting>
  <conditionalFormatting sqref="BD217">
    <cfRule type="cellIs" dxfId="152" priority="285" stopIfTrue="1" operator="equal">
      <formula>#REF!</formula>
    </cfRule>
  </conditionalFormatting>
  <conditionalFormatting sqref="BD217">
    <cfRule type="containsBlanks" dxfId="151" priority="284" stopIfTrue="1">
      <formula>LEN(TRIM(BD217))=0</formula>
    </cfRule>
  </conditionalFormatting>
  <conditionalFormatting sqref="BE217">
    <cfRule type="cellIs" dxfId="150" priority="283" stopIfTrue="1" operator="equal">
      <formula>#REF!</formula>
    </cfRule>
  </conditionalFormatting>
  <conditionalFormatting sqref="BE217">
    <cfRule type="containsBlanks" dxfId="149" priority="282" stopIfTrue="1">
      <formula>LEN(TRIM(BE217))=0</formula>
    </cfRule>
  </conditionalFormatting>
  <conditionalFormatting sqref="BF217">
    <cfRule type="cellIs" dxfId="148" priority="281" stopIfTrue="1" operator="equal">
      <formula>#REF!</formula>
    </cfRule>
  </conditionalFormatting>
  <conditionalFormatting sqref="BF217">
    <cfRule type="containsBlanks" dxfId="147" priority="280" stopIfTrue="1">
      <formula>LEN(TRIM(BF217))=0</formula>
    </cfRule>
  </conditionalFormatting>
  <conditionalFormatting sqref="BG217">
    <cfRule type="cellIs" dxfId="146" priority="279" stopIfTrue="1" operator="equal">
      <formula>#REF!</formula>
    </cfRule>
  </conditionalFormatting>
  <conditionalFormatting sqref="R4 R216:R217 R44 R158 R166 R168 R174 R184 R186 R188 R190 R192 R194 R196 R176 R178 R180 R36 R30 R108 R144 R70 R78 R152 R16 R10 R160 R162 R164 R170 R182 R212 R202 R200 R198 R172 R38 R26 R2 R80 R204 R206 R208 R210 R48 R40 R6 R22 R28 R32 R64 R68 R86 R126 R134 R132 R138 R140 R12 R76 R14 R24 R8 R20 R72 R74 R84 R106 R128 R130 R116 R54 R58 R98 R96 R122 R92 R118 R120 R82 R150 R18 R148 R146 R136 R104 R110 R100 R94 R90 R88 R42 R46 R50 R52 R56 R60 R62">
    <cfRule type="cellIs" dxfId="145" priority="278" stopIfTrue="1" operator="equal">
      <formula>#REF!</formula>
    </cfRule>
  </conditionalFormatting>
  <conditionalFormatting sqref="R4 R216:R217 R44 R158 R166 R168 R174 R184 R186 R188 R190 R192 R194 R196 R176 R178 R180 R36 R30 R108 R144 R70 R78 R152 R16 R10 R160 R162 R164 R170 R182 R212 R202 R200 R198 R172 R38 R26 R2 R80 R204 R206 R208 R210 R48 R40 R6 R22 R28 R32 R64 R68 R86 R126 R134 R132 R138 R140 R12 R76 R14 R24 R8 R20 R72 R74 R84 R106 R128 R130 R116 R54 R58 R98 R96 R122 R92 R118 R120 R82 R150 R18 R148 R146 R136 R104 R110 R100 R94 R90 R88 R42 R46 R50 R52 R56 R60 R62 R221">
    <cfRule type="containsBlanks" dxfId="144" priority="277" stopIfTrue="1">
      <formula>LEN(TRIM(R2))=0</formula>
    </cfRule>
  </conditionalFormatting>
  <conditionalFormatting sqref="D22 D10 D128 D134 D26 D158 D164 D166 D168 D170 D174 D182 D184 D186 D188 D190 D192 D194 D196 D24 D36 D110 D54 D122 D106 D172 D198 D200 D202 D204 D206 D208 D210 D212 D180 D12 D42 D18 D14 D46 D50 D58 D64 D68 D76 D80 D82 D84 D86 D88 D90 D92 D94 D96 D116 D120 D130 D132 D136 D138 D140 D150 D152 D44 D16 D48 D98 D100 D118 D52 D160 D162 D176 D178 D4 D8 D20 D6 D32 D30 D38 D56 D74 D70 D72 D78 D108 D104 D40 D62 D60 D112 D126 D144 D146 D148 D221 D216 D28 F166 F168 F184 F190 F192 F194 F196 F176 F178 F180 F36 F78 F10 F160 F162 F164 F182 F172 F32 F68 F134 F24 F84 F106 F54 F92 F120 F150 F146 F136 F104 F110 F100 F60 F62 F198 F200 F202 F204 F206 F208 F210 F212 F2 F4 F12 F14 F16 F26 F52 F64 F88 F216 F108 F116 F126 F130 F132 F138 F140 F148 F152 F112 F221 F6 F8 F18 F20 F22 F28 F30 F38 F40 F42 F44 F46 F48 F50 F56 F58 F70 F72 F74 F94 F76 F80 F82 F86 F90 F96 F98 F118 F128 F144 F158 F170 F174 F186 F188 F122">
    <cfRule type="containsBlanks" dxfId="143" priority="877" stopIfTrue="1">
      <formula>LEN(TRIM(C2))=0</formula>
    </cfRule>
  </conditionalFormatting>
  <conditionalFormatting sqref="M154 M216 M22 M10 M128 M134 M118 M20 M26 M158 M164 M166 M168 M170 M174 M182 M184 M186 M188 M190 M192 M194 M196 M60 M8 M24 M72 M74 M32 M36 M38 M146 M108 M110 M144 M70 M54 M104 M122 M106 M172 M198 M200 M202 M204 M206 M208 M210 M212 M176 M178 M180 M160 M162 M126 M28 M30 M4 M2 M6 M12 M16 M40 M42 M18 M14 M48 M46 M50 M52 M56 M58 M62 M64 M68 M76 M78 M80 M82 M84 M86 M88 M90 M92 M94 M96 M98 M100 M116 M120 M130 M132 M136 M138 M140 M150 M152 M148 M44 M221 M112">
    <cfRule type="containsBlanks" dxfId="142" priority="269" stopIfTrue="1">
      <formula>LEN(TRIM(#REF!))=0</formula>
    </cfRule>
  </conditionalFormatting>
  <conditionalFormatting sqref="B216 B22 B10 B128 B134 B118 B20 B26 B158 B164 B166 B168 B170 B174 B182 B184 B186 B188 B190 B192 B194 B196 B60 B8 B24 B72 B74 B32 B36 B38 B146 B108 B110 B144 B70 B54 B104 B122 B106 B172 B198 B200 B202 B204 B206 B208 B210 B212 B176 B178 B180 B160 B162 B126 B28 B30 B4 B2 B6 B12 B16 B40 B42 B18 B14 B48 B46 B50 B52 B56 B58 B64 B68 B76 B78 B80 B82 B84 B86 B88 B90 B92 B94 B96 B98 B100 B116 B120 B130 B132 B136 B138 B140 B150 B152 B148 B44 B221">
    <cfRule type="cellIs" dxfId="141" priority="276" stopIfTrue="1" operator="equal">
      <formula>#REF!</formula>
    </cfRule>
  </conditionalFormatting>
  <conditionalFormatting sqref="B62">
    <cfRule type="cellIs" dxfId="140" priority="274" stopIfTrue="1" operator="equal">
      <formula>#REF!</formula>
    </cfRule>
  </conditionalFormatting>
  <conditionalFormatting sqref="B112">
    <cfRule type="cellIs" dxfId="139" priority="272" stopIfTrue="1" operator="equal">
      <formula>#REF!</formula>
    </cfRule>
  </conditionalFormatting>
  <conditionalFormatting sqref="B154">
    <cfRule type="cellIs" dxfId="138" priority="270" stopIfTrue="1" operator="equal">
      <formula>#REF!</formula>
    </cfRule>
  </conditionalFormatting>
  <conditionalFormatting sqref="M216 M22 M10 M128 M134 M118 M20 M26 M158 M164 M166 M168 M170 M174 M182 M184 M186 M188 M190 M192 M194 M196 M60 M8 M24 M72 M74 M32 M36 M38 M146 M108 M110 M144 M70 M54 M104 M122 M106 M172 M198 M200 M202 M204 M206 M208 M210 M212 M176 M178 M180 M160 M162 M126 M28 M30 M4 M2 M6 M12 M16 M40 M42 M18 M14 M48 M46 M50 M52 M56 M58 M62 M64 M68 M76 M78 M80 M82 M84 M86 M88 M90 M92 M94 M96 M98 M100 M116 M120 M130 M132 M136 M138 M140 M150 M152 M148 M44 M221">
    <cfRule type="cellIs" dxfId="137" priority="268" stopIfTrue="1" operator="equal">
      <formula>#REF!</formula>
    </cfRule>
  </conditionalFormatting>
  <conditionalFormatting sqref="M112">
    <cfRule type="cellIs" dxfId="136" priority="266" stopIfTrue="1" operator="equal">
      <formula>#REF!</formula>
    </cfRule>
  </conditionalFormatting>
  <conditionalFormatting sqref="M154">
    <cfRule type="cellIs" dxfId="135" priority="264" stopIfTrue="1" operator="equal">
      <formula>#REF!</formula>
    </cfRule>
  </conditionalFormatting>
  <conditionalFormatting sqref="B154 B22:C22 B10:C10 B128:C128 B118:C118 B20:C20 B26:C26 B158:C158 B164:C164 B166:C166 B168:C168 B170:C170 B174:C174 B182:C182 B184:C184 B186:C186 B188:C188 B190:C190 B192:C192 B194:C194 B196:C196 B221:C221 B8:C8 B32:C32 B36:C36 B38:C38 B108:C108 B110:C110 B54:C54 B122:C122 B106:C106 B172:C172 B198:C198 B200:C200 B202:C202 B204:C204 B206:C206 B208:C208 B210:C210 B212:C212 B176:C176 B178:C178 B180:C180 B160:C160 B162:C162 B126:C126 B28:C28 B2:C2 B12:C12 B40:C40 B42:C42 B18:C18 B14:C14 B48:C48 B46:C46 B50:C50 B52:C52 B56:C56 B58:C58 B64:C64 B68:C68 B76:C76 B78:C78 B80:C80 B82:C82 B84:C84 B86:C86 B88:C88 B90:C90 B92:C92 B94:C94 B96:C96 B98:C98 B100:C100 B116:C116 B120:C120 B130:C130 B132:C132 B136:C136 B138:C138 B140:C140 B150:C150 B152:C152 B148:C148 B44:C44 B4:C4 B6:C6 B16:C16 B30:C30 B70:C70 B72:C72 B74:C74 B104:C104 B24:C24 B62:C62 B60:C60 B112:C112 B134:C134 B144:C144 B146:C146 B216:C216 E190 E192 E194 E196 E180 E36 E78 E10 E182 E172 E80 E48 E22 E32 E68 E134 E76 E24 E84 E106 E54 E92 E120 E82 E150 E146 E136 E104 E110 E100 E90 E60 E62 E198 E200 E202 E204 E206 E208 E210 E212 E2 E4 E12 E14 E16 E26 E52 E64 E88 E216 E108 E116 E126 E130 E132 E138 E140 E148 E152 E112 E221 E6 E8 E18 E20 E28 E30 E38 E40 E42 E44 E46 E50 E122 E56 E58 E70 E72 E74 E94 E86 E96 E98 E118 E128 E144 E158 E160 E162 E164 E166 E168 E170 E174 E176 E178 E184 E186 E188 AL150 AL18 AL28 AL30 AL36 AL44 AL48 AL72 AL108 AL112">
    <cfRule type="containsBlanks" dxfId="134" priority="590" stopIfTrue="1">
      <formula>LEN(TRIM(#REF!))=0</formula>
    </cfRule>
  </conditionalFormatting>
  <conditionalFormatting sqref="C221 C22 C10 C128 C118 C20 C26 C158 C164 C166 C168 C170 C174 C182 C184 C186 C188 C190 C192 C194 C196 C8 C32 C36 C38 C108 C110 C54 C122 C106 C172 C198 C200 C202 C204 C206 C208 C210 C212 C176 C178 C180 C160 C162 C126 C28 C2 C12 C40 C42 C18 C14 C48 C46 C50 C52 C56 C58 C64 C68 C76 C78 C80 C82 C84 C86 C88 C90 C92 C94 C96 C98 C100 C116 C120 C130 C132 C136 C138 C140 C150 C152 C148 C44">
    <cfRule type="cellIs" dxfId="133" priority="262" stopIfTrue="1" operator="equal">
      <formula>#REF!</formula>
    </cfRule>
  </conditionalFormatting>
  <conditionalFormatting sqref="D22 D10 D128 D134 D26 D158 D164 D166 D168 D170 D174 D182 D184 D186 D188 D190 D192 D194 D196 D24 D36 D110 D54 D122 D106 D172 D198 D200 D202 D204 D206 D208 D210 D212 D180 D12 D42 D18 D14 D46 D50 D58 D64 D68 D76 D80 D82 D84 D86 D88 D90 D92 D94 D96 D116 D120 D130 D132 D136 D138 D140 D150 D152 D44 D16 D48 D98 D100 D118 D52 D160 D162 D176 D178">
    <cfRule type="cellIs" dxfId="132" priority="260" stopIfTrue="1" operator="equal">
      <formula>#REF!</formula>
    </cfRule>
  </conditionalFormatting>
  <conditionalFormatting sqref="C4">
    <cfRule type="cellIs" dxfId="131" priority="258" stopIfTrue="1" operator="equal">
      <formula>#REF!</formula>
    </cfRule>
  </conditionalFormatting>
  <conditionalFormatting sqref="D4">
    <cfRule type="cellIs" dxfId="130" priority="256" stopIfTrue="1" operator="equal">
      <formula>#REF!</formula>
    </cfRule>
  </conditionalFormatting>
  <conditionalFormatting sqref="C6">
    <cfRule type="cellIs" dxfId="129" priority="254" stopIfTrue="1" operator="equal">
      <formula>#REF!</formula>
    </cfRule>
  </conditionalFormatting>
  <conditionalFormatting sqref="C16">
    <cfRule type="cellIs" dxfId="128" priority="250" stopIfTrue="1" operator="equal">
      <formula>#REF!</formula>
    </cfRule>
  </conditionalFormatting>
  <conditionalFormatting sqref="D8">
    <cfRule type="cellIs" dxfId="127" priority="252" stopIfTrue="1" operator="equal">
      <formula>#REF!</formula>
    </cfRule>
  </conditionalFormatting>
  <conditionalFormatting sqref="D20">
    <cfRule type="cellIs" dxfId="126" priority="248" stopIfTrue="1" operator="equal">
      <formula>#REF!</formula>
    </cfRule>
  </conditionalFormatting>
  <conditionalFormatting sqref="D6">
    <cfRule type="cellIs" dxfId="125" priority="246" stopIfTrue="1" operator="equal">
      <formula>#REF!</formula>
    </cfRule>
  </conditionalFormatting>
  <conditionalFormatting sqref="D32">
    <cfRule type="cellIs" dxfId="124" priority="244" stopIfTrue="1" operator="equal">
      <formula>#REF!</formula>
    </cfRule>
  </conditionalFormatting>
  <conditionalFormatting sqref="C30">
    <cfRule type="cellIs" dxfId="123" priority="242" stopIfTrue="1" operator="equal">
      <formula>#REF!</formula>
    </cfRule>
  </conditionalFormatting>
  <conditionalFormatting sqref="D30">
    <cfRule type="cellIs" dxfId="122" priority="240" stopIfTrue="1" operator="equal">
      <formula>#REF!</formula>
    </cfRule>
  </conditionalFormatting>
  <conditionalFormatting sqref="D38">
    <cfRule type="cellIs" dxfId="121" priority="238" stopIfTrue="1" operator="equal">
      <formula>#REF!</formula>
    </cfRule>
  </conditionalFormatting>
  <conditionalFormatting sqref="D56">
    <cfRule type="cellIs" dxfId="120" priority="236" stopIfTrue="1" operator="equal">
      <formula>#REF!</formula>
    </cfRule>
  </conditionalFormatting>
  <conditionalFormatting sqref="D74">
    <cfRule type="cellIs" dxfId="119" priority="224" stopIfTrue="1" operator="equal">
      <formula>#REF!</formula>
    </cfRule>
  </conditionalFormatting>
  <conditionalFormatting sqref="C70">
    <cfRule type="cellIs" dxfId="118" priority="234" stopIfTrue="1" operator="equal">
      <formula>#REF!</formula>
    </cfRule>
  </conditionalFormatting>
  <conditionalFormatting sqref="D70">
    <cfRule type="cellIs" dxfId="117" priority="232" stopIfTrue="1" operator="equal">
      <formula>#REF!</formula>
    </cfRule>
  </conditionalFormatting>
  <conditionalFormatting sqref="C72">
    <cfRule type="cellIs" dxfId="116" priority="230" stopIfTrue="1" operator="equal">
      <formula>#REF!</formula>
    </cfRule>
  </conditionalFormatting>
  <conditionalFormatting sqref="D72">
    <cfRule type="cellIs" dxfId="115" priority="228" stopIfTrue="1" operator="equal">
      <formula>#REF!</formula>
    </cfRule>
  </conditionalFormatting>
  <conditionalFormatting sqref="C74">
    <cfRule type="cellIs" dxfId="114" priority="226" stopIfTrue="1" operator="equal">
      <formula>#REF!</formula>
    </cfRule>
  </conditionalFormatting>
  <conditionalFormatting sqref="D78">
    <cfRule type="cellIs" dxfId="113" priority="222" stopIfTrue="1" operator="equal">
      <formula>#REF!</formula>
    </cfRule>
  </conditionalFormatting>
  <conditionalFormatting sqref="D108">
    <cfRule type="cellIs" dxfId="112" priority="220" stopIfTrue="1" operator="equal">
      <formula>#REF!</formula>
    </cfRule>
  </conditionalFormatting>
  <conditionalFormatting sqref="C104">
    <cfRule type="cellIs" dxfId="111" priority="218" stopIfTrue="1" operator="equal">
      <formula>#REF!</formula>
    </cfRule>
  </conditionalFormatting>
  <conditionalFormatting sqref="D104">
    <cfRule type="cellIs" dxfId="110" priority="216" stopIfTrue="1" operator="equal">
      <formula>#REF!</formula>
    </cfRule>
  </conditionalFormatting>
  <conditionalFormatting sqref="C24">
    <cfRule type="cellIs" dxfId="109" priority="214" stopIfTrue="1" operator="equal">
      <formula>#REF!</formula>
    </cfRule>
  </conditionalFormatting>
  <conditionalFormatting sqref="D40">
    <cfRule type="cellIs" dxfId="108" priority="212" stopIfTrue="1" operator="equal">
      <formula>#REF!</formula>
    </cfRule>
  </conditionalFormatting>
  <conditionalFormatting sqref="C62">
    <cfRule type="cellIs" dxfId="107" priority="210" stopIfTrue="1" operator="equal">
      <formula>#REF!</formula>
    </cfRule>
  </conditionalFormatting>
  <conditionalFormatting sqref="D62">
    <cfRule type="cellIs" dxfId="106" priority="208" stopIfTrue="1" operator="equal">
      <formula>#REF!</formula>
    </cfRule>
  </conditionalFormatting>
  <conditionalFormatting sqref="C60">
    <cfRule type="cellIs" dxfId="105" priority="206" stopIfTrue="1" operator="equal">
      <formula>#REF!</formula>
    </cfRule>
  </conditionalFormatting>
  <conditionalFormatting sqref="D60">
    <cfRule type="cellIs" dxfId="104" priority="204" stopIfTrue="1" operator="equal">
      <formula>#REF!</formula>
    </cfRule>
  </conditionalFormatting>
  <conditionalFormatting sqref="C112:D112">
    <cfRule type="cellIs" dxfId="103" priority="202" stopIfTrue="1" operator="equal">
      <formula>#REF!</formula>
    </cfRule>
  </conditionalFormatting>
  <conditionalFormatting sqref="D126">
    <cfRule type="cellIs" dxfId="102" priority="200" stopIfTrue="1" operator="equal">
      <formula>#REF!</formula>
    </cfRule>
  </conditionalFormatting>
  <conditionalFormatting sqref="C134">
    <cfRule type="cellIs" dxfId="101" priority="198" stopIfTrue="1" operator="equal">
      <formula>#REF!</formula>
    </cfRule>
  </conditionalFormatting>
  <conditionalFormatting sqref="C144">
    <cfRule type="cellIs" dxfId="100" priority="196" stopIfTrue="1" operator="equal">
      <formula>#REF!</formula>
    </cfRule>
  </conditionalFormatting>
  <conditionalFormatting sqref="D144">
    <cfRule type="cellIs" dxfId="99" priority="194" stopIfTrue="1" operator="equal">
      <formula>#REF!</formula>
    </cfRule>
  </conditionalFormatting>
  <conditionalFormatting sqref="D146">
    <cfRule type="cellIs" dxfId="98" priority="192" stopIfTrue="1" operator="equal">
      <formula>#REF!</formula>
    </cfRule>
  </conditionalFormatting>
  <conditionalFormatting sqref="C146">
    <cfRule type="cellIs" dxfId="97" priority="190" stopIfTrue="1" operator="equal">
      <formula>#REF!</formula>
    </cfRule>
  </conditionalFormatting>
  <conditionalFormatting sqref="D148">
    <cfRule type="cellIs" dxfId="96" priority="188" stopIfTrue="1" operator="equal">
      <formula>#REF!</formula>
    </cfRule>
  </conditionalFormatting>
  <conditionalFormatting sqref="D221">
    <cfRule type="cellIs" dxfId="95" priority="186" stopIfTrue="1" operator="equal">
      <formula>#REF!</formula>
    </cfRule>
  </conditionalFormatting>
  <conditionalFormatting sqref="C216">
    <cfRule type="cellIs" dxfId="94" priority="184" stopIfTrue="1" operator="equal">
      <formula>#REF!</formula>
    </cfRule>
  </conditionalFormatting>
  <conditionalFormatting sqref="D216">
    <cfRule type="cellIs" dxfId="93" priority="182" stopIfTrue="1" operator="equal">
      <formula>#REF!</formula>
    </cfRule>
  </conditionalFormatting>
  <conditionalFormatting sqref="D28">
    <cfRule type="cellIs" dxfId="92" priority="180" stopIfTrue="1" operator="equal">
      <formula>#REF!</formula>
    </cfRule>
  </conditionalFormatting>
  <conditionalFormatting sqref="F166 F168 F184 E190:F190 E192:F192 E194:F194 E196:F196 F176 F178 E180:F180 E36:F36 E78:F78 E10:F10 F160 F162 F164 E182:F182 E172:F172 E80 E48 E22 E32:F32 E68:F68 E134:F134 E76 E24:F24 E84:F84 E106:F106 E54:F54 E92:F92 E120:F120 E82 E150:F150 E146:F146 E136:F136 E104:F104 E110:F110 E100:F100 E90 E60:F60 E62:F62 E198:F198 E200:F200 E202:F202 E204:F204 E206:F206 E208:F208 E210:F210 E212:F212 E2:F2 E4:F4 E12:F12 E14:F14 E16:F16 E26:F26 E52:F52 E64:F64 E88:F88 E216:F216 E108:F108 E116:F116 E126:F126 E130:F130 E132:F132 E138:F138 E140:F140 E148:F148 E152:F152">
    <cfRule type="cellIs" dxfId="91" priority="178" stopIfTrue="1" operator="equal">
      <formula>#REF!</formula>
    </cfRule>
  </conditionalFormatting>
  <conditionalFormatting sqref="E112:F112">
    <cfRule type="cellIs" dxfId="90" priority="176" stopIfTrue="1" operator="equal">
      <formula>#REF!</formula>
    </cfRule>
  </conditionalFormatting>
  <conditionalFormatting sqref="E221">
    <cfRule type="cellIs" dxfId="89" priority="171" stopIfTrue="1" operator="equal">
      <formula>#REF!</formula>
    </cfRule>
  </conditionalFormatting>
  <conditionalFormatting sqref="F221">
    <cfRule type="cellIs" dxfId="88" priority="169" stopIfTrue="1" operator="equal">
      <formula>#REF!</formula>
    </cfRule>
  </conditionalFormatting>
  <conditionalFormatting sqref="E6">
    <cfRule type="cellIs" dxfId="87" priority="168" stopIfTrue="1" operator="equal">
      <formula>#REF!</formula>
    </cfRule>
  </conditionalFormatting>
  <conditionalFormatting sqref="F6">
    <cfRule type="cellIs" dxfId="86" priority="166" stopIfTrue="1" operator="equal">
      <formula>#REF!</formula>
    </cfRule>
  </conditionalFormatting>
  <conditionalFormatting sqref="E8">
    <cfRule type="cellIs" dxfId="85" priority="164" stopIfTrue="1" operator="equal">
      <formula>#REF!</formula>
    </cfRule>
  </conditionalFormatting>
  <conditionalFormatting sqref="F8">
    <cfRule type="cellIs" dxfId="84" priority="162" stopIfTrue="1" operator="equal">
      <formula>#REF!</formula>
    </cfRule>
  </conditionalFormatting>
  <conditionalFormatting sqref="E18">
    <cfRule type="cellIs" dxfId="83" priority="160" stopIfTrue="1" operator="equal">
      <formula>#REF!</formula>
    </cfRule>
  </conditionalFormatting>
  <conditionalFormatting sqref="F18">
    <cfRule type="cellIs" dxfId="82" priority="158" stopIfTrue="1" operator="equal">
      <formula>#REF!</formula>
    </cfRule>
  </conditionalFormatting>
  <conditionalFormatting sqref="E20">
    <cfRule type="cellIs" dxfId="81" priority="156" stopIfTrue="1" operator="equal">
      <formula>#REF!</formula>
    </cfRule>
  </conditionalFormatting>
  <conditionalFormatting sqref="F20">
    <cfRule type="cellIs" dxfId="80" priority="154" stopIfTrue="1" operator="equal">
      <formula>#REF!</formula>
    </cfRule>
  </conditionalFormatting>
  <conditionalFormatting sqref="F22">
    <cfRule type="cellIs" dxfId="79" priority="152" stopIfTrue="1" operator="equal">
      <formula>#REF!</formula>
    </cfRule>
  </conditionalFormatting>
  <conditionalFormatting sqref="F28">
    <cfRule type="cellIs" dxfId="78" priority="150" stopIfTrue="1" operator="equal">
      <formula>#REF!</formula>
    </cfRule>
  </conditionalFormatting>
  <conditionalFormatting sqref="E28">
    <cfRule type="cellIs" dxfId="77" priority="148" stopIfTrue="1" operator="equal">
      <formula>#REF!</formula>
    </cfRule>
  </conditionalFormatting>
  <conditionalFormatting sqref="E30">
    <cfRule type="cellIs" dxfId="76" priority="146" stopIfTrue="1" operator="equal">
      <formula>#REF!</formula>
    </cfRule>
  </conditionalFormatting>
  <conditionalFormatting sqref="F30">
    <cfRule type="cellIs" dxfId="75" priority="144" stopIfTrue="1" operator="equal">
      <formula>#REF!</formula>
    </cfRule>
  </conditionalFormatting>
  <conditionalFormatting sqref="F38">
    <cfRule type="cellIs" dxfId="74" priority="142" stopIfTrue="1" operator="equal">
      <formula>#REF!</formula>
    </cfRule>
  </conditionalFormatting>
  <conditionalFormatting sqref="E38">
    <cfRule type="cellIs" dxfId="73" priority="140" stopIfTrue="1" operator="equal">
      <formula>#REF!</formula>
    </cfRule>
  </conditionalFormatting>
  <conditionalFormatting sqref="F40">
    <cfRule type="cellIs" dxfId="72" priority="138" stopIfTrue="1" operator="equal">
      <formula>#REF!</formula>
    </cfRule>
  </conditionalFormatting>
  <conditionalFormatting sqref="E40">
    <cfRule type="cellIs" dxfId="71" priority="136" stopIfTrue="1" operator="equal">
      <formula>#REF!</formula>
    </cfRule>
  </conditionalFormatting>
  <conditionalFormatting sqref="E42">
    <cfRule type="cellIs" dxfId="70" priority="134" stopIfTrue="1" operator="equal">
      <formula>#REF!</formula>
    </cfRule>
  </conditionalFormatting>
  <conditionalFormatting sqref="F42">
    <cfRule type="cellIs" dxfId="69" priority="132" stopIfTrue="1" operator="equal">
      <formula>#REF!</formula>
    </cfRule>
  </conditionalFormatting>
  <conditionalFormatting sqref="F44">
    <cfRule type="cellIs" dxfId="68" priority="130" stopIfTrue="1" operator="equal">
      <formula>#REF!</formula>
    </cfRule>
  </conditionalFormatting>
  <conditionalFormatting sqref="E44">
    <cfRule type="cellIs" dxfId="67" priority="128" stopIfTrue="1" operator="equal">
      <formula>#REF!</formula>
    </cfRule>
  </conditionalFormatting>
  <conditionalFormatting sqref="F46">
    <cfRule type="cellIs" dxfId="66" priority="126" stopIfTrue="1" operator="equal">
      <formula>#REF!</formula>
    </cfRule>
  </conditionalFormatting>
  <conditionalFormatting sqref="E46">
    <cfRule type="cellIs" dxfId="65" priority="124" stopIfTrue="1" operator="equal">
      <formula>#REF!</formula>
    </cfRule>
  </conditionalFormatting>
  <conditionalFormatting sqref="F48">
    <cfRule type="cellIs" dxfId="64" priority="122" stopIfTrue="1" operator="equal">
      <formula>#REF!</formula>
    </cfRule>
  </conditionalFormatting>
  <conditionalFormatting sqref="F50">
    <cfRule type="cellIs" dxfId="63" priority="120" stopIfTrue="1" operator="equal">
      <formula>#REF!</formula>
    </cfRule>
  </conditionalFormatting>
  <conditionalFormatting sqref="E50">
    <cfRule type="cellIs" dxfId="62" priority="118" stopIfTrue="1" operator="equal">
      <formula>#REF!</formula>
    </cfRule>
  </conditionalFormatting>
  <conditionalFormatting sqref="E122">
    <cfRule type="cellIs" dxfId="61" priority="116" stopIfTrue="1" operator="equal">
      <formula>#REF!</formula>
    </cfRule>
  </conditionalFormatting>
  <conditionalFormatting sqref="E56">
    <cfRule type="cellIs" dxfId="60" priority="114" stopIfTrue="1" operator="equal">
      <formula>#REF!</formula>
    </cfRule>
  </conditionalFormatting>
  <conditionalFormatting sqref="F56">
    <cfRule type="cellIs" dxfId="59" priority="112" stopIfTrue="1" operator="equal">
      <formula>#REF!</formula>
    </cfRule>
  </conditionalFormatting>
  <conditionalFormatting sqref="E58">
    <cfRule type="cellIs" dxfId="58" priority="110" stopIfTrue="1" operator="equal">
      <formula>#REF!</formula>
    </cfRule>
  </conditionalFormatting>
  <conditionalFormatting sqref="F58">
    <cfRule type="cellIs" dxfId="57" priority="108" stopIfTrue="1" operator="equal">
      <formula>#REF!</formula>
    </cfRule>
  </conditionalFormatting>
  <conditionalFormatting sqref="F70">
    <cfRule type="cellIs" dxfId="56" priority="106" stopIfTrue="1" operator="equal">
      <formula>#REF!</formula>
    </cfRule>
  </conditionalFormatting>
  <conditionalFormatting sqref="E70">
    <cfRule type="cellIs" dxfId="55" priority="104" stopIfTrue="1" operator="equal">
      <formula>#REF!</formula>
    </cfRule>
  </conditionalFormatting>
  <conditionalFormatting sqref="E72">
    <cfRule type="cellIs" dxfId="54" priority="102" stopIfTrue="1" operator="equal">
      <formula>#REF!</formula>
    </cfRule>
  </conditionalFormatting>
  <conditionalFormatting sqref="F72">
    <cfRule type="cellIs" dxfId="53" priority="100" stopIfTrue="1" operator="equal">
      <formula>#REF!</formula>
    </cfRule>
  </conditionalFormatting>
  <conditionalFormatting sqref="E74">
    <cfRule type="cellIs" dxfId="52" priority="98" stopIfTrue="1" operator="equal">
      <formula>#REF!</formula>
    </cfRule>
  </conditionalFormatting>
  <conditionalFormatting sqref="F74">
    <cfRule type="cellIs" dxfId="51" priority="96" stopIfTrue="1" operator="equal">
      <formula>#REF!</formula>
    </cfRule>
  </conditionalFormatting>
  <conditionalFormatting sqref="E94">
    <cfRule type="cellIs" dxfId="50" priority="94" stopIfTrue="1" operator="equal">
      <formula>#REF!</formula>
    </cfRule>
  </conditionalFormatting>
  <conditionalFormatting sqref="F94">
    <cfRule type="cellIs" dxfId="49" priority="92" stopIfTrue="1" operator="equal">
      <formula>#REF!</formula>
    </cfRule>
  </conditionalFormatting>
  <conditionalFormatting sqref="F76">
    <cfRule type="cellIs" dxfId="48" priority="90" stopIfTrue="1" operator="equal">
      <formula>#REF!</formula>
    </cfRule>
  </conditionalFormatting>
  <conditionalFormatting sqref="F80">
    <cfRule type="cellIs" dxfId="47" priority="88" stopIfTrue="1" operator="equal">
      <formula>#REF!</formula>
    </cfRule>
  </conditionalFormatting>
  <conditionalFormatting sqref="F82">
    <cfRule type="cellIs" dxfId="46" priority="86" stopIfTrue="1" operator="equal">
      <formula>#REF!</formula>
    </cfRule>
  </conditionalFormatting>
  <conditionalFormatting sqref="E86">
    <cfRule type="cellIs" dxfId="45" priority="84" stopIfTrue="1" operator="equal">
      <formula>#REF!</formula>
    </cfRule>
  </conditionalFormatting>
  <conditionalFormatting sqref="F86">
    <cfRule type="cellIs" dxfId="44" priority="82" stopIfTrue="1" operator="equal">
      <formula>#REF!</formula>
    </cfRule>
  </conditionalFormatting>
  <conditionalFormatting sqref="F90">
    <cfRule type="cellIs" dxfId="43" priority="80" stopIfTrue="1" operator="equal">
      <formula>#REF!</formula>
    </cfRule>
  </conditionalFormatting>
  <conditionalFormatting sqref="F96">
    <cfRule type="cellIs" dxfId="42" priority="78" stopIfTrue="1" operator="equal">
      <formula>#REF!</formula>
    </cfRule>
  </conditionalFormatting>
  <conditionalFormatting sqref="E96">
    <cfRule type="cellIs" dxfId="41" priority="76" stopIfTrue="1" operator="equal">
      <formula>#REF!</formula>
    </cfRule>
  </conditionalFormatting>
  <conditionalFormatting sqref="F98">
    <cfRule type="cellIs" dxfId="40" priority="74" stopIfTrue="1" operator="equal">
      <formula>#REF!</formula>
    </cfRule>
  </conditionalFormatting>
  <conditionalFormatting sqref="E98">
    <cfRule type="cellIs" dxfId="39" priority="72" stopIfTrue="1" operator="equal">
      <formula>#REF!</formula>
    </cfRule>
  </conditionalFormatting>
  <conditionalFormatting sqref="F118">
    <cfRule type="cellIs" dxfId="38" priority="70" stopIfTrue="1" operator="equal">
      <formula>#REF!</formula>
    </cfRule>
  </conditionalFormatting>
  <conditionalFormatting sqref="E118">
    <cfRule type="cellIs" dxfId="37" priority="68" stopIfTrue="1" operator="equal">
      <formula>#REF!</formula>
    </cfRule>
  </conditionalFormatting>
  <conditionalFormatting sqref="E128">
    <cfRule type="cellIs" dxfId="36" priority="66" stopIfTrue="1" operator="equal">
      <formula>#REF!</formula>
    </cfRule>
  </conditionalFormatting>
  <conditionalFormatting sqref="F128">
    <cfRule type="cellIs" dxfId="35" priority="64" stopIfTrue="1" operator="equal">
      <formula>#REF!</formula>
    </cfRule>
  </conditionalFormatting>
  <conditionalFormatting sqref="F144">
    <cfRule type="cellIs" dxfId="34" priority="62" stopIfTrue="1" operator="equal">
      <formula>#REF!</formula>
    </cfRule>
  </conditionalFormatting>
  <conditionalFormatting sqref="E144">
    <cfRule type="cellIs" dxfId="33" priority="60" stopIfTrue="1" operator="equal">
      <formula>#REF!</formula>
    </cfRule>
  </conditionalFormatting>
  <conditionalFormatting sqref="F158">
    <cfRule type="cellIs" dxfId="32" priority="58" stopIfTrue="1" operator="equal">
      <formula>#REF!</formula>
    </cfRule>
  </conditionalFormatting>
  <conditionalFormatting sqref="F170">
    <cfRule type="cellIs" dxfId="31" priority="56" stopIfTrue="1" operator="equal">
      <formula>#REF!</formula>
    </cfRule>
  </conditionalFormatting>
  <conditionalFormatting sqref="F174">
    <cfRule type="cellIs" dxfId="30" priority="54" stopIfTrue="1" operator="equal">
      <formula>#REF!</formula>
    </cfRule>
  </conditionalFormatting>
  <conditionalFormatting sqref="F186">
    <cfRule type="cellIs" dxfId="29" priority="52" stopIfTrue="1" operator="equal">
      <formula>#REF!</formula>
    </cfRule>
  </conditionalFormatting>
  <conditionalFormatting sqref="F188">
    <cfRule type="cellIs" dxfId="28" priority="50" stopIfTrue="1" operator="equal">
      <formula>#REF!</formula>
    </cfRule>
  </conditionalFormatting>
  <conditionalFormatting sqref="E158">
    <cfRule type="cellIs" dxfId="27" priority="48" stopIfTrue="1" operator="equal">
      <formula>#REF!</formula>
    </cfRule>
  </conditionalFormatting>
  <conditionalFormatting sqref="E160">
    <cfRule type="cellIs" dxfId="26" priority="46" stopIfTrue="1" operator="equal">
      <formula>#REF!</formula>
    </cfRule>
  </conditionalFormatting>
  <conditionalFormatting sqref="E162">
    <cfRule type="cellIs" dxfId="25" priority="44" stopIfTrue="1" operator="equal">
      <formula>#REF!</formula>
    </cfRule>
  </conditionalFormatting>
  <conditionalFormatting sqref="E164">
    <cfRule type="cellIs" dxfId="24" priority="42" stopIfTrue="1" operator="equal">
      <formula>#REF!</formula>
    </cfRule>
  </conditionalFormatting>
  <conditionalFormatting sqref="E166">
    <cfRule type="cellIs" dxfId="23" priority="40" stopIfTrue="1" operator="equal">
      <formula>#REF!</formula>
    </cfRule>
  </conditionalFormatting>
  <conditionalFormatting sqref="E168">
    <cfRule type="cellIs" dxfId="22" priority="38" stopIfTrue="1" operator="equal">
      <formula>#REF!</formula>
    </cfRule>
  </conditionalFormatting>
  <conditionalFormatting sqref="E170">
    <cfRule type="cellIs" dxfId="21" priority="36" stopIfTrue="1" operator="equal">
      <formula>#REF!</formula>
    </cfRule>
  </conditionalFormatting>
  <conditionalFormatting sqref="E174">
    <cfRule type="cellIs" dxfId="20" priority="34" stopIfTrue="1" operator="equal">
      <formula>#REF!</formula>
    </cfRule>
  </conditionalFormatting>
  <conditionalFormatting sqref="E176">
    <cfRule type="cellIs" dxfId="19" priority="32" stopIfTrue="1" operator="equal">
      <formula>#REF!</formula>
    </cfRule>
  </conditionalFormatting>
  <conditionalFormatting sqref="E178">
    <cfRule type="cellIs" dxfId="18" priority="30" stopIfTrue="1" operator="equal">
      <formula>#REF!</formula>
    </cfRule>
  </conditionalFormatting>
  <conditionalFormatting sqref="E184">
    <cfRule type="cellIs" dxfId="17" priority="28" stopIfTrue="1" operator="equal">
      <formula>#REF!</formula>
    </cfRule>
  </conditionalFormatting>
  <conditionalFormatting sqref="E186">
    <cfRule type="cellIs" dxfId="16" priority="26" stopIfTrue="1" operator="equal">
      <formula>#REF!</formula>
    </cfRule>
  </conditionalFormatting>
  <conditionalFormatting sqref="E188">
    <cfRule type="cellIs" dxfId="15" priority="24" stopIfTrue="1" operator="equal">
      <formula>#REF!</formula>
    </cfRule>
  </conditionalFormatting>
  <conditionalFormatting sqref="F122">
    <cfRule type="cellIs" dxfId="14" priority="22" stopIfTrue="1" operator="equal">
      <formula>#REF!</formula>
    </cfRule>
  </conditionalFormatting>
  <conditionalFormatting sqref="AL18">
    <cfRule type="cellIs" dxfId="13" priority="20" stopIfTrue="1" operator="equal">
      <formula>#REF!</formula>
    </cfRule>
  </conditionalFormatting>
  <conditionalFormatting sqref="AL28">
    <cfRule type="cellIs" dxfId="12" priority="18" stopIfTrue="1" operator="equal">
      <formula>#REF!</formula>
    </cfRule>
  </conditionalFormatting>
  <conditionalFormatting sqref="AL30">
    <cfRule type="cellIs" dxfId="11" priority="16" stopIfTrue="1" operator="equal">
      <formula>#REF!</formula>
    </cfRule>
  </conditionalFormatting>
  <conditionalFormatting sqref="AL36">
    <cfRule type="cellIs" dxfId="10" priority="14" stopIfTrue="1" operator="equal">
      <formula>#REF!</formula>
    </cfRule>
  </conditionalFormatting>
  <conditionalFormatting sqref="AL44">
    <cfRule type="cellIs" dxfId="9" priority="12" stopIfTrue="1" operator="equal">
      <formula>#REF!</formula>
    </cfRule>
  </conditionalFormatting>
  <conditionalFormatting sqref="AL48">
    <cfRule type="cellIs" dxfId="8" priority="10" stopIfTrue="1" operator="equal">
      <formula>#REF!</formula>
    </cfRule>
  </conditionalFormatting>
  <conditionalFormatting sqref="AL72">
    <cfRule type="cellIs" dxfId="7" priority="8" stopIfTrue="1" operator="equal">
      <formula>#REF!</formula>
    </cfRule>
  </conditionalFormatting>
  <conditionalFormatting sqref="AL108">
    <cfRule type="cellIs" dxfId="6" priority="6" stopIfTrue="1" operator="equal">
      <formula>#REF!</formula>
    </cfRule>
  </conditionalFormatting>
  <conditionalFormatting sqref="AL112">
    <cfRule type="cellIs" dxfId="5" priority="4" stopIfTrue="1" operator="equal">
      <formula>#REF!</formula>
    </cfRule>
  </conditionalFormatting>
  <conditionalFormatting sqref="AL150">
    <cfRule type="cellIs" dxfId="4" priority="2" stopIfTrue="1" operator="equal">
      <formula>#REF!</formula>
    </cfRule>
  </conditionalFormatting>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1"/>
  <sheetViews>
    <sheetView topLeftCell="A307" workbookViewId="0">
      <selection activeCell="E325" sqref="E325"/>
    </sheetView>
  </sheetViews>
  <sheetFormatPr baseColWidth="10" defaultRowHeight="12.75"/>
  <cols>
    <col min="1" max="1" width="7.42578125" customWidth="1"/>
    <col min="2" max="2" width="39.7109375" style="38" customWidth="1"/>
    <col min="3" max="3" width="5.85546875" customWidth="1"/>
    <col min="4" max="4" width="7" customWidth="1"/>
    <col min="5" max="5" width="39.7109375" customWidth="1"/>
    <col min="6" max="6" width="50.7109375" style="38" customWidth="1"/>
  </cols>
  <sheetData>
    <row r="1" spans="1:16384">
      <c r="B1" s="38" t="s">
        <v>4678</v>
      </c>
      <c r="E1" s="151" t="s">
        <v>4679</v>
      </c>
      <c r="F1" s="151" t="s">
        <v>4677</v>
      </c>
    </row>
    <row r="2" spans="1:16384" ht="20.100000000000001" customHeight="1">
      <c r="E2" s="50" t="s">
        <v>4819</v>
      </c>
    </row>
    <row r="3" spans="1:16384" ht="30" customHeight="1">
      <c r="A3" s="59"/>
      <c r="B3" s="59"/>
      <c r="C3" s="59"/>
      <c r="D3" t="s">
        <v>4680</v>
      </c>
      <c r="E3" s="53" t="s">
        <v>4818</v>
      </c>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c r="IT3" s="59"/>
      <c r="IU3" s="59"/>
      <c r="IV3" s="59"/>
      <c r="IW3" s="59"/>
      <c r="IX3" s="59"/>
      <c r="IY3" s="59"/>
      <c r="IZ3" s="59"/>
      <c r="JA3" s="59"/>
      <c r="JB3" s="59"/>
      <c r="JC3" s="59"/>
      <c r="JD3" s="59"/>
      <c r="JE3" s="59"/>
      <c r="JF3" s="59"/>
      <c r="JG3" s="59"/>
      <c r="JH3" s="59"/>
      <c r="JI3" s="59"/>
      <c r="JJ3" s="59"/>
      <c r="JK3" s="59"/>
      <c r="JL3" s="59"/>
      <c r="JM3" s="59"/>
      <c r="JN3" s="59"/>
      <c r="JO3" s="59"/>
      <c r="JP3" s="59"/>
      <c r="JQ3" s="59"/>
      <c r="JR3" s="59"/>
      <c r="JS3" s="59"/>
      <c r="JT3" s="59"/>
      <c r="JU3" s="59"/>
      <c r="JV3" s="59"/>
      <c r="JW3" s="59"/>
      <c r="JX3" s="59"/>
      <c r="JY3" s="59"/>
      <c r="JZ3" s="59"/>
      <c r="KA3" s="59"/>
      <c r="KB3" s="59"/>
      <c r="KC3" s="59"/>
      <c r="KD3" s="59"/>
      <c r="KE3" s="59"/>
      <c r="KF3" s="59"/>
      <c r="KG3" s="59"/>
      <c r="KH3" s="59"/>
      <c r="KI3" s="59"/>
      <c r="KJ3" s="59"/>
      <c r="KK3" s="59"/>
      <c r="KL3" s="59"/>
      <c r="KM3" s="59"/>
      <c r="KN3" s="59"/>
      <c r="KO3" s="59"/>
      <c r="KP3" s="59"/>
      <c r="KQ3" s="59"/>
      <c r="KR3" s="59"/>
      <c r="KS3" s="59"/>
      <c r="KT3" s="59"/>
      <c r="KU3" s="59"/>
      <c r="KV3" s="59"/>
      <c r="KW3" s="59"/>
      <c r="KX3" s="59"/>
      <c r="KY3" s="59"/>
      <c r="KZ3" s="59"/>
      <c r="LA3" s="59"/>
      <c r="LB3" s="59"/>
      <c r="LC3" s="59"/>
      <c r="LD3" s="59"/>
      <c r="LE3" s="59"/>
      <c r="LF3" s="59"/>
      <c r="LG3" s="59"/>
      <c r="LH3" s="59"/>
      <c r="LI3" s="59"/>
      <c r="LJ3" s="59"/>
      <c r="LK3" s="59"/>
      <c r="LL3" s="59"/>
      <c r="LM3" s="59"/>
      <c r="LN3" s="59"/>
      <c r="LO3" s="59"/>
      <c r="LP3" s="59"/>
      <c r="LQ3" s="59"/>
      <c r="LR3" s="59"/>
      <c r="LS3" s="59"/>
      <c r="LT3" s="59"/>
      <c r="LU3" s="59"/>
      <c r="LV3" s="59"/>
      <c r="LW3" s="59"/>
      <c r="LX3" s="59"/>
      <c r="LY3" s="59"/>
      <c r="LZ3" s="59"/>
      <c r="MA3" s="59"/>
      <c r="MB3" s="59"/>
      <c r="MC3" s="59"/>
      <c r="MD3" s="59"/>
      <c r="ME3" s="59"/>
      <c r="MF3" s="59"/>
      <c r="MG3" s="59"/>
      <c r="MH3" s="59"/>
      <c r="MI3" s="59"/>
      <c r="MJ3" s="59"/>
      <c r="MK3" s="59"/>
      <c r="ML3" s="59"/>
      <c r="MM3" s="59"/>
      <c r="MN3" s="59"/>
      <c r="MO3" s="59"/>
      <c r="MP3" s="59"/>
      <c r="MQ3" s="59"/>
      <c r="MR3" s="59"/>
      <c r="MS3" s="59"/>
      <c r="MT3" s="59"/>
      <c r="MU3" s="59"/>
      <c r="MV3" s="59"/>
      <c r="MW3" s="59"/>
      <c r="MX3" s="59"/>
      <c r="MY3" s="59"/>
      <c r="MZ3" s="59"/>
      <c r="NA3" s="59"/>
      <c r="NB3" s="59"/>
      <c r="NC3" s="59"/>
      <c r="ND3" s="59"/>
      <c r="NE3" s="59"/>
      <c r="NF3" s="59"/>
      <c r="NG3" s="59"/>
      <c r="NH3" s="59"/>
      <c r="NI3" s="59"/>
      <c r="NJ3" s="59"/>
      <c r="NK3" s="59"/>
      <c r="NL3" s="59"/>
      <c r="NM3" s="59"/>
      <c r="NN3" s="59"/>
      <c r="NO3" s="59"/>
      <c r="NP3" s="59"/>
      <c r="NQ3" s="59"/>
      <c r="NR3" s="59"/>
      <c r="NS3" s="59"/>
      <c r="NT3" s="59"/>
      <c r="NU3" s="59"/>
      <c r="NV3" s="59"/>
      <c r="NW3" s="59"/>
      <c r="NX3" s="59"/>
      <c r="NY3" s="59"/>
      <c r="NZ3" s="59"/>
      <c r="OA3" s="59"/>
      <c r="OB3" s="59"/>
      <c r="OC3" s="59"/>
      <c r="OD3" s="59"/>
      <c r="OE3" s="59"/>
      <c r="OF3" s="59"/>
      <c r="OG3" s="59"/>
      <c r="OH3" s="59"/>
      <c r="OI3" s="59"/>
      <c r="OJ3" s="59"/>
      <c r="OK3" s="59"/>
      <c r="OL3" s="59"/>
      <c r="OM3" s="59"/>
      <c r="ON3" s="59"/>
      <c r="OO3" s="59"/>
      <c r="OP3" s="59"/>
      <c r="OQ3" s="59"/>
      <c r="OR3" s="59"/>
      <c r="OS3" s="59"/>
      <c r="OT3" s="59"/>
      <c r="OU3" s="59"/>
      <c r="OV3" s="59"/>
      <c r="OW3" s="59"/>
      <c r="OX3" s="59"/>
      <c r="OY3" s="59"/>
      <c r="OZ3" s="59"/>
      <c r="PA3" s="59"/>
      <c r="PB3" s="59"/>
      <c r="PC3" s="59"/>
      <c r="PD3" s="59"/>
      <c r="PE3" s="59"/>
      <c r="PF3" s="59"/>
      <c r="PG3" s="59"/>
      <c r="PH3" s="59"/>
      <c r="PI3" s="59"/>
      <c r="PJ3" s="59"/>
      <c r="PK3" s="59"/>
      <c r="PL3" s="59"/>
      <c r="PM3" s="59"/>
      <c r="PN3" s="59"/>
      <c r="PO3" s="59"/>
      <c r="PP3" s="59"/>
      <c r="PQ3" s="59"/>
      <c r="PR3" s="59"/>
      <c r="PS3" s="59"/>
      <c r="PT3" s="59"/>
      <c r="PU3" s="59"/>
      <c r="PV3" s="59"/>
      <c r="PW3" s="59"/>
      <c r="PX3" s="59"/>
      <c r="PY3" s="59"/>
      <c r="PZ3" s="59"/>
      <c r="QA3" s="59"/>
      <c r="QB3" s="59"/>
      <c r="QC3" s="59"/>
      <c r="QD3" s="59"/>
      <c r="QE3" s="59"/>
      <c r="QF3" s="59"/>
      <c r="QG3" s="59"/>
      <c r="QH3" s="59"/>
      <c r="QI3" s="59"/>
      <c r="QJ3" s="59"/>
      <c r="QK3" s="59"/>
      <c r="QL3" s="59"/>
      <c r="QM3" s="59"/>
      <c r="QN3" s="59"/>
      <c r="QO3" s="59"/>
      <c r="QP3" s="59"/>
      <c r="QQ3" s="59"/>
      <c r="QR3" s="59"/>
      <c r="QS3" s="59"/>
      <c r="QT3" s="59"/>
      <c r="QU3" s="59"/>
      <c r="QV3" s="59"/>
      <c r="QW3" s="59"/>
      <c r="QX3" s="59"/>
      <c r="QY3" s="59"/>
      <c r="QZ3" s="59"/>
      <c r="RA3" s="59"/>
      <c r="RB3" s="59"/>
      <c r="RC3" s="59"/>
      <c r="RD3" s="59"/>
      <c r="RE3" s="59"/>
      <c r="RF3" s="59"/>
      <c r="RG3" s="59"/>
      <c r="RH3" s="59"/>
      <c r="RI3" s="59"/>
      <c r="RJ3" s="59"/>
      <c r="RK3" s="59"/>
      <c r="RL3" s="59"/>
      <c r="RM3" s="59"/>
      <c r="RN3" s="59"/>
      <c r="RO3" s="59"/>
      <c r="RP3" s="59"/>
      <c r="RQ3" s="59"/>
      <c r="RR3" s="59"/>
      <c r="RS3" s="59"/>
      <c r="RT3" s="59"/>
      <c r="RU3" s="59"/>
      <c r="RV3" s="59"/>
      <c r="RW3" s="59"/>
      <c r="RX3" s="59"/>
      <c r="RY3" s="59"/>
      <c r="RZ3" s="59"/>
      <c r="SA3" s="59"/>
      <c r="SB3" s="59"/>
      <c r="SC3" s="59"/>
      <c r="SD3" s="59"/>
      <c r="SE3" s="59"/>
      <c r="SF3" s="59"/>
      <c r="SG3" s="59"/>
      <c r="SH3" s="59"/>
      <c r="SI3" s="59"/>
      <c r="SJ3" s="59"/>
      <c r="SK3" s="59"/>
      <c r="SL3" s="59"/>
      <c r="SM3" s="59"/>
      <c r="SN3" s="59"/>
      <c r="SO3" s="59"/>
      <c r="SP3" s="59"/>
      <c r="SQ3" s="59"/>
      <c r="SR3" s="59"/>
      <c r="SS3" s="59"/>
      <c r="ST3" s="59"/>
      <c r="SU3" s="59"/>
      <c r="SV3" s="59"/>
      <c r="SW3" s="59"/>
      <c r="SX3" s="59"/>
      <c r="SY3" s="59"/>
      <c r="SZ3" s="59"/>
      <c r="TA3" s="59"/>
      <c r="TB3" s="59"/>
      <c r="TC3" s="59"/>
      <c r="TD3" s="59"/>
      <c r="TE3" s="59"/>
      <c r="TF3" s="59"/>
      <c r="TG3" s="59"/>
      <c r="TH3" s="59"/>
      <c r="TI3" s="59"/>
      <c r="TJ3" s="59"/>
      <c r="TK3" s="59"/>
      <c r="TL3" s="59"/>
      <c r="TM3" s="59"/>
      <c r="TN3" s="59"/>
      <c r="TO3" s="59"/>
      <c r="TP3" s="59"/>
      <c r="TQ3" s="59"/>
      <c r="TR3" s="59"/>
      <c r="TS3" s="59"/>
      <c r="TT3" s="59"/>
      <c r="TU3" s="59"/>
      <c r="TV3" s="59"/>
      <c r="TW3" s="59"/>
      <c r="TX3" s="59"/>
      <c r="TY3" s="59"/>
      <c r="TZ3" s="59"/>
      <c r="UA3" s="59"/>
      <c r="UB3" s="59"/>
      <c r="UC3" s="59"/>
      <c r="UD3" s="59"/>
      <c r="UE3" s="59"/>
      <c r="UF3" s="59"/>
      <c r="UG3" s="59"/>
      <c r="UH3" s="59"/>
      <c r="UI3" s="59"/>
      <c r="UJ3" s="59"/>
      <c r="UK3" s="59"/>
      <c r="UL3" s="59"/>
      <c r="UM3" s="59"/>
      <c r="UN3" s="59"/>
      <c r="UO3" s="59"/>
      <c r="UP3" s="59"/>
      <c r="UQ3" s="59"/>
      <c r="UR3" s="59"/>
      <c r="US3" s="59"/>
      <c r="UT3" s="59"/>
      <c r="UU3" s="59"/>
      <c r="UV3" s="59"/>
      <c r="UW3" s="59"/>
      <c r="UX3" s="59"/>
      <c r="UY3" s="59"/>
      <c r="UZ3" s="59"/>
      <c r="VA3" s="59"/>
      <c r="VB3" s="59"/>
      <c r="VC3" s="59"/>
      <c r="VD3" s="59"/>
      <c r="VE3" s="59"/>
      <c r="VF3" s="59"/>
      <c r="VG3" s="59"/>
      <c r="VH3" s="59"/>
      <c r="VI3" s="59"/>
      <c r="VJ3" s="59"/>
      <c r="VK3" s="59"/>
      <c r="VL3" s="59"/>
      <c r="VM3" s="59"/>
      <c r="VN3" s="59"/>
      <c r="VO3" s="59"/>
      <c r="VP3" s="59"/>
      <c r="VQ3" s="59"/>
      <c r="VR3" s="59"/>
      <c r="VS3" s="59"/>
      <c r="VT3" s="59"/>
      <c r="VU3" s="59"/>
      <c r="VV3" s="59"/>
      <c r="VW3" s="59"/>
      <c r="VX3" s="59"/>
      <c r="VY3" s="59"/>
      <c r="VZ3" s="59"/>
      <c r="WA3" s="59"/>
      <c r="WB3" s="59"/>
      <c r="WC3" s="59"/>
      <c r="WD3" s="59"/>
      <c r="WE3" s="59"/>
      <c r="WF3" s="59"/>
      <c r="WG3" s="59"/>
      <c r="WH3" s="59"/>
      <c r="WI3" s="59"/>
      <c r="WJ3" s="59"/>
      <c r="WK3" s="59"/>
      <c r="WL3" s="59"/>
      <c r="WM3" s="59"/>
      <c r="WN3" s="59"/>
      <c r="WO3" s="59"/>
      <c r="WP3" s="59"/>
      <c r="WQ3" s="59"/>
      <c r="WR3" s="59"/>
      <c r="WS3" s="59"/>
      <c r="WT3" s="59"/>
      <c r="WU3" s="59"/>
      <c r="WV3" s="59"/>
      <c r="WW3" s="59"/>
      <c r="WX3" s="59"/>
      <c r="WY3" s="59"/>
      <c r="WZ3" s="59"/>
      <c r="XA3" s="59"/>
      <c r="XB3" s="59"/>
      <c r="XC3" s="59"/>
      <c r="XD3" s="59"/>
      <c r="XE3" s="59"/>
      <c r="XF3" s="59"/>
      <c r="XG3" s="59"/>
      <c r="XH3" s="59"/>
      <c r="XI3" s="59"/>
      <c r="XJ3" s="59"/>
      <c r="XK3" s="59"/>
      <c r="XL3" s="59"/>
      <c r="XM3" s="59"/>
      <c r="XN3" s="59"/>
      <c r="XO3" s="59"/>
      <c r="XP3" s="59"/>
      <c r="XQ3" s="59"/>
      <c r="XR3" s="59"/>
      <c r="XS3" s="59"/>
      <c r="XT3" s="59"/>
      <c r="XU3" s="59"/>
      <c r="XV3" s="59"/>
      <c r="XW3" s="59"/>
      <c r="XX3" s="59"/>
      <c r="XY3" s="59"/>
      <c r="XZ3" s="59"/>
      <c r="YA3" s="59"/>
      <c r="YB3" s="59"/>
      <c r="YC3" s="59"/>
      <c r="YD3" s="59"/>
      <c r="YE3" s="59"/>
      <c r="YF3" s="59"/>
      <c r="YG3" s="59"/>
      <c r="YH3" s="59"/>
      <c r="YI3" s="59"/>
      <c r="YJ3" s="59"/>
      <c r="YK3" s="59"/>
      <c r="YL3" s="59"/>
      <c r="YM3" s="59"/>
      <c r="YN3" s="59"/>
      <c r="YO3" s="59"/>
      <c r="YP3" s="59"/>
      <c r="YQ3" s="59"/>
      <c r="YR3" s="59"/>
      <c r="YS3" s="59"/>
      <c r="YT3" s="59"/>
      <c r="YU3" s="59"/>
      <c r="YV3" s="59"/>
      <c r="YW3" s="59"/>
      <c r="YX3" s="59"/>
      <c r="YY3" s="59"/>
      <c r="YZ3" s="59"/>
      <c r="ZA3" s="59"/>
      <c r="ZB3" s="59"/>
      <c r="ZC3" s="59"/>
      <c r="ZD3" s="59"/>
      <c r="ZE3" s="59"/>
      <c r="ZF3" s="59"/>
      <c r="ZG3" s="59"/>
      <c r="ZH3" s="59"/>
      <c r="ZI3" s="59"/>
      <c r="ZJ3" s="59"/>
      <c r="ZK3" s="59"/>
      <c r="ZL3" s="59"/>
      <c r="ZM3" s="59"/>
      <c r="ZN3" s="59"/>
      <c r="ZO3" s="59"/>
      <c r="ZP3" s="59"/>
      <c r="ZQ3" s="59"/>
      <c r="ZR3" s="59"/>
      <c r="ZS3" s="59"/>
      <c r="ZT3" s="59"/>
      <c r="ZU3" s="59"/>
      <c r="ZV3" s="59"/>
      <c r="ZW3" s="59"/>
      <c r="ZX3" s="59"/>
      <c r="ZY3" s="59"/>
      <c r="ZZ3" s="59"/>
      <c r="AAA3" s="59"/>
      <c r="AAB3" s="59"/>
      <c r="AAC3" s="59"/>
      <c r="AAD3" s="59"/>
      <c r="AAE3" s="59"/>
      <c r="AAF3" s="59"/>
      <c r="AAG3" s="59"/>
      <c r="AAH3" s="59"/>
      <c r="AAI3" s="59"/>
      <c r="AAJ3" s="59"/>
      <c r="AAK3" s="59"/>
      <c r="AAL3" s="59"/>
      <c r="AAM3" s="59"/>
      <c r="AAN3" s="59"/>
      <c r="AAO3" s="59"/>
      <c r="AAP3" s="59"/>
      <c r="AAQ3" s="59"/>
      <c r="AAR3" s="59"/>
      <c r="AAS3" s="59"/>
      <c r="AAT3" s="59"/>
      <c r="AAU3" s="59"/>
      <c r="AAV3" s="59"/>
      <c r="AAW3" s="59"/>
      <c r="AAX3" s="59"/>
      <c r="AAY3" s="59"/>
      <c r="AAZ3" s="59"/>
      <c r="ABA3" s="59"/>
      <c r="ABB3" s="59"/>
      <c r="ABC3" s="59"/>
      <c r="ABD3" s="59"/>
      <c r="ABE3" s="59"/>
      <c r="ABF3" s="59"/>
      <c r="ABG3" s="59"/>
      <c r="ABH3" s="59"/>
      <c r="ABI3" s="59"/>
      <c r="ABJ3" s="59"/>
      <c r="ABK3" s="59"/>
      <c r="ABL3" s="59"/>
      <c r="ABM3" s="59"/>
      <c r="ABN3" s="59"/>
      <c r="ABO3" s="59"/>
      <c r="ABP3" s="59"/>
      <c r="ABQ3" s="59"/>
      <c r="ABR3" s="59"/>
      <c r="ABS3" s="59"/>
      <c r="ABT3" s="59"/>
      <c r="ABU3" s="59"/>
      <c r="ABV3" s="59"/>
      <c r="ABW3" s="59"/>
      <c r="ABX3" s="59"/>
      <c r="ABY3" s="59"/>
      <c r="ABZ3" s="59"/>
      <c r="ACA3" s="59"/>
      <c r="ACB3" s="59"/>
      <c r="ACC3" s="59"/>
      <c r="ACD3" s="59"/>
      <c r="ACE3" s="59"/>
      <c r="ACF3" s="59"/>
      <c r="ACG3" s="59"/>
      <c r="ACH3" s="59"/>
      <c r="ACI3" s="59"/>
      <c r="ACJ3" s="59"/>
      <c r="ACK3" s="59"/>
      <c r="ACL3" s="59"/>
      <c r="ACM3" s="59"/>
      <c r="ACN3" s="59"/>
      <c r="ACO3" s="59"/>
      <c r="ACP3" s="59"/>
      <c r="ACQ3" s="59"/>
      <c r="ACR3" s="59"/>
      <c r="ACS3" s="59"/>
      <c r="ACT3" s="59"/>
      <c r="ACU3" s="59"/>
      <c r="ACV3" s="59"/>
      <c r="ACW3" s="59"/>
      <c r="ACX3" s="59"/>
      <c r="ACY3" s="59"/>
      <c r="ACZ3" s="59"/>
      <c r="ADA3" s="59"/>
      <c r="ADB3" s="59"/>
      <c r="ADC3" s="59"/>
      <c r="ADD3" s="59"/>
      <c r="ADE3" s="59"/>
      <c r="ADF3" s="59"/>
      <c r="ADG3" s="59"/>
      <c r="ADH3" s="59"/>
      <c r="ADI3" s="59"/>
      <c r="ADJ3" s="59"/>
      <c r="ADK3" s="59"/>
      <c r="ADL3" s="59"/>
      <c r="ADM3" s="59"/>
      <c r="ADN3" s="59"/>
      <c r="ADO3" s="59"/>
      <c r="ADP3" s="59"/>
      <c r="ADQ3" s="59"/>
      <c r="ADR3" s="59"/>
      <c r="ADS3" s="59"/>
      <c r="ADT3" s="59"/>
      <c r="ADU3" s="59"/>
      <c r="ADV3" s="59"/>
      <c r="ADW3" s="59"/>
      <c r="ADX3" s="59"/>
      <c r="ADY3" s="59"/>
      <c r="ADZ3" s="59"/>
      <c r="AEA3" s="59"/>
      <c r="AEB3" s="59"/>
      <c r="AEC3" s="59"/>
      <c r="AED3" s="59"/>
      <c r="AEE3" s="59"/>
      <c r="AEF3" s="59"/>
      <c r="AEG3" s="59"/>
      <c r="AEH3" s="59"/>
      <c r="AEI3" s="59"/>
      <c r="AEJ3" s="59"/>
      <c r="AEK3" s="59"/>
      <c r="AEL3" s="59"/>
      <c r="AEM3" s="59"/>
      <c r="AEN3" s="59"/>
      <c r="AEO3" s="59"/>
      <c r="AEP3" s="59"/>
      <c r="AEQ3" s="59"/>
      <c r="AER3" s="59"/>
      <c r="AES3" s="59"/>
      <c r="AET3" s="59"/>
      <c r="AEU3" s="59"/>
      <c r="AEV3" s="59"/>
      <c r="AEW3" s="59"/>
      <c r="AEX3" s="59"/>
      <c r="AEY3" s="59"/>
      <c r="AEZ3" s="59"/>
      <c r="AFA3" s="59"/>
      <c r="AFB3" s="59"/>
      <c r="AFC3" s="59"/>
      <c r="AFD3" s="59"/>
      <c r="AFE3" s="59"/>
      <c r="AFF3" s="59"/>
      <c r="AFG3" s="59"/>
      <c r="AFH3" s="59"/>
      <c r="AFI3" s="59"/>
      <c r="AFJ3" s="59"/>
      <c r="AFK3" s="59"/>
      <c r="AFL3" s="59"/>
      <c r="AFM3" s="59"/>
      <c r="AFN3" s="59"/>
      <c r="AFO3" s="59"/>
      <c r="AFP3" s="59"/>
      <c r="AFQ3" s="59"/>
      <c r="AFR3" s="59"/>
      <c r="AFS3" s="59"/>
      <c r="AFT3" s="59"/>
      <c r="AFU3" s="59"/>
      <c r="AFV3" s="59"/>
      <c r="AFW3" s="59"/>
      <c r="AFX3" s="59"/>
      <c r="AFY3" s="59"/>
      <c r="AFZ3" s="59"/>
      <c r="AGA3" s="59"/>
      <c r="AGB3" s="59"/>
      <c r="AGC3" s="59"/>
      <c r="AGD3" s="59"/>
      <c r="AGE3" s="59"/>
      <c r="AGF3" s="59"/>
      <c r="AGG3" s="59"/>
      <c r="AGH3" s="59"/>
      <c r="AGI3" s="59"/>
      <c r="AGJ3" s="59"/>
      <c r="AGK3" s="59"/>
      <c r="AGL3" s="59"/>
      <c r="AGM3" s="59"/>
      <c r="AGN3" s="59"/>
      <c r="AGO3" s="59"/>
      <c r="AGP3" s="59"/>
      <c r="AGQ3" s="59"/>
      <c r="AGR3" s="59"/>
      <c r="AGS3" s="59"/>
      <c r="AGT3" s="59"/>
      <c r="AGU3" s="59"/>
      <c r="AGV3" s="59"/>
      <c r="AGW3" s="59"/>
      <c r="AGX3" s="59"/>
      <c r="AGY3" s="59"/>
      <c r="AGZ3" s="59"/>
      <c r="AHA3" s="59"/>
      <c r="AHB3" s="59"/>
      <c r="AHC3" s="59"/>
      <c r="AHD3" s="59"/>
      <c r="AHE3" s="59"/>
      <c r="AHF3" s="59"/>
      <c r="AHG3" s="59"/>
      <c r="AHH3" s="59"/>
      <c r="AHI3" s="59"/>
      <c r="AHJ3" s="59"/>
      <c r="AHK3" s="59"/>
      <c r="AHL3" s="59"/>
      <c r="AHM3" s="59"/>
      <c r="AHN3" s="59"/>
      <c r="AHO3" s="59"/>
      <c r="AHP3" s="59"/>
      <c r="AHQ3" s="59"/>
      <c r="AHR3" s="59"/>
      <c r="AHS3" s="59"/>
      <c r="AHT3" s="59"/>
      <c r="AHU3" s="59"/>
      <c r="AHV3" s="59"/>
      <c r="AHW3" s="59"/>
      <c r="AHX3" s="59"/>
      <c r="AHY3" s="59"/>
      <c r="AHZ3" s="59"/>
      <c r="AIA3" s="59"/>
      <c r="AIB3" s="59"/>
      <c r="AIC3" s="59"/>
      <c r="AID3" s="59"/>
      <c r="AIE3" s="59"/>
      <c r="AIF3" s="59"/>
      <c r="AIG3" s="59"/>
      <c r="AIH3" s="59"/>
      <c r="AII3" s="59"/>
      <c r="AIJ3" s="59"/>
      <c r="AIK3" s="59"/>
      <c r="AIL3" s="59"/>
      <c r="AIM3" s="59"/>
      <c r="AIN3" s="59"/>
      <c r="AIO3" s="59"/>
      <c r="AIP3" s="59"/>
      <c r="AIQ3" s="59"/>
      <c r="AIR3" s="59"/>
      <c r="AIS3" s="59"/>
      <c r="AIT3" s="59"/>
      <c r="AIU3" s="59"/>
      <c r="AIV3" s="59"/>
      <c r="AIW3" s="59"/>
      <c r="AIX3" s="59"/>
      <c r="AIY3" s="59"/>
      <c r="AIZ3" s="59"/>
      <c r="AJA3" s="59"/>
      <c r="AJB3" s="59"/>
      <c r="AJC3" s="59"/>
      <c r="AJD3" s="59"/>
      <c r="AJE3" s="59"/>
      <c r="AJF3" s="59"/>
      <c r="AJG3" s="59"/>
      <c r="AJH3" s="59"/>
      <c r="AJI3" s="59"/>
      <c r="AJJ3" s="59"/>
      <c r="AJK3" s="59"/>
      <c r="AJL3" s="59"/>
      <c r="AJM3" s="59"/>
      <c r="AJN3" s="59"/>
      <c r="AJO3" s="59"/>
      <c r="AJP3" s="59"/>
      <c r="AJQ3" s="59"/>
      <c r="AJR3" s="59"/>
      <c r="AJS3" s="59"/>
      <c r="AJT3" s="59"/>
      <c r="AJU3" s="59"/>
      <c r="AJV3" s="59"/>
      <c r="AJW3" s="59"/>
      <c r="AJX3" s="59"/>
      <c r="AJY3" s="59"/>
      <c r="AJZ3" s="59"/>
      <c r="AKA3" s="59"/>
      <c r="AKB3" s="59"/>
      <c r="AKC3" s="59"/>
      <c r="AKD3" s="59"/>
      <c r="AKE3" s="59"/>
      <c r="AKF3" s="59"/>
      <c r="AKG3" s="59"/>
      <c r="AKH3" s="59"/>
      <c r="AKI3" s="59"/>
      <c r="AKJ3" s="59"/>
      <c r="AKK3" s="59"/>
      <c r="AKL3" s="59"/>
      <c r="AKM3" s="59"/>
      <c r="AKN3" s="59"/>
      <c r="AKO3" s="59"/>
      <c r="AKP3" s="59"/>
      <c r="AKQ3" s="59"/>
      <c r="AKR3" s="59"/>
      <c r="AKS3" s="59"/>
      <c r="AKT3" s="59"/>
      <c r="AKU3" s="59"/>
      <c r="AKV3" s="59"/>
      <c r="AKW3" s="59"/>
      <c r="AKX3" s="59"/>
      <c r="AKY3" s="59"/>
      <c r="AKZ3" s="59"/>
      <c r="ALA3" s="59"/>
      <c r="ALB3" s="59"/>
      <c r="ALC3" s="59"/>
      <c r="ALD3" s="59"/>
      <c r="ALE3" s="59"/>
      <c r="ALF3" s="59"/>
      <c r="ALG3" s="59"/>
      <c r="ALH3" s="59"/>
      <c r="ALI3" s="59"/>
      <c r="ALJ3" s="59"/>
      <c r="ALK3" s="59"/>
      <c r="ALL3" s="59"/>
      <c r="ALM3" s="59"/>
      <c r="ALN3" s="59"/>
      <c r="ALO3" s="59"/>
      <c r="ALP3" s="59"/>
      <c r="ALQ3" s="59"/>
      <c r="ALR3" s="59"/>
      <c r="ALS3" s="59"/>
      <c r="ALT3" s="59"/>
      <c r="ALU3" s="59"/>
      <c r="ALV3" s="59"/>
      <c r="ALW3" s="59"/>
      <c r="ALX3" s="59"/>
      <c r="ALY3" s="59"/>
      <c r="ALZ3" s="59"/>
      <c r="AMA3" s="59"/>
      <c r="AMB3" s="59"/>
      <c r="AMC3" s="59"/>
      <c r="AMD3" s="59"/>
      <c r="AME3" s="59"/>
      <c r="AMF3" s="59"/>
      <c r="AMG3" s="59"/>
      <c r="AMH3" s="59"/>
      <c r="AMI3" s="59"/>
      <c r="AMJ3" s="59"/>
      <c r="AMK3" s="59"/>
      <c r="AML3" s="59"/>
      <c r="AMM3" s="59"/>
      <c r="AMN3" s="59"/>
      <c r="AMO3" s="59"/>
      <c r="AMP3" s="59"/>
      <c r="AMQ3" s="59"/>
      <c r="AMR3" s="59"/>
      <c r="AMS3" s="59"/>
      <c r="AMT3" s="59"/>
      <c r="AMU3" s="59"/>
      <c r="AMV3" s="59"/>
      <c r="AMW3" s="59"/>
      <c r="AMX3" s="59"/>
      <c r="AMY3" s="59"/>
      <c r="AMZ3" s="59"/>
      <c r="ANA3" s="59"/>
      <c r="ANB3" s="59"/>
      <c r="ANC3" s="59"/>
      <c r="AND3" s="59"/>
      <c r="ANE3" s="59"/>
      <c r="ANF3" s="59"/>
      <c r="ANG3" s="59"/>
      <c r="ANH3" s="59"/>
      <c r="ANI3" s="59"/>
      <c r="ANJ3" s="59"/>
      <c r="ANK3" s="59"/>
      <c r="ANL3" s="59"/>
      <c r="ANM3" s="59"/>
      <c r="ANN3" s="59"/>
      <c r="ANO3" s="59"/>
      <c r="ANP3" s="59"/>
      <c r="ANQ3" s="59"/>
      <c r="ANR3" s="59"/>
      <c r="ANS3" s="59"/>
      <c r="ANT3" s="59"/>
      <c r="ANU3" s="59"/>
      <c r="ANV3" s="59"/>
      <c r="ANW3" s="59"/>
      <c r="ANX3" s="59"/>
      <c r="ANY3" s="59"/>
      <c r="ANZ3" s="59"/>
      <c r="AOA3" s="59"/>
      <c r="AOB3" s="59"/>
      <c r="AOC3" s="59"/>
      <c r="AOD3" s="59"/>
      <c r="AOE3" s="59"/>
      <c r="AOF3" s="59"/>
      <c r="AOG3" s="59"/>
      <c r="AOH3" s="59"/>
      <c r="AOI3" s="59"/>
      <c r="AOJ3" s="59"/>
      <c r="AOK3" s="59"/>
      <c r="AOL3" s="59"/>
      <c r="AOM3" s="59"/>
      <c r="AON3" s="59"/>
      <c r="AOO3" s="59"/>
      <c r="AOP3" s="59"/>
      <c r="AOQ3" s="59"/>
      <c r="AOR3" s="59"/>
      <c r="AOS3" s="59"/>
      <c r="AOT3" s="59"/>
      <c r="AOU3" s="59"/>
      <c r="AOV3" s="59"/>
      <c r="AOW3" s="59"/>
      <c r="AOX3" s="59"/>
      <c r="AOY3" s="59"/>
      <c r="AOZ3" s="59"/>
      <c r="APA3" s="59"/>
      <c r="APB3" s="59"/>
      <c r="APC3" s="59"/>
      <c r="APD3" s="59"/>
      <c r="APE3" s="59"/>
      <c r="APF3" s="59"/>
      <c r="APG3" s="59"/>
      <c r="APH3" s="59"/>
      <c r="API3" s="59"/>
      <c r="APJ3" s="59"/>
      <c r="APK3" s="59"/>
      <c r="APL3" s="59"/>
      <c r="APM3" s="59"/>
      <c r="APN3" s="59"/>
      <c r="APO3" s="59"/>
      <c r="APP3" s="59"/>
      <c r="APQ3" s="59"/>
      <c r="APR3" s="59"/>
      <c r="APS3" s="59"/>
      <c r="APT3" s="59"/>
      <c r="APU3" s="59"/>
      <c r="APV3" s="59"/>
      <c r="APW3" s="59"/>
      <c r="APX3" s="59"/>
      <c r="APY3" s="59"/>
      <c r="APZ3" s="59"/>
      <c r="AQA3" s="59"/>
      <c r="AQB3" s="59"/>
      <c r="AQC3" s="59"/>
      <c r="AQD3" s="59"/>
      <c r="AQE3" s="59"/>
      <c r="AQF3" s="59"/>
      <c r="AQG3" s="59"/>
      <c r="AQH3" s="59"/>
      <c r="AQI3" s="59"/>
      <c r="AQJ3" s="59"/>
      <c r="AQK3" s="59"/>
      <c r="AQL3" s="59"/>
      <c r="AQM3" s="59"/>
      <c r="AQN3" s="59"/>
      <c r="AQO3" s="59"/>
      <c r="AQP3" s="59"/>
      <c r="AQQ3" s="59"/>
      <c r="AQR3" s="59"/>
      <c r="AQS3" s="59"/>
      <c r="AQT3" s="59"/>
      <c r="AQU3" s="59"/>
      <c r="AQV3" s="59"/>
      <c r="AQW3" s="59"/>
      <c r="AQX3" s="59"/>
      <c r="AQY3" s="59"/>
      <c r="AQZ3" s="59"/>
      <c r="ARA3" s="59"/>
      <c r="ARB3" s="59"/>
      <c r="ARC3" s="59"/>
      <c r="ARD3" s="59"/>
      <c r="ARE3" s="59"/>
      <c r="ARF3" s="59"/>
      <c r="ARG3" s="59"/>
      <c r="ARH3" s="59"/>
      <c r="ARI3" s="59"/>
      <c r="ARJ3" s="59"/>
      <c r="ARK3" s="59"/>
      <c r="ARL3" s="59"/>
      <c r="ARM3" s="59"/>
      <c r="ARN3" s="59"/>
      <c r="ARO3" s="59"/>
      <c r="ARP3" s="59"/>
      <c r="ARQ3" s="59"/>
      <c r="ARR3" s="59"/>
      <c r="ARS3" s="59"/>
      <c r="ART3" s="59"/>
      <c r="ARU3" s="59"/>
      <c r="ARV3" s="59"/>
      <c r="ARW3" s="59"/>
      <c r="ARX3" s="59"/>
      <c r="ARY3" s="59"/>
      <c r="ARZ3" s="59"/>
      <c r="ASA3" s="59"/>
      <c r="ASB3" s="59"/>
      <c r="ASC3" s="59"/>
      <c r="ASD3" s="59"/>
      <c r="ASE3" s="59"/>
      <c r="ASF3" s="59"/>
      <c r="ASG3" s="59"/>
      <c r="ASH3" s="59"/>
      <c r="ASI3" s="59"/>
      <c r="ASJ3" s="59"/>
      <c r="ASK3" s="59"/>
      <c r="ASL3" s="59"/>
      <c r="ASM3" s="59"/>
      <c r="ASN3" s="59"/>
      <c r="ASO3" s="59"/>
      <c r="ASP3" s="59"/>
      <c r="ASQ3" s="59"/>
      <c r="ASR3" s="59"/>
      <c r="ASS3" s="59"/>
      <c r="AST3" s="59"/>
      <c r="ASU3" s="59"/>
      <c r="ASV3" s="59"/>
      <c r="ASW3" s="59"/>
      <c r="ASX3" s="59"/>
      <c r="ASY3" s="59"/>
      <c r="ASZ3" s="59"/>
      <c r="ATA3" s="59"/>
      <c r="ATB3" s="59"/>
      <c r="ATC3" s="59"/>
      <c r="ATD3" s="59"/>
      <c r="ATE3" s="59"/>
      <c r="ATF3" s="59"/>
      <c r="ATG3" s="59"/>
      <c r="ATH3" s="59"/>
      <c r="ATI3" s="59"/>
      <c r="ATJ3" s="59"/>
      <c r="ATK3" s="59"/>
      <c r="ATL3" s="59"/>
      <c r="ATM3" s="59"/>
      <c r="ATN3" s="59"/>
      <c r="ATO3" s="59"/>
      <c r="ATP3" s="59"/>
      <c r="ATQ3" s="59"/>
      <c r="ATR3" s="59"/>
      <c r="ATS3" s="59"/>
      <c r="ATT3" s="59"/>
      <c r="ATU3" s="59"/>
      <c r="ATV3" s="59"/>
      <c r="ATW3" s="59"/>
      <c r="ATX3" s="59"/>
      <c r="ATY3" s="59"/>
      <c r="ATZ3" s="59"/>
      <c r="AUA3" s="59"/>
      <c r="AUB3" s="59"/>
      <c r="AUC3" s="59"/>
      <c r="AUD3" s="59"/>
      <c r="AUE3" s="59"/>
      <c r="AUF3" s="59"/>
      <c r="AUG3" s="59"/>
      <c r="AUH3" s="59"/>
      <c r="AUI3" s="59"/>
      <c r="AUJ3" s="59"/>
      <c r="AUK3" s="59"/>
      <c r="AUL3" s="59"/>
      <c r="AUM3" s="59"/>
      <c r="AUN3" s="59"/>
      <c r="AUO3" s="59"/>
      <c r="AUP3" s="59"/>
      <c r="AUQ3" s="59"/>
      <c r="AUR3" s="59"/>
      <c r="AUS3" s="59"/>
      <c r="AUT3" s="59"/>
      <c r="AUU3" s="59"/>
      <c r="AUV3" s="59"/>
      <c r="AUW3" s="59"/>
      <c r="AUX3" s="59"/>
      <c r="AUY3" s="59"/>
      <c r="AUZ3" s="59"/>
      <c r="AVA3" s="59"/>
      <c r="AVB3" s="59"/>
      <c r="AVC3" s="59"/>
      <c r="AVD3" s="59"/>
      <c r="AVE3" s="59"/>
      <c r="AVF3" s="59"/>
      <c r="AVG3" s="59"/>
      <c r="AVH3" s="59"/>
      <c r="AVI3" s="59"/>
      <c r="AVJ3" s="59"/>
      <c r="AVK3" s="59"/>
      <c r="AVL3" s="59"/>
      <c r="AVM3" s="59"/>
      <c r="AVN3" s="59"/>
      <c r="AVO3" s="59"/>
      <c r="AVP3" s="59"/>
      <c r="AVQ3" s="59"/>
      <c r="AVR3" s="59"/>
      <c r="AVS3" s="59"/>
      <c r="AVT3" s="59"/>
      <c r="AVU3" s="59"/>
      <c r="AVV3" s="59"/>
      <c r="AVW3" s="59"/>
      <c r="AVX3" s="59"/>
      <c r="AVY3" s="59"/>
      <c r="AVZ3" s="59"/>
      <c r="AWA3" s="59"/>
      <c r="AWB3" s="59"/>
      <c r="AWC3" s="59"/>
      <c r="AWD3" s="59"/>
      <c r="AWE3" s="59"/>
      <c r="AWF3" s="59"/>
      <c r="AWG3" s="59"/>
      <c r="AWH3" s="59"/>
      <c r="AWI3" s="59"/>
      <c r="AWJ3" s="59"/>
      <c r="AWK3" s="59"/>
      <c r="AWL3" s="59"/>
      <c r="AWM3" s="59"/>
      <c r="AWN3" s="59"/>
      <c r="AWO3" s="59"/>
      <c r="AWP3" s="59"/>
      <c r="AWQ3" s="59"/>
      <c r="AWR3" s="59"/>
      <c r="AWS3" s="59"/>
      <c r="AWT3" s="59"/>
      <c r="AWU3" s="59"/>
      <c r="AWV3" s="59"/>
      <c r="AWW3" s="59"/>
      <c r="AWX3" s="59"/>
      <c r="AWY3" s="59"/>
      <c r="AWZ3" s="59"/>
      <c r="AXA3" s="59"/>
      <c r="AXB3" s="59"/>
      <c r="AXC3" s="59"/>
      <c r="AXD3" s="59"/>
      <c r="AXE3" s="59"/>
      <c r="AXF3" s="59"/>
      <c r="AXG3" s="59"/>
      <c r="AXH3" s="59"/>
      <c r="AXI3" s="59"/>
      <c r="AXJ3" s="59"/>
      <c r="AXK3" s="59"/>
      <c r="AXL3" s="59"/>
      <c r="AXM3" s="59"/>
      <c r="AXN3" s="59"/>
      <c r="AXO3" s="59"/>
      <c r="AXP3" s="59"/>
      <c r="AXQ3" s="59"/>
      <c r="AXR3" s="59"/>
      <c r="AXS3" s="59"/>
      <c r="AXT3" s="59"/>
      <c r="AXU3" s="59"/>
      <c r="AXV3" s="59"/>
      <c r="AXW3" s="59"/>
      <c r="AXX3" s="59"/>
      <c r="AXY3" s="59"/>
      <c r="AXZ3" s="59"/>
      <c r="AYA3" s="59"/>
      <c r="AYB3" s="59"/>
      <c r="AYC3" s="59"/>
      <c r="AYD3" s="59"/>
      <c r="AYE3" s="59"/>
      <c r="AYF3" s="59"/>
      <c r="AYG3" s="59"/>
      <c r="AYH3" s="59"/>
      <c r="AYI3" s="59"/>
      <c r="AYJ3" s="59"/>
      <c r="AYK3" s="59"/>
      <c r="AYL3" s="59"/>
      <c r="AYM3" s="59"/>
      <c r="AYN3" s="59"/>
      <c r="AYO3" s="59"/>
      <c r="AYP3" s="59"/>
      <c r="AYQ3" s="59"/>
      <c r="AYR3" s="59"/>
      <c r="AYS3" s="59"/>
      <c r="AYT3" s="59"/>
      <c r="AYU3" s="59"/>
      <c r="AYV3" s="59"/>
      <c r="AYW3" s="59"/>
      <c r="AYX3" s="59"/>
      <c r="AYY3" s="59"/>
      <c r="AYZ3" s="59"/>
      <c r="AZA3" s="59"/>
      <c r="AZB3" s="59"/>
      <c r="AZC3" s="59"/>
      <c r="AZD3" s="59"/>
      <c r="AZE3" s="59"/>
      <c r="AZF3" s="59"/>
      <c r="AZG3" s="59"/>
      <c r="AZH3" s="59"/>
      <c r="AZI3" s="59"/>
      <c r="AZJ3" s="59"/>
      <c r="AZK3" s="59"/>
      <c r="AZL3" s="59"/>
      <c r="AZM3" s="59"/>
      <c r="AZN3" s="59"/>
      <c r="AZO3" s="59"/>
      <c r="AZP3" s="59"/>
      <c r="AZQ3" s="59"/>
      <c r="AZR3" s="59"/>
      <c r="AZS3" s="59"/>
      <c r="AZT3" s="59"/>
      <c r="AZU3" s="59"/>
      <c r="AZV3" s="59"/>
      <c r="AZW3" s="59"/>
      <c r="AZX3" s="59"/>
      <c r="AZY3" s="59"/>
      <c r="AZZ3" s="59"/>
      <c r="BAA3" s="59"/>
      <c r="BAB3" s="59"/>
      <c r="BAC3" s="59"/>
      <c r="BAD3" s="59"/>
      <c r="BAE3" s="59"/>
      <c r="BAF3" s="59"/>
      <c r="BAG3" s="59"/>
      <c r="BAH3" s="59"/>
      <c r="BAI3" s="59"/>
      <c r="BAJ3" s="59"/>
      <c r="BAK3" s="59"/>
      <c r="BAL3" s="59"/>
      <c r="BAM3" s="59"/>
      <c r="BAN3" s="59"/>
      <c r="BAO3" s="59"/>
      <c r="BAP3" s="59"/>
      <c r="BAQ3" s="59"/>
      <c r="BAR3" s="59"/>
      <c r="BAS3" s="59"/>
      <c r="BAT3" s="59"/>
      <c r="BAU3" s="59"/>
      <c r="BAV3" s="59"/>
      <c r="BAW3" s="59"/>
      <c r="BAX3" s="59"/>
      <c r="BAY3" s="59"/>
      <c r="BAZ3" s="59"/>
      <c r="BBA3" s="59"/>
      <c r="BBB3" s="59"/>
      <c r="BBC3" s="59"/>
      <c r="BBD3" s="59"/>
      <c r="BBE3" s="59"/>
      <c r="BBF3" s="59"/>
      <c r="BBG3" s="59"/>
      <c r="BBH3" s="59"/>
      <c r="BBI3" s="59"/>
      <c r="BBJ3" s="59"/>
      <c r="BBK3" s="59"/>
      <c r="BBL3" s="59"/>
      <c r="BBM3" s="59"/>
      <c r="BBN3" s="59"/>
      <c r="BBO3" s="59"/>
      <c r="BBP3" s="59"/>
      <c r="BBQ3" s="59"/>
      <c r="BBR3" s="59"/>
      <c r="BBS3" s="59"/>
      <c r="BBT3" s="59"/>
      <c r="BBU3" s="59"/>
      <c r="BBV3" s="59"/>
      <c r="BBW3" s="59"/>
      <c r="BBX3" s="59"/>
      <c r="BBY3" s="59"/>
      <c r="BBZ3" s="59"/>
      <c r="BCA3" s="59"/>
      <c r="BCB3" s="59"/>
      <c r="BCC3" s="59"/>
      <c r="BCD3" s="59"/>
      <c r="BCE3" s="59"/>
      <c r="BCF3" s="59"/>
      <c r="BCG3" s="59"/>
      <c r="BCH3" s="59"/>
      <c r="BCI3" s="59"/>
      <c r="BCJ3" s="59"/>
      <c r="BCK3" s="59"/>
      <c r="BCL3" s="59"/>
      <c r="BCM3" s="59"/>
      <c r="BCN3" s="59"/>
      <c r="BCO3" s="59"/>
      <c r="BCP3" s="59"/>
      <c r="BCQ3" s="59"/>
      <c r="BCR3" s="59"/>
      <c r="BCS3" s="59"/>
      <c r="BCT3" s="59"/>
      <c r="BCU3" s="59"/>
      <c r="BCV3" s="59"/>
      <c r="BCW3" s="59"/>
      <c r="BCX3" s="59"/>
      <c r="BCY3" s="59"/>
      <c r="BCZ3" s="59"/>
      <c r="BDA3" s="59"/>
      <c r="BDB3" s="59"/>
      <c r="BDC3" s="59"/>
      <c r="BDD3" s="59"/>
      <c r="BDE3" s="59"/>
      <c r="BDF3" s="59"/>
      <c r="BDG3" s="59"/>
      <c r="BDH3" s="59"/>
      <c r="BDI3" s="59"/>
      <c r="BDJ3" s="59"/>
      <c r="BDK3" s="59"/>
      <c r="BDL3" s="59"/>
      <c r="BDM3" s="59"/>
      <c r="BDN3" s="59"/>
      <c r="BDO3" s="59"/>
      <c r="BDP3" s="59"/>
      <c r="BDQ3" s="59"/>
      <c r="BDR3" s="59"/>
      <c r="BDS3" s="59"/>
      <c r="BDT3" s="59"/>
      <c r="BDU3" s="59"/>
      <c r="BDV3" s="59"/>
      <c r="BDW3" s="59"/>
      <c r="BDX3" s="59"/>
      <c r="BDY3" s="59"/>
      <c r="BDZ3" s="59"/>
      <c r="BEA3" s="59"/>
      <c r="BEB3" s="59"/>
      <c r="BEC3" s="59"/>
      <c r="BED3" s="59"/>
      <c r="BEE3" s="59"/>
      <c r="BEF3" s="59"/>
      <c r="BEG3" s="59"/>
      <c r="BEH3" s="59"/>
      <c r="BEI3" s="59"/>
      <c r="BEJ3" s="59"/>
      <c r="BEK3" s="59"/>
      <c r="BEL3" s="59"/>
      <c r="BEM3" s="59"/>
      <c r="BEN3" s="59"/>
      <c r="BEO3" s="59"/>
      <c r="BEP3" s="59"/>
      <c r="BEQ3" s="59"/>
      <c r="BER3" s="59"/>
      <c r="BES3" s="59"/>
      <c r="BET3" s="59"/>
      <c r="BEU3" s="59"/>
      <c r="BEV3" s="59"/>
      <c r="BEW3" s="59"/>
      <c r="BEX3" s="59"/>
      <c r="BEY3" s="59"/>
      <c r="BEZ3" s="59"/>
      <c r="BFA3" s="59"/>
      <c r="BFB3" s="59"/>
      <c r="BFC3" s="59"/>
      <c r="BFD3" s="59"/>
      <c r="BFE3" s="59"/>
      <c r="BFF3" s="59"/>
      <c r="BFG3" s="59"/>
      <c r="BFH3" s="59"/>
      <c r="BFI3" s="59"/>
      <c r="BFJ3" s="59"/>
      <c r="BFK3" s="59"/>
      <c r="BFL3" s="59"/>
      <c r="BFM3" s="59"/>
      <c r="BFN3" s="59"/>
      <c r="BFO3" s="59"/>
      <c r="BFP3" s="59"/>
      <c r="BFQ3" s="59"/>
      <c r="BFR3" s="59"/>
      <c r="BFS3" s="59"/>
      <c r="BFT3" s="59"/>
      <c r="BFU3" s="59"/>
      <c r="BFV3" s="59"/>
      <c r="BFW3" s="59"/>
      <c r="BFX3" s="59"/>
      <c r="BFY3" s="59"/>
      <c r="BFZ3" s="59"/>
      <c r="BGA3" s="59"/>
      <c r="BGB3" s="59"/>
      <c r="BGC3" s="59"/>
      <c r="BGD3" s="59"/>
      <c r="BGE3" s="59"/>
      <c r="BGF3" s="59"/>
      <c r="BGG3" s="59"/>
      <c r="BGH3" s="59"/>
      <c r="BGI3" s="59"/>
      <c r="BGJ3" s="59"/>
      <c r="BGK3" s="59"/>
      <c r="BGL3" s="59"/>
      <c r="BGM3" s="59"/>
      <c r="BGN3" s="59"/>
      <c r="BGO3" s="59"/>
      <c r="BGP3" s="59"/>
      <c r="BGQ3" s="59"/>
      <c r="BGR3" s="59"/>
      <c r="BGS3" s="59"/>
      <c r="BGT3" s="59"/>
      <c r="BGU3" s="59"/>
      <c r="BGV3" s="59"/>
      <c r="BGW3" s="59"/>
      <c r="BGX3" s="59"/>
      <c r="BGY3" s="59"/>
      <c r="BGZ3" s="59"/>
      <c r="BHA3" s="59"/>
      <c r="BHB3" s="59"/>
      <c r="BHC3" s="59"/>
      <c r="BHD3" s="59"/>
      <c r="BHE3" s="59"/>
      <c r="BHF3" s="59"/>
      <c r="BHG3" s="59"/>
      <c r="BHH3" s="59"/>
      <c r="BHI3" s="59"/>
      <c r="BHJ3" s="59"/>
      <c r="BHK3" s="59"/>
      <c r="BHL3" s="59"/>
      <c r="BHM3" s="59"/>
      <c r="BHN3" s="59"/>
      <c r="BHO3" s="59"/>
      <c r="BHP3" s="59"/>
      <c r="BHQ3" s="59"/>
      <c r="BHR3" s="59"/>
      <c r="BHS3" s="59"/>
      <c r="BHT3" s="59"/>
      <c r="BHU3" s="59"/>
      <c r="BHV3" s="59"/>
      <c r="BHW3" s="59"/>
      <c r="BHX3" s="59"/>
      <c r="BHY3" s="59"/>
      <c r="BHZ3" s="59"/>
      <c r="BIA3" s="59"/>
      <c r="BIB3" s="59"/>
      <c r="BIC3" s="59"/>
      <c r="BID3" s="59"/>
      <c r="BIE3" s="59"/>
      <c r="BIF3" s="59"/>
      <c r="BIG3" s="59"/>
      <c r="BIH3" s="59"/>
      <c r="BII3" s="59"/>
      <c r="BIJ3" s="59"/>
      <c r="BIK3" s="59"/>
      <c r="BIL3" s="59"/>
      <c r="BIM3" s="59"/>
      <c r="BIN3" s="59"/>
      <c r="BIO3" s="59"/>
      <c r="BIP3" s="59"/>
      <c r="BIQ3" s="59"/>
      <c r="BIR3" s="59"/>
      <c r="BIS3" s="59"/>
      <c r="BIT3" s="59"/>
      <c r="BIU3" s="59"/>
      <c r="BIV3" s="59"/>
      <c r="BIW3" s="59"/>
      <c r="BIX3" s="59"/>
      <c r="BIY3" s="59"/>
      <c r="BIZ3" s="59"/>
      <c r="BJA3" s="59"/>
      <c r="BJB3" s="59"/>
      <c r="BJC3" s="59"/>
      <c r="BJD3" s="59"/>
      <c r="BJE3" s="59"/>
      <c r="BJF3" s="59"/>
      <c r="BJG3" s="59"/>
      <c r="BJH3" s="59"/>
      <c r="BJI3" s="59"/>
      <c r="BJJ3" s="59"/>
      <c r="BJK3" s="59"/>
      <c r="BJL3" s="59"/>
      <c r="BJM3" s="59"/>
      <c r="BJN3" s="59"/>
      <c r="BJO3" s="59"/>
      <c r="BJP3" s="59"/>
      <c r="BJQ3" s="59"/>
      <c r="BJR3" s="59"/>
      <c r="BJS3" s="59"/>
      <c r="BJT3" s="59"/>
      <c r="BJU3" s="59"/>
      <c r="BJV3" s="59"/>
      <c r="BJW3" s="59"/>
      <c r="BJX3" s="59"/>
      <c r="BJY3" s="59"/>
      <c r="BJZ3" s="59"/>
      <c r="BKA3" s="59"/>
      <c r="BKB3" s="59"/>
      <c r="BKC3" s="59"/>
      <c r="BKD3" s="59"/>
      <c r="BKE3" s="59"/>
      <c r="BKF3" s="59"/>
      <c r="BKG3" s="59"/>
      <c r="BKH3" s="59"/>
      <c r="BKI3" s="59"/>
      <c r="BKJ3" s="59"/>
      <c r="BKK3" s="59"/>
      <c r="BKL3" s="59"/>
      <c r="BKM3" s="59"/>
      <c r="BKN3" s="59"/>
      <c r="BKO3" s="59"/>
      <c r="BKP3" s="59"/>
      <c r="BKQ3" s="59"/>
      <c r="BKR3" s="59"/>
      <c r="BKS3" s="59"/>
      <c r="BKT3" s="59"/>
      <c r="BKU3" s="59"/>
      <c r="BKV3" s="59"/>
      <c r="BKW3" s="59"/>
      <c r="BKX3" s="59"/>
      <c r="BKY3" s="59"/>
      <c r="BKZ3" s="59"/>
      <c r="BLA3" s="59"/>
      <c r="BLB3" s="59"/>
      <c r="BLC3" s="59"/>
      <c r="BLD3" s="59"/>
      <c r="BLE3" s="59"/>
      <c r="BLF3" s="59"/>
      <c r="BLG3" s="59"/>
      <c r="BLH3" s="59"/>
      <c r="BLI3" s="59"/>
      <c r="BLJ3" s="59"/>
      <c r="BLK3" s="59"/>
      <c r="BLL3" s="59"/>
      <c r="BLM3" s="59"/>
      <c r="BLN3" s="59"/>
      <c r="BLO3" s="59"/>
      <c r="BLP3" s="59"/>
      <c r="BLQ3" s="59"/>
      <c r="BLR3" s="59"/>
      <c r="BLS3" s="59"/>
      <c r="BLT3" s="59"/>
      <c r="BLU3" s="59"/>
      <c r="BLV3" s="59"/>
      <c r="BLW3" s="59"/>
      <c r="BLX3" s="59"/>
      <c r="BLY3" s="59"/>
      <c r="BLZ3" s="59"/>
      <c r="BMA3" s="59"/>
      <c r="BMB3" s="59"/>
      <c r="BMC3" s="59"/>
      <c r="BMD3" s="59"/>
      <c r="BME3" s="59"/>
      <c r="BMF3" s="59"/>
      <c r="BMG3" s="59"/>
      <c r="BMH3" s="59"/>
      <c r="BMI3" s="59"/>
      <c r="BMJ3" s="59"/>
      <c r="BMK3" s="59"/>
      <c r="BML3" s="59"/>
      <c r="BMM3" s="59"/>
      <c r="BMN3" s="59"/>
      <c r="BMO3" s="59"/>
      <c r="BMP3" s="59"/>
      <c r="BMQ3" s="59"/>
      <c r="BMR3" s="59"/>
      <c r="BMS3" s="59"/>
      <c r="BMT3" s="59"/>
      <c r="BMU3" s="59"/>
      <c r="BMV3" s="59"/>
      <c r="BMW3" s="59"/>
      <c r="BMX3" s="59"/>
      <c r="BMY3" s="59"/>
      <c r="BMZ3" s="59"/>
      <c r="BNA3" s="59"/>
      <c r="BNB3" s="59"/>
      <c r="BNC3" s="59"/>
      <c r="BND3" s="59"/>
      <c r="BNE3" s="59"/>
      <c r="BNF3" s="59"/>
      <c r="BNG3" s="59"/>
      <c r="BNH3" s="59"/>
      <c r="BNI3" s="59"/>
      <c r="BNJ3" s="59"/>
      <c r="BNK3" s="59"/>
      <c r="BNL3" s="59"/>
      <c r="BNM3" s="59"/>
      <c r="BNN3" s="59"/>
      <c r="BNO3" s="59"/>
      <c r="BNP3" s="59"/>
      <c r="BNQ3" s="59"/>
      <c r="BNR3" s="59"/>
      <c r="BNS3" s="59"/>
      <c r="BNT3" s="59"/>
      <c r="BNU3" s="59"/>
      <c r="BNV3" s="59"/>
      <c r="BNW3" s="59"/>
      <c r="BNX3" s="59"/>
      <c r="BNY3" s="59"/>
      <c r="BNZ3" s="59"/>
      <c r="BOA3" s="59"/>
      <c r="BOB3" s="59"/>
      <c r="BOC3" s="59"/>
      <c r="BOD3" s="59"/>
      <c r="BOE3" s="59"/>
      <c r="BOF3" s="59"/>
      <c r="BOG3" s="59"/>
      <c r="BOH3" s="59"/>
      <c r="BOI3" s="59"/>
      <c r="BOJ3" s="59"/>
      <c r="BOK3" s="59"/>
      <c r="BOL3" s="59"/>
      <c r="BOM3" s="59"/>
      <c r="BON3" s="59"/>
      <c r="BOO3" s="59"/>
      <c r="BOP3" s="59"/>
      <c r="BOQ3" s="59"/>
      <c r="BOR3" s="59"/>
      <c r="BOS3" s="59"/>
      <c r="BOT3" s="59"/>
      <c r="BOU3" s="59"/>
      <c r="BOV3" s="59"/>
      <c r="BOW3" s="59"/>
      <c r="BOX3" s="59"/>
      <c r="BOY3" s="59"/>
      <c r="BOZ3" s="59"/>
      <c r="BPA3" s="59"/>
      <c r="BPB3" s="59"/>
      <c r="BPC3" s="59"/>
      <c r="BPD3" s="59"/>
      <c r="BPE3" s="59"/>
      <c r="BPF3" s="59"/>
      <c r="BPG3" s="59"/>
      <c r="BPH3" s="59"/>
      <c r="BPI3" s="59"/>
      <c r="BPJ3" s="59"/>
      <c r="BPK3" s="59"/>
      <c r="BPL3" s="59"/>
      <c r="BPM3" s="59"/>
      <c r="BPN3" s="59"/>
      <c r="BPO3" s="59"/>
      <c r="BPP3" s="59"/>
      <c r="BPQ3" s="59"/>
      <c r="BPR3" s="59"/>
      <c r="BPS3" s="59"/>
      <c r="BPT3" s="59"/>
      <c r="BPU3" s="59"/>
      <c r="BPV3" s="59"/>
      <c r="BPW3" s="59"/>
      <c r="BPX3" s="59"/>
      <c r="BPY3" s="59"/>
      <c r="BPZ3" s="59"/>
      <c r="BQA3" s="59"/>
      <c r="BQB3" s="59"/>
      <c r="BQC3" s="59"/>
      <c r="BQD3" s="59"/>
      <c r="BQE3" s="59"/>
      <c r="BQF3" s="59"/>
      <c r="BQG3" s="59"/>
      <c r="BQH3" s="59"/>
      <c r="BQI3" s="59"/>
      <c r="BQJ3" s="59"/>
      <c r="BQK3" s="59"/>
      <c r="BQL3" s="59"/>
      <c r="BQM3" s="59"/>
      <c r="BQN3" s="59"/>
      <c r="BQO3" s="59"/>
      <c r="BQP3" s="59"/>
      <c r="BQQ3" s="59"/>
      <c r="BQR3" s="59"/>
      <c r="BQS3" s="59"/>
      <c r="BQT3" s="59"/>
      <c r="BQU3" s="59"/>
      <c r="BQV3" s="59"/>
      <c r="BQW3" s="59"/>
      <c r="BQX3" s="59"/>
      <c r="BQY3" s="59"/>
      <c r="BQZ3" s="59"/>
      <c r="BRA3" s="59"/>
      <c r="BRB3" s="59"/>
      <c r="BRC3" s="59"/>
      <c r="BRD3" s="59"/>
      <c r="BRE3" s="59"/>
      <c r="BRF3" s="59"/>
      <c r="BRG3" s="59"/>
      <c r="BRH3" s="59"/>
      <c r="BRI3" s="59"/>
      <c r="BRJ3" s="59"/>
      <c r="BRK3" s="59"/>
      <c r="BRL3" s="59"/>
      <c r="BRM3" s="59"/>
      <c r="BRN3" s="59"/>
      <c r="BRO3" s="59"/>
      <c r="BRP3" s="59"/>
      <c r="BRQ3" s="59"/>
      <c r="BRR3" s="59"/>
      <c r="BRS3" s="59"/>
      <c r="BRT3" s="59"/>
      <c r="BRU3" s="59"/>
      <c r="BRV3" s="59"/>
      <c r="BRW3" s="59"/>
      <c r="BRX3" s="59"/>
      <c r="BRY3" s="59"/>
      <c r="BRZ3" s="59"/>
      <c r="BSA3" s="59"/>
      <c r="BSB3" s="59"/>
      <c r="BSC3" s="59"/>
      <c r="BSD3" s="59"/>
      <c r="BSE3" s="59"/>
      <c r="BSF3" s="59"/>
      <c r="BSG3" s="59"/>
      <c r="BSH3" s="59"/>
      <c r="BSI3" s="59"/>
      <c r="BSJ3" s="59"/>
      <c r="BSK3" s="59"/>
      <c r="BSL3" s="59"/>
      <c r="BSM3" s="59"/>
      <c r="BSN3" s="59"/>
      <c r="BSO3" s="59"/>
      <c r="BSP3" s="59"/>
      <c r="BSQ3" s="59"/>
      <c r="BSR3" s="59"/>
      <c r="BSS3" s="59"/>
      <c r="BST3" s="59"/>
      <c r="BSU3" s="59"/>
      <c r="BSV3" s="59"/>
      <c r="BSW3" s="59"/>
      <c r="BSX3" s="59"/>
      <c r="BSY3" s="59"/>
      <c r="BSZ3" s="59"/>
      <c r="BTA3" s="59"/>
      <c r="BTB3" s="59"/>
      <c r="BTC3" s="59"/>
      <c r="BTD3" s="59"/>
      <c r="BTE3" s="59"/>
      <c r="BTF3" s="59"/>
      <c r="BTG3" s="59"/>
      <c r="BTH3" s="59"/>
      <c r="BTI3" s="59"/>
      <c r="BTJ3" s="59"/>
      <c r="BTK3" s="59"/>
      <c r="BTL3" s="59"/>
      <c r="BTM3" s="59"/>
      <c r="BTN3" s="59"/>
      <c r="BTO3" s="59"/>
      <c r="BTP3" s="59"/>
      <c r="BTQ3" s="59"/>
      <c r="BTR3" s="59"/>
      <c r="BTS3" s="59"/>
      <c r="BTT3" s="59"/>
      <c r="BTU3" s="59"/>
      <c r="BTV3" s="59"/>
      <c r="BTW3" s="59"/>
      <c r="BTX3" s="59"/>
      <c r="BTY3" s="59"/>
      <c r="BTZ3" s="59"/>
      <c r="BUA3" s="59"/>
      <c r="BUB3" s="59"/>
      <c r="BUC3" s="59"/>
      <c r="BUD3" s="59"/>
      <c r="BUE3" s="59"/>
      <c r="BUF3" s="59"/>
      <c r="BUG3" s="59"/>
      <c r="BUH3" s="59"/>
      <c r="BUI3" s="59"/>
      <c r="BUJ3" s="59"/>
      <c r="BUK3" s="59"/>
      <c r="BUL3" s="59"/>
      <c r="BUM3" s="59"/>
      <c r="BUN3" s="59"/>
      <c r="BUO3" s="59"/>
      <c r="BUP3" s="59"/>
      <c r="BUQ3" s="59"/>
      <c r="BUR3" s="59"/>
      <c r="BUS3" s="59"/>
      <c r="BUT3" s="59"/>
      <c r="BUU3" s="59"/>
      <c r="BUV3" s="59"/>
      <c r="BUW3" s="59"/>
      <c r="BUX3" s="59"/>
      <c r="BUY3" s="59"/>
      <c r="BUZ3" s="59"/>
      <c r="BVA3" s="59"/>
      <c r="BVB3" s="59"/>
      <c r="BVC3" s="59"/>
      <c r="BVD3" s="59"/>
      <c r="BVE3" s="59"/>
      <c r="BVF3" s="59"/>
      <c r="BVG3" s="59"/>
      <c r="BVH3" s="59"/>
      <c r="BVI3" s="59"/>
      <c r="BVJ3" s="59"/>
      <c r="BVK3" s="59"/>
      <c r="BVL3" s="59"/>
      <c r="BVM3" s="59"/>
      <c r="BVN3" s="59"/>
      <c r="BVO3" s="59"/>
      <c r="BVP3" s="59"/>
      <c r="BVQ3" s="59"/>
      <c r="BVR3" s="59"/>
      <c r="BVS3" s="59"/>
      <c r="BVT3" s="59"/>
      <c r="BVU3" s="59"/>
      <c r="BVV3" s="59"/>
      <c r="BVW3" s="59"/>
      <c r="BVX3" s="59"/>
      <c r="BVY3" s="59"/>
      <c r="BVZ3" s="59"/>
      <c r="BWA3" s="59"/>
      <c r="BWB3" s="59"/>
      <c r="BWC3" s="59"/>
      <c r="BWD3" s="59"/>
      <c r="BWE3" s="59"/>
      <c r="BWF3" s="59"/>
      <c r="BWG3" s="59"/>
      <c r="BWH3" s="59"/>
      <c r="BWI3" s="59"/>
      <c r="BWJ3" s="59"/>
      <c r="BWK3" s="59"/>
      <c r="BWL3" s="59"/>
      <c r="BWM3" s="59"/>
      <c r="BWN3" s="59"/>
      <c r="BWO3" s="59"/>
      <c r="BWP3" s="59"/>
      <c r="BWQ3" s="59"/>
      <c r="BWR3" s="59"/>
      <c r="BWS3" s="59"/>
      <c r="BWT3" s="59"/>
      <c r="BWU3" s="59"/>
      <c r="BWV3" s="59"/>
      <c r="BWW3" s="59"/>
      <c r="BWX3" s="59"/>
      <c r="BWY3" s="59"/>
      <c r="BWZ3" s="59"/>
      <c r="BXA3" s="59"/>
      <c r="BXB3" s="59"/>
      <c r="BXC3" s="59"/>
      <c r="BXD3" s="59"/>
      <c r="BXE3" s="59"/>
      <c r="BXF3" s="59"/>
      <c r="BXG3" s="59"/>
      <c r="BXH3" s="59"/>
      <c r="BXI3" s="59"/>
      <c r="BXJ3" s="59"/>
      <c r="BXK3" s="59"/>
      <c r="BXL3" s="59"/>
      <c r="BXM3" s="59"/>
      <c r="BXN3" s="59"/>
      <c r="BXO3" s="59"/>
      <c r="BXP3" s="59"/>
      <c r="BXQ3" s="59"/>
      <c r="BXR3" s="59"/>
      <c r="BXS3" s="59"/>
      <c r="BXT3" s="59"/>
      <c r="BXU3" s="59"/>
      <c r="BXV3" s="59"/>
      <c r="BXW3" s="59"/>
      <c r="BXX3" s="59"/>
      <c r="BXY3" s="59"/>
      <c r="BXZ3" s="59"/>
      <c r="BYA3" s="59"/>
      <c r="BYB3" s="59"/>
      <c r="BYC3" s="59"/>
      <c r="BYD3" s="59"/>
      <c r="BYE3" s="59"/>
      <c r="BYF3" s="59"/>
      <c r="BYG3" s="59"/>
      <c r="BYH3" s="59"/>
      <c r="BYI3" s="59"/>
      <c r="BYJ3" s="59"/>
      <c r="BYK3" s="59"/>
      <c r="BYL3" s="59"/>
      <c r="BYM3" s="59"/>
      <c r="BYN3" s="59"/>
      <c r="BYO3" s="59"/>
      <c r="BYP3" s="59"/>
      <c r="BYQ3" s="59"/>
      <c r="BYR3" s="59"/>
      <c r="BYS3" s="59"/>
      <c r="BYT3" s="59"/>
      <c r="BYU3" s="59"/>
      <c r="BYV3" s="59"/>
      <c r="BYW3" s="59"/>
      <c r="BYX3" s="59"/>
      <c r="BYY3" s="59"/>
      <c r="BYZ3" s="59"/>
      <c r="BZA3" s="59"/>
      <c r="BZB3" s="59"/>
      <c r="BZC3" s="59"/>
      <c r="BZD3" s="59"/>
      <c r="BZE3" s="59"/>
      <c r="BZF3" s="59"/>
      <c r="BZG3" s="59"/>
      <c r="BZH3" s="59"/>
      <c r="BZI3" s="59"/>
      <c r="BZJ3" s="59"/>
      <c r="BZK3" s="59"/>
      <c r="BZL3" s="59"/>
      <c r="BZM3" s="59"/>
      <c r="BZN3" s="59"/>
      <c r="BZO3" s="59"/>
      <c r="BZP3" s="59"/>
      <c r="BZQ3" s="59"/>
      <c r="BZR3" s="59"/>
      <c r="BZS3" s="59"/>
      <c r="BZT3" s="59"/>
      <c r="BZU3" s="59"/>
      <c r="BZV3" s="59"/>
      <c r="BZW3" s="59"/>
      <c r="BZX3" s="59"/>
      <c r="BZY3" s="59"/>
      <c r="BZZ3" s="59"/>
      <c r="CAA3" s="59"/>
      <c r="CAB3" s="59"/>
      <c r="CAC3" s="59"/>
      <c r="CAD3" s="59"/>
      <c r="CAE3" s="59"/>
      <c r="CAF3" s="59"/>
      <c r="CAG3" s="59"/>
      <c r="CAH3" s="59"/>
      <c r="CAI3" s="59"/>
      <c r="CAJ3" s="59"/>
      <c r="CAK3" s="59"/>
      <c r="CAL3" s="59"/>
      <c r="CAM3" s="59"/>
      <c r="CAN3" s="59"/>
      <c r="CAO3" s="59"/>
      <c r="CAP3" s="59"/>
      <c r="CAQ3" s="59"/>
      <c r="CAR3" s="59"/>
      <c r="CAS3" s="59"/>
      <c r="CAT3" s="59"/>
      <c r="CAU3" s="59"/>
      <c r="CAV3" s="59"/>
      <c r="CAW3" s="59"/>
      <c r="CAX3" s="59"/>
      <c r="CAY3" s="59"/>
      <c r="CAZ3" s="59"/>
      <c r="CBA3" s="59"/>
      <c r="CBB3" s="59"/>
      <c r="CBC3" s="59"/>
      <c r="CBD3" s="59"/>
      <c r="CBE3" s="59"/>
      <c r="CBF3" s="59"/>
      <c r="CBG3" s="59"/>
      <c r="CBH3" s="59"/>
      <c r="CBI3" s="59"/>
      <c r="CBJ3" s="59"/>
      <c r="CBK3" s="59"/>
      <c r="CBL3" s="59"/>
      <c r="CBM3" s="59"/>
      <c r="CBN3" s="59"/>
      <c r="CBO3" s="59"/>
      <c r="CBP3" s="59"/>
      <c r="CBQ3" s="59"/>
      <c r="CBR3" s="59"/>
      <c r="CBS3" s="59"/>
      <c r="CBT3" s="59"/>
      <c r="CBU3" s="59"/>
      <c r="CBV3" s="59"/>
      <c r="CBW3" s="59"/>
      <c r="CBX3" s="59"/>
      <c r="CBY3" s="59"/>
      <c r="CBZ3" s="59"/>
      <c r="CCA3" s="59"/>
      <c r="CCB3" s="59"/>
      <c r="CCC3" s="59"/>
      <c r="CCD3" s="59"/>
      <c r="CCE3" s="59"/>
      <c r="CCF3" s="59"/>
      <c r="CCG3" s="59"/>
      <c r="CCH3" s="59"/>
      <c r="CCI3" s="59"/>
      <c r="CCJ3" s="59"/>
      <c r="CCK3" s="59"/>
      <c r="CCL3" s="59"/>
      <c r="CCM3" s="59"/>
      <c r="CCN3" s="59"/>
      <c r="CCO3" s="59"/>
      <c r="CCP3" s="59"/>
      <c r="CCQ3" s="59"/>
      <c r="CCR3" s="59"/>
      <c r="CCS3" s="59"/>
      <c r="CCT3" s="59"/>
      <c r="CCU3" s="59"/>
      <c r="CCV3" s="59"/>
      <c r="CCW3" s="59"/>
      <c r="CCX3" s="59"/>
      <c r="CCY3" s="59"/>
      <c r="CCZ3" s="59"/>
      <c r="CDA3" s="59"/>
      <c r="CDB3" s="59"/>
      <c r="CDC3" s="59"/>
      <c r="CDD3" s="59"/>
      <c r="CDE3" s="59"/>
      <c r="CDF3" s="59"/>
      <c r="CDG3" s="59"/>
      <c r="CDH3" s="59"/>
      <c r="CDI3" s="59"/>
      <c r="CDJ3" s="59"/>
      <c r="CDK3" s="59"/>
      <c r="CDL3" s="59"/>
      <c r="CDM3" s="59"/>
      <c r="CDN3" s="59"/>
      <c r="CDO3" s="59"/>
      <c r="CDP3" s="59"/>
      <c r="CDQ3" s="59"/>
      <c r="CDR3" s="59"/>
      <c r="CDS3" s="59"/>
      <c r="CDT3" s="59"/>
      <c r="CDU3" s="59"/>
      <c r="CDV3" s="59"/>
      <c r="CDW3" s="59"/>
      <c r="CDX3" s="59"/>
      <c r="CDY3" s="59"/>
      <c r="CDZ3" s="59"/>
      <c r="CEA3" s="59"/>
      <c r="CEB3" s="59"/>
      <c r="CEC3" s="59"/>
      <c r="CED3" s="59"/>
      <c r="CEE3" s="59"/>
      <c r="CEF3" s="59"/>
      <c r="CEG3" s="59"/>
      <c r="CEH3" s="59"/>
      <c r="CEI3" s="59"/>
      <c r="CEJ3" s="59"/>
      <c r="CEK3" s="59"/>
      <c r="CEL3" s="59"/>
      <c r="CEM3" s="59"/>
      <c r="CEN3" s="59"/>
      <c r="CEO3" s="59"/>
      <c r="CEP3" s="59"/>
      <c r="CEQ3" s="59"/>
      <c r="CER3" s="59"/>
      <c r="CES3" s="59"/>
      <c r="CET3" s="59"/>
      <c r="CEU3" s="59"/>
      <c r="CEV3" s="59"/>
      <c r="CEW3" s="59"/>
      <c r="CEX3" s="59"/>
      <c r="CEY3" s="59"/>
      <c r="CEZ3" s="59"/>
      <c r="CFA3" s="59"/>
      <c r="CFB3" s="59"/>
      <c r="CFC3" s="59"/>
      <c r="CFD3" s="59"/>
      <c r="CFE3" s="59"/>
      <c r="CFF3" s="59"/>
      <c r="CFG3" s="59"/>
      <c r="CFH3" s="59"/>
      <c r="CFI3" s="59"/>
      <c r="CFJ3" s="59"/>
      <c r="CFK3" s="59"/>
      <c r="CFL3" s="59"/>
      <c r="CFM3" s="59"/>
      <c r="CFN3" s="59"/>
      <c r="CFO3" s="59"/>
      <c r="CFP3" s="59"/>
      <c r="CFQ3" s="59"/>
      <c r="CFR3" s="59"/>
      <c r="CFS3" s="59"/>
      <c r="CFT3" s="59"/>
      <c r="CFU3" s="59"/>
      <c r="CFV3" s="59"/>
      <c r="CFW3" s="59"/>
      <c r="CFX3" s="59"/>
      <c r="CFY3" s="59"/>
      <c r="CFZ3" s="59"/>
      <c r="CGA3" s="59"/>
      <c r="CGB3" s="59"/>
      <c r="CGC3" s="59"/>
      <c r="CGD3" s="59"/>
      <c r="CGE3" s="59"/>
      <c r="CGF3" s="59"/>
      <c r="CGG3" s="59"/>
      <c r="CGH3" s="59"/>
      <c r="CGI3" s="59"/>
      <c r="CGJ3" s="59"/>
      <c r="CGK3" s="59"/>
      <c r="CGL3" s="59"/>
      <c r="CGM3" s="59"/>
      <c r="CGN3" s="59"/>
      <c r="CGO3" s="59"/>
      <c r="CGP3" s="59"/>
      <c r="CGQ3" s="59"/>
      <c r="CGR3" s="59"/>
      <c r="CGS3" s="59"/>
      <c r="CGT3" s="59"/>
      <c r="CGU3" s="59"/>
      <c r="CGV3" s="59"/>
      <c r="CGW3" s="59"/>
      <c r="CGX3" s="59"/>
      <c r="CGY3" s="59"/>
      <c r="CGZ3" s="59"/>
      <c r="CHA3" s="59"/>
      <c r="CHB3" s="59"/>
      <c r="CHC3" s="59"/>
      <c r="CHD3" s="59"/>
      <c r="CHE3" s="59"/>
      <c r="CHF3" s="59"/>
      <c r="CHG3" s="59"/>
      <c r="CHH3" s="59"/>
      <c r="CHI3" s="59"/>
      <c r="CHJ3" s="59"/>
      <c r="CHK3" s="59"/>
      <c r="CHL3" s="59"/>
      <c r="CHM3" s="59"/>
      <c r="CHN3" s="59"/>
      <c r="CHO3" s="59"/>
      <c r="CHP3" s="59"/>
      <c r="CHQ3" s="59"/>
      <c r="CHR3" s="59"/>
      <c r="CHS3" s="59"/>
      <c r="CHT3" s="59"/>
      <c r="CHU3" s="59"/>
      <c r="CHV3" s="59"/>
      <c r="CHW3" s="59"/>
      <c r="CHX3" s="59"/>
      <c r="CHY3" s="59"/>
      <c r="CHZ3" s="59"/>
      <c r="CIA3" s="59"/>
      <c r="CIB3" s="59"/>
      <c r="CIC3" s="59"/>
      <c r="CID3" s="59"/>
      <c r="CIE3" s="59"/>
      <c r="CIF3" s="59"/>
      <c r="CIG3" s="59"/>
      <c r="CIH3" s="59"/>
      <c r="CII3" s="59"/>
      <c r="CIJ3" s="59"/>
      <c r="CIK3" s="59"/>
      <c r="CIL3" s="59"/>
      <c r="CIM3" s="59"/>
      <c r="CIN3" s="59"/>
      <c r="CIO3" s="59"/>
      <c r="CIP3" s="59"/>
      <c r="CIQ3" s="59"/>
      <c r="CIR3" s="59"/>
      <c r="CIS3" s="59"/>
      <c r="CIT3" s="59"/>
      <c r="CIU3" s="59"/>
      <c r="CIV3" s="59"/>
      <c r="CIW3" s="59"/>
      <c r="CIX3" s="59"/>
      <c r="CIY3" s="59"/>
      <c r="CIZ3" s="59"/>
      <c r="CJA3" s="59"/>
      <c r="CJB3" s="59"/>
      <c r="CJC3" s="59"/>
      <c r="CJD3" s="59"/>
      <c r="CJE3" s="59"/>
      <c r="CJF3" s="59"/>
      <c r="CJG3" s="59"/>
      <c r="CJH3" s="59"/>
      <c r="CJI3" s="59"/>
      <c r="CJJ3" s="59"/>
      <c r="CJK3" s="59"/>
      <c r="CJL3" s="59"/>
      <c r="CJM3" s="59"/>
      <c r="CJN3" s="59"/>
      <c r="CJO3" s="59"/>
      <c r="CJP3" s="59"/>
      <c r="CJQ3" s="59"/>
      <c r="CJR3" s="59"/>
      <c r="CJS3" s="59"/>
      <c r="CJT3" s="59"/>
      <c r="CJU3" s="59"/>
      <c r="CJV3" s="59"/>
      <c r="CJW3" s="59"/>
      <c r="CJX3" s="59"/>
      <c r="CJY3" s="59"/>
      <c r="CJZ3" s="59"/>
      <c r="CKA3" s="59"/>
      <c r="CKB3" s="59"/>
      <c r="CKC3" s="59"/>
      <c r="CKD3" s="59"/>
      <c r="CKE3" s="59"/>
      <c r="CKF3" s="59"/>
      <c r="CKG3" s="59"/>
      <c r="CKH3" s="59"/>
      <c r="CKI3" s="59"/>
      <c r="CKJ3" s="59"/>
      <c r="CKK3" s="59"/>
      <c r="CKL3" s="59"/>
      <c r="CKM3" s="59"/>
      <c r="CKN3" s="59"/>
      <c r="CKO3" s="59"/>
      <c r="CKP3" s="59"/>
      <c r="CKQ3" s="59"/>
      <c r="CKR3" s="59"/>
      <c r="CKS3" s="59"/>
      <c r="CKT3" s="59"/>
      <c r="CKU3" s="59"/>
      <c r="CKV3" s="59"/>
      <c r="CKW3" s="59"/>
      <c r="CKX3" s="59"/>
      <c r="CKY3" s="59"/>
      <c r="CKZ3" s="59"/>
      <c r="CLA3" s="59"/>
      <c r="CLB3" s="59"/>
      <c r="CLC3" s="59"/>
      <c r="CLD3" s="59"/>
      <c r="CLE3" s="59"/>
      <c r="CLF3" s="59"/>
      <c r="CLG3" s="59"/>
      <c r="CLH3" s="59"/>
      <c r="CLI3" s="59"/>
      <c r="CLJ3" s="59"/>
      <c r="CLK3" s="59"/>
      <c r="CLL3" s="59"/>
      <c r="CLM3" s="59"/>
      <c r="CLN3" s="59"/>
      <c r="CLO3" s="59"/>
      <c r="CLP3" s="59"/>
      <c r="CLQ3" s="59"/>
      <c r="CLR3" s="59"/>
      <c r="CLS3" s="59"/>
      <c r="CLT3" s="59"/>
      <c r="CLU3" s="59"/>
      <c r="CLV3" s="59"/>
      <c r="CLW3" s="59"/>
      <c r="CLX3" s="59"/>
      <c r="CLY3" s="59"/>
      <c r="CLZ3" s="59"/>
      <c r="CMA3" s="59"/>
      <c r="CMB3" s="59"/>
      <c r="CMC3" s="59"/>
      <c r="CMD3" s="59"/>
      <c r="CME3" s="59"/>
      <c r="CMF3" s="59"/>
      <c r="CMG3" s="59"/>
      <c r="CMH3" s="59"/>
      <c r="CMI3" s="59"/>
      <c r="CMJ3" s="59"/>
      <c r="CMK3" s="59"/>
      <c r="CML3" s="59"/>
      <c r="CMM3" s="59"/>
      <c r="CMN3" s="59"/>
      <c r="CMO3" s="59"/>
      <c r="CMP3" s="59"/>
      <c r="CMQ3" s="59"/>
      <c r="CMR3" s="59"/>
      <c r="CMS3" s="59"/>
      <c r="CMT3" s="59"/>
      <c r="CMU3" s="59"/>
      <c r="CMV3" s="59"/>
      <c r="CMW3" s="59"/>
      <c r="CMX3" s="59"/>
      <c r="CMY3" s="59"/>
      <c r="CMZ3" s="59"/>
      <c r="CNA3" s="59"/>
      <c r="CNB3" s="59"/>
      <c r="CNC3" s="59"/>
      <c r="CND3" s="59"/>
      <c r="CNE3" s="59"/>
      <c r="CNF3" s="59"/>
      <c r="CNG3" s="59"/>
      <c r="CNH3" s="59"/>
      <c r="CNI3" s="59"/>
      <c r="CNJ3" s="59"/>
      <c r="CNK3" s="59"/>
      <c r="CNL3" s="59"/>
      <c r="CNM3" s="59"/>
      <c r="CNN3" s="59"/>
      <c r="CNO3" s="59"/>
      <c r="CNP3" s="59"/>
      <c r="CNQ3" s="59"/>
      <c r="CNR3" s="59"/>
      <c r="CNS3" s="59"/>
      <c r="CNT3" s="59"/>
      <c r="CNU3" s="59"/>
      <c r="CNV3" s="59"/>
      <c r="CNW3" s="59"/>
      <c r="CNX3" s="59"/>
      <c r="CNY3" s="59"/>
      <c r="CNZ3" s="59"/>
      <c r="COA3" s="59"/>
      <c r="COB3" s="59"/>
      <c r="COC3" s="59"/>
      <c r="COD3" s="59"/>
      <c r="COE3" s="59"/>
      <c r="COF3" s="59"/>
      <c r="COG3" s="59"/>
      <c r="COH3" s="59"/>
      <c r="COI3" s="59"/>
      <c r="COJ3" s="59"/>
      <c r="COK3" s="59"/>
      <c r="COL3" s="59"/>
      <c r="COM3" s="59"/>
      <c r="CON3" s="59"/>
      <c r="COO3" s="59"/>
      <c r="COP3" s="59"/>
      <c r="COQ3" s="59"/>
      <c r="COR3" s="59"/>
      <c r="COS3" s="59"/>
      <c r="COT3" s="59"/>
      <c r="COU3" s="59"/>
      <c r="COV3" s="59"/>
      <c r="COW3" s="59"/>
      <c r="COX3" s="59"/>
      <c r="COY3" s="59"/>
      <c r="COZ3" s="59"/>
      <c r="CPA3" s="59"/>
      <c r="CPB3" s="59"/>
      <c r="CPC3" s="59"/>
      <c r="CPD3" s="59"/>
      <c r="CPE3" s="59"/>
      <c r="CPF3" s="59"/>
      <c r="CPG3" s="59"/>
      <c r="CPH3" s="59"/>
      <c r="CPI3" s="59"/>
      <c r="CPJ3" s="59"/>
      <c r="CPK3" s="59"/>
      <c r="CPL3" s="59"/>
      <c r="CPM3" s="59"/>
      <c r="CPN3" s="59"/>
      <c r="CPO3" s="59"/>
      <c r="CPP3" s="59"/>
      <c r="CPQ3" s="59"/>
      <c r="CPR3" s="59"/>
      <c r="CPS3" s="59"/>
      <c r="CPT3" s="59"/>
      <c r="CPU3" s="59"/>
      <c r="CPV3" s="59"/>
      <c r="CPW3" s="59"/>
      <c r="CPX3" s="59"/>
      <c r="CPY3" s="59"/>
      <c r="CPZ3" s="59"/>
      <c r="CQA3" s="59"/>
      <c r="CQB3" s="59"/>
      <c r="CQC3" s="59"/>
      <c r="CQD3" s="59"/>
      <c r="CQE3" s="59"/>
      <c r="CQF3" s="59"/>
      <c r="CQG3" s="59"/>
      <c r="CQH3" s="59"/>
      <c r="CQI3" s="59"/>
      <c r="CQJ3" s="59"/>
      <c r="CQK3" s="59"/>
      <c r="CQL3" s="59"/>
      <c r="CQM3" s="59"/>
      <c r="CQN3" s="59"/>
      <c r="CQO3" s="59"/>
      <c r="CQP3" s="59"/>
      <c r="CQQ3" s="59"/>
      <c r="CQR3" s="59"/>
      <c r="CQS3" s="59"/>
      <c r="CQT3" s="59"/>
      <c r="CQU3" s="59"/>
      <c r="CQV3" s="59"/>
      <c r="CQW3" s="59"/>
      <c r="CQX3" s="59"/>
      <c r="CQY3" s="59"/>
      <c r="CQZ3" s="59"/>
      <c r="CRA3" s="59"/>
      <c r="CRB3" s="59"/>
      <c r="CRC3" s="59"/>
      <c r="CRD3" s="59"/>
      <c r="CRE3" s="59"/>
      <c r="CRF3" s="59"/>
      <c r="CRG3" s="59"/>
      <c r="CRH3" s="59"/>
      <c r="CRI3" s="59"/>
      <c r="CRJ3" s="59"/>
      <c r="CRK3" s="59"/>
      <c r="CRL3" s="59"/>
      <c r="CRM3" s="59"/>
      <c r="CRN3" s="59"/>
      <c r="CRO3" s="59"/>
      <c r="CRP3" s="59"/>
      <c r="CRQ3" s="59"/>
      <c r="CRR3" s="59"/>
      <c r="CRS3" s="59"/>
      <c r="CRT3" s="59"/>
      <c r="CRU3" s="59"/>
      <c r="CRV3" s="59"/>
      <c r="CRW3" s="59"/>
      <c r="CRX3" s="59"/>
      <c r="CRY3" s="59"/>
      <c r="CRZ3" s="59"/>
      <c r="CSA3" s="59"/>
      <c r="CSB3" s="59"/>
      <c r="CSC3" s="59"/>
      <c r="CSD3" s="59"/>
      <c r="CSE3" s="59"/>
      <c r="CSF3" s="59"/>
      <c r="CSG3" s="59"/>
      <c r="CSH3" s="59"/>
      <c r="CSI3" s="59"/>
      <c r="CSJ3" s="59"/>
      <c r="CSK3" s="59"/>
      <c r="CSL3" s="59"/>
      <c r="CSM3" s="59"/>
      <c r="CSN3" s="59"/>
      <c r="CSO3" s="59"/>
      <c r="CSP3" s="59"/>
      <c r="CSQ3" s="59"/>
      <c r="CSR3" s="59"/>
      <c r="CSS3" s="59"/>
      <c r="CST3" s="59"/>
      <c r="CSU3" s="59"/>
      <c r="CSV3" s="59"/>
      <c r="CSW3" s="59"/>
      <c r="CSX3" s="59"/>
      <c r="CSY3" s="59"/>
      <c r="CSZ3" s="59"/>
      <c r="CTA3" s="59"/>
      <c r="CTB3" s="59"/>
      <c r="CTC3" s="59"/>
      <c r="CTD3" s="59"/>
      <c r="CTE3" s="59"/>
      <c r="CTF3" s="59"/>
      <c r="CTG3" s="59"/>
      <c r="CTH3" s="59"/>
      <c r="CTI3" s="59"/>
      <c r="CTJ3" s="59"/>
      <c r="CTK3" s="59"/>
      <c r="CTL3" s="59"/>
      <c r="CTM3" s="59"/>
      <c r="CTN3" s="59"/>
      <c r="CTO3" s="59"/>
      <c r="CTP3" s="59"/>
      <c r="CTQ3" s="59"/>
      <c r="CTR3" s="59"/>
      <c r="CTS3" s="59"/>
      <c r="CTT3" s="59"/>
      <c r="CTU3" s="59"/>
      <c r="CTV3" s="59"/>
      <c r="CTW3" s="59"/>
      <c r="CTX3" s="59"/>
      <c r="CTY3" s="59"/>
      <c r="CTZ3" s="59"/>
      <c r="CUA3" s="59"/>
      <c r="CUB3" s="59"/>
      <c r="CUC3" s="59"/>
      <c r="CUD3" s="59"/>
      <c r="CUE3" s="59"/>
      <c r="CUF3" s="59"/>
      <c r="CUG3" s="59"/>
      <c r="CUH3" s="59"/>
      <c r="CUI3" s="59"/>
      <c r="CUJ3" s="59"/>
      <c r="CUK3" s="59"/>
      <c r="CUL3" s="59"/>
      <c r="CUM3" s="59"/>
      <c r="CUN3" s="59"/>
      <c r="CUO3" s="59"/>
      <c r="CUP3" s="59"/>
      <c r="CUQ3" s="59"/>
      <c r="CUR3" s="59"/>
      <c r="CUS3" s="59"/>
      <c r="CUT3" s="59"/>
      <c r="CUU3" s="59"/>
      <c r="CUV3" s="59"/>
      <c r="CUW3" s="59"/>
      <c r="CUX3" s="59"/>
      <c r="CUY3" s="59"/>
      <c r="CUZ3" s="59"/>
      <c r="CVA3" s="59"/>
      <c r="CVB3" s="59"/>
      <c r="CVC3" s="59"/>
      <c r="CVD3" s="59"/>
      <c r="CVE3" s="59"/>
      <c r="CVF3" s="59"/>
      <c r="CVG3" s="59"/>
      <c r="CVH3" s="59"/>
      <c r="CVI3" s="59"/>
      <c r="CVJ3" s="59"/>
      <c r="CVK3" s="59"/>
      <c r="CVL3" s="59"/>
      <c r="CVM3" s="59"/>
      <c r="CVN3" s="59"/>
      <c r="CVO3" s="59"/>
      <c r="CVP3" s="59"/>
      <c r="CVQ3" s="59"/>
      <c r="CVR3" s="59"/>
      <c r="CVS3" s="59"/>
      <c r="CVT3" s="59"/>
      <c r="CVU3" s="59"/>
      <c r="CVV3" s="59"/>
      <c r="CVW3" s="59"/>
      <c r="CVX3" s="59"/>
      <c r="CVY3" s="59"/>
      <c r="CVZ3" s="59"/>
      <c r="CWA3" s="59"/>
      <c r="CWB3" s="59"/>
      <c r="CWC3" s="59"/>
      <c r="CWD3" s="59"/>
      <c r="CWE3" s="59"/>
      <c r="CWF3" s="59"/>
      <c r="CWG3" s="59"/>
      <c r="CWH3" s="59"/>
      <c r="CWI3" s="59"/>
      <c r="CWJ3" s="59"/>
      <c r="CWK3" s="59"/>
      <c r="CWL3" s="59"/>
      <c r="CWM3" s="59"/>
      <c r="CWN3" s="59"/>
      <c r="CWO3" s="59"/>
      <c r="CWP3" s="59"/>
      <c r="CWQ3" s="59"/>
      <c r="CWR3" s="59"/>
      <c r="CWS3" s="59"/>
      <c r="CWT3" s="59"/>
      <c r="CWU3" s="59"/>
      <c r="CWV3" s="59"/>
      <c r="CWW3" s="59"/>
      <c r="CWX3" s="59"/>
      <c r="CWY3" s="59"/>
      <c r="CWZ3" s="59"/>
      <c r="CXA3" s="59"/>
      <c r="CXB3" s="59"/>
      <c r="CXC3" s="59"/>
      <c r="CXD3" s="59"/>
      <c r="CXE3" s="59"/>
      <c r="CXF3" s="59"/>
      <c r="CXG3" s="59"/>
      <c r="CXH3" s="59"/>
      <c r="CXI3" s="59"/>
      <c r="CXJ3" s="59"/>
      <c r="CXK3" s="59"/>
      <c r="CXL3" s="59"/>
      <c r="CXM3" s="59"/>
      <c r="CXN3" s="59"/>
      <c r="CXO3" s="59"/>
      <c r="CXP3" s="59"/>
      <c r="CXQ3" s="59"/>
      <c r="CXR3" s="59"/>
      <c r="CXS3" s="59"/>
      <c r="CXT3" s="59"/>
      <c r="CXU3" s="59"/>
      <c r="CXV3" s="59"/>
      <c r="CXW3" s="59"/>
      <c r="CXX3" s="59"/>
      <c r="CXY3" s="59"/>
      <c r="CXZ3" s="59"/>
      <c r="CYA3" s="59"/>
      <c r="CYB3" s="59"/>
      <c r="CYC3" s="59"/>
      <c r="CYD3" s="59"/>
      <c r="CYE3" s="59"/>
      <c r="CYF3" s="59"/>
      <c r="CYG3" s="59"/>
      <c r="CYH3" s="59"/>
      <c r="CYI3" s="59"/>
      <c r="CYJ3" s="59"/>
      <c r="CYK3" s="59"/>
      <c r="CYL3" s="59"/>
      <c r="CYM3" s="59"/>
      <c r="CYN3" s="59"/>
      <c r="CYO3" s="59"/>
      <c r="CYP3" s="59"/>
      <c r="CYQ3" s="59"/>
      <c r="CYR3" s="59"/>
      <c r="CYS3" s="59"/>
      <c r="CYT3" s="59"/>
      <c r="CYU3" s="59"/>
      <c r="CYV3" s="59"/>
      <c r="CYW3" s="59"/>
      <c r="CYX3" s="59"/>
      <c r="CYY3" s="59"/>
      <c r="CYZ3" s="59"/>
      <c r="CZA3" s="59"/>
      <c r="CZB3" s="59"/>
      <c r="CZC3" s="59"/>
      <c r="CZD3" s="59"/>
      <c r="CZE3" s="59"/>
      <c r="CZF3" s="59"/>
      <c r="CZG3" s="59"/>
      <c r="CZH3" s="59"/>
      <c r="CZI3" s="59"/>
      <c r="CZJ3" s="59"/>
      <c r="CZK3" s="59"/>
      <c r="CZL3" s="59"/>
      <c r="CZM3" s="59"/>
      <c r="CZN3" s="59"/>
      <c r="CZO3" s="59"/>
      <c r="CZP3" s="59"/>
      <c r="CZQ3" s="59"/>
      <c r="CZR3" s="59"/>
      <c r="CZS3" s="59"/>
      <c r="CZT3" s="59"/>
      <c r="CZU3" s="59"/>
      <c r="CZV3" s="59"/>
      <c r="CZW3" s="59"/>
      <c r="CZX3" s="59"/>
      <c r="CZY3" s="59"/>
      <c r="CZZ3" s="59"/>
      <c r="DAA3" s="59"/>
      <c r="DAB3" s="59"/>
      <c r="DAC3" s="59"/>
      <c r="DAD3" s="59"/>
      <c r="DAE3" s="59"/>
      <c r="DAF3" s="59"/>
      <c r="DAG3" s="59"/>
      <c r="DAH3" s="59"/>
      <c r="DAI3" s="59"/>
      <c r="DAJ3" s="59"/>
      <c r="DAK3" s="59"/>
      <c r="DAL3" s="59"/>
      <c r="DAM3" s="59"/>
      <c r="DAN3" s="59"/>
      <c r="DAO3" s="59"/>
      <c r="DAP3" s="59"/>
      <c r="DAQ3" s="59"/>
      <c r="DAR3" s="59"/>
      <c r="DAS3" s="59"/>
      <c r="DAT3" s="59"/>
      <c r="DAU3" s="59"/>
      <c r="DAV3" s="59"/>
      <c r="DAW3" s="59"/>
      <c r="DAX3" s="59"/>
      <c r="DAY3" s="59"/>
      <c r="DAZ3" s="59"/>
      <c r="DBA3" s="59"/>
      <c r="DBB3" s="59"/>
      <c r="DBC3" s="59"/>
      <c r="DBD3" s="59"/>
      <c r="DBE3" s="59"/>
      <c r="DBF3" s="59"/>
      <c r="DBG3" s="59"/>
      <c r="DBH3" s="59"/>
      <c r="DBI3" s="59"/>
      <c r="DBJ3" s="59"/>
      <c r="DBK3" s="59"/>
      <c r="DBL3" s="59"/>
      <c r="DBM3" s="59"/>
      <c r="DBN3" s="59"/>
      <c r="DBO3" s="59"/>
      <c r="DBP3" s="59"/>
      <c r="DBQ3" s="59"/>
      <c r="DBR3" s="59"/>
      <c r="DBS3" s="59"/>
      <c r="DBT3" s="59"/>
      <c r="DBU3" s="59"/>
      <c r="DBV3" s="59"/>
      <c r="DBW3" s="59"/>
      <c r="DBX3" s="59"/>
      <c r="DBY3" s="59"/>
      <c r="DBZ3" s="59"/>
      <c r="DCA3" s="59"/>
      <c r="DCB3" s="59"/>
      <c r="DCC3" s="59"/>
      <c r="DCD3" s="59"/>
      <c r="DCE3" s="59"/>
      <c r="DCF3" s="59"/>
      <c r="DCG3" s="59"/>
      <c r="DCH3" s="59"/>
      <c r="DCI3" s="59"/>
      <c r="DCJ3" s="59"/>
      <c r="DCK3" s="59"/>
      <c r="DCL3" s="59"/>
      <c r="DCM3" s="59"/>
      <c r="DCN3" s="59"/>
      <c r="DCO3" s="59"/>
      <c r="DCP3" s="59"/>
      <c r="DCQ3" s="59"/>
      <c r="DCR3" s="59"/>
      <c r="DCS3" s="59"/>
      <c r="DCT3" s="59"/>
      <c r="DCU3" s="59"/>
      <c r="DCV3" s="59"/>
      <c r="DCW3" s="59"/>
      <c r="DCX3" s="59"/>
      <c r="DCY3" s="59"/>
      <c r="DCZ3" s="59"/>
      <c r="DDA3" s="59"/>
      <c r="DDB3" s="59"/>
      <c r="DDC3" s="59"/>
      <c r="DDD3" s="59"/>
      <c r="DDE3" s="59"/>
      <c r="DDF3" s="59"/>
      <c r="DDG3" s="59"/>
      <c r="DDH3" s="59"/>
      <c r="DDI3" s="59"/>
      <c r="DDJ3" s="59"/>
      <c r="DDK3" s="59"/>
      <c r="DDL3" s="59"/>
      <c r="DDM3" s="59"/>
      <c r="DDN3" s="59"/>
      <c r="DDO3" s="59"/>
      <c r="DDP3" s="59"/>
      <c r="DDQ3" s="59"/>
      <c r="DDR3" s="59"/>
      <c r="DDS3" s="59"/>
      <c r="DDT3" s="59"/>
      <c r="DDU3" s="59"/>
      <c r="DDV3" s="59"/>
      <c r="DDW3" s="59"/>
      <c r="DDX3" s="59"/>
      <c r="DDY3" s="59"/>
      <c r="DDZ3" s="59"/>
      <c r="DEA3" s="59"/>
      <c r="DEB3" s="59"/>
      <c r="DEC3" s="59"/>
      <c r="DED3" s="59"/>
      <c r="DEE3" s="59"/>
      <c r="DEF3" s="59"/>
      <c r="DEG3" s="59"/>
      <c r="DEH3" s="59"/>
      <c r="DEI3" s="59"/>
      <c r="DEJ3" s="59"/>
      <c r="DEK3" s="59"/>
      <c r="DEL3" s="59"/>
      <c r="DEM3" s="59"/>
      <c r="DEN3" s="59"/>
      <c r="DEO3" s="59"/>
      <c r="DEP3" s="59"/>
      <c r="DEQ3" s="59"/>
      <c r="DER3" s="59"/>
      <c r="DES3" s="59"/>
      <c r="DET3" s="59"/>
      <c r="DEU3" s="59"/>
      <c r="DEV3" s="59"/>
      <c r="DEW3" s="59"/>
      <c r="DEX3" s="59"/>
      <c r="DEY3" s="59"/>
      <c r="DEZ3" s="59"/>
      <c r="DFA3" s="59"/>
      <c r="DFB3" s="59"/>
      <c r="DFC3" s="59"/>
      <c r="DFD3" s="59"/>
      <c r="DFE3" s="59"/>
      <c r="DFF3" s="59"/>
      <c r="DFG3" s="59"/>
      <c r="DFH3" s="59"/>
      <c r="DFI3" s="59"/>
      <c r="DFJ3" s="59"/>
      <c r="DFK3" s="59"/>
      <c r="DFL3" s="59"/>
      <c r="DFM3" s="59"/>
      <c r="DFN3" s="59"/>
      <c r="DFO3" s="59"/>
      <c r="DFP3" s="59"/>
      <c r="DFQ3" s="59"/>
      <c r="DFR3" s="59"/>
      <c r="DFS3" s="59"/>
      <c r="DFT3" s="59"/>
      <c r="DFU3" s="59"/>
      <c r="DFV3" s="59"/>
      <c r="DFW3" s="59"/>
      <c r="DFX3" s="59"/>
      <c r="DFY3" s="59"/>
      <c r="DFZ3" s="59"/>
      <c r="DGA3" s="59"/>
      <c r="DGB3" s="59"/>
      <c r="DGC3" s="59"/>
      <c r="DGD3" s="59"/>
      <c r="DGE3" s="59"/>
      <c r="DGF3" s="59"/>
      <c r="DGG3" s="59"/>
      <c r="DGH3" s="59"/>
      <c r="DGI3" s="59"/>
      <c r="DGJ3" s="59"/>
      <c r="DGK3" s="59"/>
      <c r="DGL3" s="59"/>
      <c r="DGM3" s="59"/>
      <c r="DGN3" s="59"/>
      <c r="DGO3" s="59"/>
      <c r="DGP3" s="59"/>
      <c r="DGQ3" s="59"/>
      <c r="DGR3" s="59"/>
      <c r="DGS3" s="59"/>
      <c r="DGT3" s="59"/>
      <c r="DGU3" s="59"/>
      <c r="DGV3" s="59"/>
      <c r="DGW3" s="59"/>
      <c r="DGX3" s="59"/>
      <c r="DGY3" s="59"/>
      <c r="DGZ3" s="59"/>
      <c r="DHA3" s="59"/>
      <c r="DHB3" s="59"/>
      <c r="DHC3" s="59"/>
      <c r="DHD3" s="59"/>
      <c r="DHE3" s="59"/>
      <c r="DHF3" s="59"/>
      <c r="DHG3" s="59"/>
      <c r="DHH3" s="59"/>
      <c r="DHI3" s="59"/>
      <c r="DHJ3" s="59"/>
      <c r="DHK3" s="59"/>
      <c r="DHL3" s="59"/>
      <c r="DHM3" s="59"/>
      <c r="DHN3" s="59"/>
      <c r="DHO3" s="59"/>
      <c r="DHP3" s="59"/>
      <c r="DHQ3" s="59"/>
      <c r="DHR3" s="59"/>
      <c r="DHS3" s="59"/>
      <c r="DHT3" s="59"/>
      <c r="DHU3" s="59"/>
      <c r="DHV3" s="59"/>
      <c r="DHW3" s="59"/>
      <c r="DHX3" s="59"/>
      <c r="DHY3" s="59"/>
      <c r="DHZ3" s="59"/>
      <c r="DIA3" s="59"/>
      <c r="DIB3" s="59"/>
      <c r="DIC3" s="59"/>
      <c r="DID3" s="59"/>
      <c r="DIE3" s="59"/>
      <c r="DIF3" s="59"/>
      <c r="DIG3" s="59"/>
      <c r="DIH3" s="59"/>
      <c r="DII3" s="59"/>
      <c r="DIJ3" s="59"/>
      <c r="DIK3" s="59"/>
      <c r="DIL3" s="59"/>
      <c r="DIM3" s="59"/>
      <c r="DIN3" s="59"/>
      <c r="DIO3" s="59"/>
      <c r="DIP3" s="59"/>
      <c r="DIQ3" s="59"/>
      <c r="DIR3" s="59"/>
      <c r="DIS3" s="59"/>
      <c r="DIT3" s="59"/>
      <c r="DIU3" s="59"/>
      <c r="DIV3" s="59"/>
      <c r="DIW3" s="59"/>
      <c r="DIX3" s="59"/>
      <c r="DIY3" s="59"/>
      <c r="DIZ3" s="59"/>
      <c r="DJA3" s="59"/>
      <c r="DJB3" s="59"/>
      <c r="DJC3" s="59"/>
      <c r="DJD3" s="59"/>
      <c r="DJE3" s="59"/>
      <c r="DJF3" s="59"/>
      <c r="DJG3" s="59"/>
      <c r="DJH3" s="59"/>
      <c r="DJI3" s="59"/>
      <c r="DJJ3" s="59"/>
      <c r="DJK3" s="59"/>
      <c r="DJL3" s="59"/>
      <c r="DJM3" s="59"/>
      <c r="DJN3" s="59"/>
      <c r="DJO3" s="59"/>
      <c r="DJP3" s="59"/>
      <c r="DJQ3" s="59"/>
      <c r="DJR3" s="59"/>
      <c r="DJS3" s="59"/>
      <c r="DJT3" s="59"/>
      <c r="DJU3" s="59"/>
      <c r="DJV3" s="59"/>
      <c r="DJW3" s="59"/>
      <c r="DJX3" s="59"/>
      <c r="DJY3" s="59"/>
      <c r="DJZ3" s="59"/>
      <c r="DKA3" s="59"/>
      <c r="DKB3" s="59"/>
      <c r="DKC3" s="59"/>
      <c r="DKD3" s="59"/>
      <c r="DKE3" s="59"/>
      <c r="DKF3" s="59"/>
      <c r="DKG3" s="59"/>
      <c r="DKH3" s="59"/>
      <c r="DKI3" s="59"/>
      <c r="DKJ3" s="59"/>
      <c r="DKK3" s="59"/>
      <c r="DKL3" s="59"/>
      <c r="DKM3" s="59"/>
      <c r="DKN3" s="59"/>
      <c r="DKO3" s="59"/>
      <c r="DKP3" s="59"/>
      <c r="DKQ3" s="59"/>
      <c r="DKR3" s="59"/>
      <c r="DKS3" s="59"/>
      <c r="DKT3" s="59"/>
      <c r="DKU3" s="59"/>
      <c r="DKV3" s="59"/>
      <c r="DKW3" s="59"/>
      <c r="DKX3" s="59"/>
      <c r="DKY3" s="59"/>
      <c r="DKZ3" s="59"/>
      <c r="DLA3" s="59"/>
      <c r="DLB3" s="59"/>
      <c r="DLC3" s="59"/>
      <c r="DLD3" s="59"/>
      <c r="DLE3" s="59"/>
      <c r="DLF3" s="59"/>
      <c r="DLG3" s="59"/>
      <c r="DLH3" s="59"/>
      <c r="DLI3" s="59"/>
      <c r="DLJ3" s="59"/>
      <c r="DLK3" s="59"/>
      <c r="DLL3" s="59"/>
      <c r="DLM3" s="59"/>
      <c r="DLN3" s="59"/>
      <c r="DLO3" s="59"/>
      <c r="DLP3" s="59"/>
      <c r="DLQ3" s="59"/>
      <c r="DLR3" s="59"/>
      <c r="DLS3" s="59"/>
      <c r="DLT3" s="59"/>
      <c r="DLU3" s="59"/>
      <c r="DLV3" s="59"/>
      <c r="DLW3" s="59"/>
      <c r="DLX3" s="59"/>
      <c r="DLY3" s="59"/>
      <c r="DLZ3" s="59"/>
      <c r="DMA3" s="59"/>
      <c r="DMB3" s="59"/>
      <c r="DMC3" s="59"/>
      <c r="DMD3" s="59"/>
      <c r="DME3" s="59"/>
      <c r="DMF3" s="59"/>
      <c r="DMG3" s="59"/>
      <c r="DMH3" s="59"/>
      <c r="DMI3" s="59"/>
      <c r="DMJ3" s="59"/>
      <c r="DMK3" s="59"/>
      <c r="DML3" s="59"/>
      <c r="DMM3" s="59"/>
      <c r="DMN3" s="59"/>
      <c r="DMO3" s="59"/>
      <c r="DMP3" s="59"/>
      <c r="DMQ3" s="59"/>
      <c r="DMR3" s="59"/>
      <c r="DMS3" s="59"/>
      <c r="DMT3" s="59"/>
      <c r="DMU3" s="59"/>
      <c r="DMV3" s="59"/>
      <c r="DMW3" s="59"/>
      <c r="DMX3" s="59"/>
      <c r="DMY3" s="59"/>
      <c r="DMZ3" s="59"/>
      <c r="DNA3" s="59"/>
      <c r="DNB3" s="59"/>
      <c r="DNC3" s="59"/>
      <c r="DND3" s="59"/>
      <c r="DNE3" s="59"/>
      <c r="DNF3" s="59"/>
      <c r="DNG3" s="59"/>
      <c r="DNH3" s="59"/>
      <c r="DNI3" s="59"/>
      <c r="DNJ3" s="59"/>
      <c r="DNK3" s="59"/>
      <c r="DNL3" s="59"/>
      <c r="DNM3" s="59"/>
      <c r="DNN3" s="59"/>
      <c r="DNO3" s="59"/>
      <c r="DNP3" s="59"/>
      <c r="DNQ3" s="59"/>
      <c r="DNR3" s="59"/>
      <c r="DNS3" s="59"/>
      <c r="DNT3" s="59"/>
      <c r="DNU3" s="59"/>
      <c r="DNV3" s="59"/>
      <c r="DNW3" s="59"/>
      <c r="DNX3" s="59"/>
      <c r="DNY3" s="59"/>
      <c r="DNZ3" s="59"/>
      <c r="DOA3" s="59"/>
      <c r="DOB3" s="59"/>
      <c r="DOC3" s="59"/>
      <c r="DOD3" s="59"/>
      <c r="DOE3" s="59"/>
      <c r="DOF3" s="59"/>
      <c r="DOG3" s="59"/>
      <c r="DOH3" s="59"/>
      <c r="DOI3" s="59"/>
      <c r="DOJ3" s="59"/>
      <c r="DOK3" s="59"/>
      <c r="DOL3" s="59"/>
      <c r="DOM3" s="59"/>
      <c r="DON3" s="59"/>
      <c r="DOO3" s="59"/>
      <c r="DOP3" s="59"/>
      <c r="DOQ3" s="59"/>
      <c r="DOR3" s="59"/>
      <c r="DOS3" s="59"/>
      <c r="DOT3" s="59"/>
      <c r="DOU3" s="59"/>
      <c r="DOV3" s="59"/>
      <c r="DOW3" s="59"/>
      <c r="DOX3" s="59"/>
      <c r="DOY3" s="59"/>
      <c r="DOZ3" s="59"/>
      <c r="DPA3" s="59"/>
      <c r="DPB3" s="59"/>
      <c r="DPC3" s="59"/>
      <c r="DPD3" s="59"/>
      <c r="DPE3" s="59"/>
      <c r="DPF3" s="59"/>
      <c r="DPG3" s="59"/>
      <c r="DPH3" s="59"/>
      <c r="DPI3" s="59"/>
      <c r="DPJ3" s="59"/>
      <c r="DPK3" s="59"/>
      <c r="DPL3" s="59"/>
      <c r="DPM3" s="59"/>
      <c r="DPN3" s="59"/>
      <c r="DPO3" s="59"/>
      <c r="DPP3" s="59"/>
      <c r="DPQ3" s="59"/>
      <c r="DPR3" s="59"/>
      <c r="DPS3" s="59"/>
      <c r="DPT3" s="59"/>
      <c r="DPU3" s="59"/>
      <c r="DPV3" s="59"/>
      <c r="DPW3" s="59"/>
      <c r="DPX3" s="59"/>
      <c r="DPY3" s="59"/>
      <c r="DPZ3" s="59"/>
      <c r="DQA3" s="59"/>
      <c r="DQB3" s="59"/>
      <c r="DQC3" s="59"/>
      <c r="DQD3" s="59"/>
      <c r="DQE3" s="59"/>
      <c r="DQF3" s="59"/>
      <c r="DQG3" s="59"/>
      <c r="DQH3" s="59"/>
      <c r="DQI3" s="59"/>
      <c r="DQJ3" s="59"/>
      <c r="DQK3" s="59"/>
      <c r="DQL3" s="59"/>
      <c r="DQM3" s="59"/>
      <c r="DQN3" s="59"/>
      <c r="DQO3" s="59"/>
      <c r="DQP3" s="59"/>
      <c r="DQQ3" s="59"/>
      <c r="DQR3" s="59"/>
      <c r="DQS3" s="59"/>
      <c r="DQT3" s="59"/>
      <c r="DQU3" s="59"/>
      <c r="DQV3" s="59"/>
      <c r="DQW3" s="59"/>
      <c r="DQX3" s="59"/>
      <c r="DQY3" s="59"/>
      <c r="DQZ3" s="59"/>
      <c r="DRA3" s="59"/>
      <c r="DRB3" s="59"/>
      <c r="DRC3" s="59"/>
      <c r="DRD3" s="59"/>
      <c r="DRE3" s="59"/>
      <c r="DRF3" s="59"/>
      <c r="DRG3" s="59"/>
      <c r="DRH3" s="59"/>
      <c r="DRI3" s="59"/>
      <c r="DRJ3" s="59"/>
      <c r="DRK3" s="59"/>
      <c r="DRL3" s="59"/>
      <c r="DRM3" s="59"/>
      <c r="DRN3" s="59"/>
      <c r="DRO3" s="59"/>
      <c r="DRP3" s="59"/>
      <c r="DRQ3" s="59"/>
      <c r="DRR3" s="59"/>
      <c r="DRS3" s="59"/>
      <c r="DRT3" s="59"/>
      <c r="DRU3" s="59"/>
      <c r="DRV3" s="59"/>
      <c r="DRW3" s="59"/>
      <c r="DRX3" s="59"/>
      <c r="DRY3" s="59"/>
      <c r="DRZ3" s="59"/>
      <c r="DSA3" s="59"/>
      <c r="DSB3" s="59"/>
      <c r="DSC3" s="59"/>
      <c r="DSD3" s="59"/>
      <c r="DSE3" s="59"/>
      <c r="DSF3" s="59"/>
      <c r="DSG3" s="59"/>
      <c r="DSH3" s="59"/>
      <c r="DSI3" s="59"/>
      <c r="DSJ3" s="59"/>
      <c r="DSK3" s="59"/>
      <c r="DSL3" s="59"/>
      <c r="DSM3" s="59"/>
      <c r="DSN3" s="59"/>
      <c r="DSO3" s="59"/>
      <c r="DSP3" s="59"/>
      <c r="DSQ3" s="59"/>
      <c r="DSR3" s="59"/>
      <c r="DSS3" s="59"/>
      <c r="DST3" s="59"/>
      <c r="DSU3" s="59"/>
      <c r="DSV3" s="59"/>
      <c r="DSW3" s="59"/>
      <c r="DSX3" s="59"/>
      <c r="DSY3" s="59"/>
      <c r="DSZ3" s="59"/>
      <c r="DTA3" s="59"/>
      <c r="DTB3" s="59"/>
      <c r="DTC3" s="59"/>
      <c r="DTD3" s="59"/>
      <c r="DTE3" s="59"/>
      <c r="DTF3" s="59"/>
      <c r="DTG3" s="59"/>
      <c r="DTH3" s="59"/>
      <c r="DTI3" s="59"/>
      <c r="DTJ3" s="59"/>
      <c r="DTK3" s="59"/>
      <c r="DTL3" s="59"/>
      <c r="DTM3" s="59"/>
      <c r="DTN3" s="59"/>
      <c r="DTO3" s="59"/>
      <c r="DTP3" s="59"/>
      <c r="DTQ3" s="59"/>
      <c r="DTR3" s="59"/>
      <c r="DTS3" s="59"/>
      <c r="DTT3" s="59"/>
      <c r="DTU3" s="59"/>
      <c r="DTV3" s="59"/>
      <c r="DTW3" s="59"/>
      <c r="DTX3" s="59"/>
      <c r="DTY3" s="59"/>
      <c r="DTZ3" s="59"/>
      <c r="DUA3" s="59"/>
      <c r="DUB3" s="59"/>
      <c r="DUC3" s="59"/>
      <c r="DUD3" s="59"/>
      <c r="DUE3" s="59"/>
      <c r="DUF3" s="59"/>
      <c r="DUG3" s="59"/>
      <c r="DUH3" s="59"/>
      <c r="DUI3" s="59"/>
      <c r="DUJ3" s="59"/>
      <c r="DUK3" s="59"/>
      <c r="DUL3" s="59"/>
      <c r="DUM3" s="59"/>
      <c r="DUN3" s="59"/>
      <c r="DUO3" s="59"/>
      <c r="DUP3" s="59"/>
      <c r="DUQ3" s="59"/>
      <c r="DUR3" s="59"/>
      <c r="DUS3" s="59"/>
      <c r="DUT3" s="59"/>
      <c r="DUU3" s="59"/>
      <c r="DUV3" s="59"/>
      <c r="DUW3" s="59"/>
      <c r="DUX3" s="59"/>
      <c r="DUY3" s="59"/>
      <c r="DUZ3" s="59"/>
      <c r="DVA3" s="59"/>
      <c r="DVB3" s="59"/>
      <c r="DVC3" s="59"/>
      <c r="DVD3" s="59"/>
      <c r="DVE3" s="59"/>
      <c r="DVF3" s="59"/>
      <c r="DVG3" s="59"/>
      <c r="DVH3" s="59"/>
      <c r="DVI3" s="59"/>
      <c r="DVJ3" s="59"/>
      <c r="DVK3" s="59"/>
      <c r="DVL3" s="59"/>
      <c r="DVM3" s="59"/>
      <c r="DVN3" s="59"/>
      <c r="DVO3" s="59"/>
      <c r="DVP3" s="59"/>
      <c r="DVQ3" s="59"/>
      <c r="DVR3" s="59"/>
      <c r="DVS3" s="59"/>
      <c r="DVT3" s="59"/>
      <c r="DVU3" s="59"/>
      <c r="DVV3" s="59"/>
      <c r="DVW3" s="59"/>
      <c r="DVX3" s="59"/>
      <c r="DVY3" s="59"/>
      <c r="DVZ3" s="59"/>
      <c r="DWA3" s="59"/>
      <c r="DWB3" s="59"/>
      <c r="DWC3" s="59"/>
      <c r="DWD3" s="59"/>
      <c r="DWE3" s="59"/>
      <c r="DWF3" s="59"/>
      <c r="DWG3" s="59"/>
      <c r="DWH3" s="59"/>
      <c r="DWI3" s="59"/>
      <c r="DWJ3" s="59"/>
      <c r="DWK3" s="59"/>
      <c r="DWL3" s="59"/>
      <c r="DWM3" s="59"/>
      <c r="DWN3" s="59"/>
      <c r="DWO3" s="59"/>
      <c r="DWP3" s="59"/>
      <c r="DWQ3" s="59"/>
      <c r="DWR3" s="59"/>
      <c r="DWS3" s="59"/>
      <c r="DWT3" s="59"/>
      <c r="DWU3" s="59"/>
      <c r="DWV3" s="59"/>
      <c r="DWW3" s="59"/>
      <c r="DWX3" s="59"/>
      <c r="DWY3" s="59"/>
      <c r="DWZ3" s="59"/>
      <c r="DXA3" s="59"/>
      <c r="DXB3" s="59"/>
      <c r="DXC3" s="59"/>
      <c r="DXD3" s="59"/>
      <c r="DXE3" s="59"/>
      <c r="DXF3" s="59"/>
      <c r="DXG3" s="59"/>
      <c r="DXH3" s="59"/>
      <c r="DXI3" s="59"/>
      <c r="DXJ3" s="59"/>
      <c r="DXK3" s="59"/>
      <c r="DXL3" s="59"/>
      <c r="DXM3" s="59"/>
      <c r="DXN3" s="59"/>
      <c r="DXO3" s="59"/>
      <c r="DXP3" s="59"/>
      <c r="DXQ3" s="59"/>
      <c r="DXR3" s="59"/>
      <c r="DXS3" s="59"/>
      <c r="DXT3" s="59"/>
      <c r="DXU3" s="59"/>
      <c r="DXV3" s="59"/>
      <c r="DXW3" s="59"/>
      <c r="DXX3" s="59"/>
      <c r="DXY3" s="59"/>
      <c r="DXZ3" s="59"/>
      <c r="DYA3" s="59"/>
      <c r="DYB3" s="59"/>
      <c r="DYC3" s="59"/>
      <c r="DYD3" s="59"/>
      <c r="DYE3" s="59"/>
      <c r="DYF3" s="59"/>
      <c r="DYG3" s="59"/>
      <c r="DYH3" s="59"/>
      <c r="DYI3" s="59"/>
      <c r="DYJ3" s="59"/>
      <c r="DYK3" s="59"/>
      <c r="DYL3" s="59"/>
      <c r="DYM3" s="59"/>
      <c r="DYN3" s="59"/>
      <c r="DYO3" s="59"/>
      <c r="DYP3" s="59"/>
      <c r="DYQ3" s="59"/>
      <c r="DYR3" s="59"/>
      <c r="DYS3" s="59"/>
      <c r="DYT3" s="59"/>
      <c r="DYU3" s="59"/>
      <c r="DYV3" s="59"/>
      <c r="DYW3" s="59"/>
      <c r="DYX3" s="59"/>
      <c r="DYY3" s="59"/>
      <c r="DYZ3" s="59"/>
      <c r="DZA3" s="59"/>
      <c r="DZB3" s="59"/>
      <c r="DZC3" s="59"/>
      <c r="DZD3" s="59"/>
      <c r="DZE3" s="59"/>
      <c r="DZF3" s="59"/>
      <c r="DZG3" s="59"/>
      <c r="DZH3" s="59"/>
      <c r="DZI3" s="59"/>
      <c r="DZJ3" s="59"/>
      <c r="DZK3" s="59"/>
      <c r="DZL3" s="59"/>
      <c r="DZM3" s="59"/>
      <c r="DZN3" s="59"/>
      <c r="DZO3" s="59"/>
      <c r="DZP3" s="59"/>
      <c r="DZQ3" s="59"/>
      <c r="DZR3" s="59"/>
      <c r="DZS3" s="59"/>
      <c r="DZT3" s="59"/>
      <c r="DZU3" s="59"/>
      <c r="DZV3" s="59"/>
      <c r="DZW3" s="59"/>
      <c r="DZX3" s="59"/>
      <c r="DZY3" s="59"/>
      <c r="DZZ3" s="59"/>
      <c r="EAA3" s="59"/>
      <c r="EAB3" s="59"/>
      <c r="EAC3" s="59"/>
      <c r="EAD3" s="59"/>
      <c r="EAE3" s="59"/>
      <c r="EAF3" s="59"/>
      <c r="EAG3" s="59"/>
      <c r="EAH3" s="59"/>
      <c r="EAI3" s="59"/>
      <c r="EAJ3" s="59"/>
      <c r="EAK3" s="59"/>
      <c r="EAL3" s="59"/>
      <c r="EAM3" s="59"/>
      <c r="EAN3" s="59"/>
      <c r="EAO3" s="59"/>
      <c r="EAP3" s="59"/>
      <c r="EAQ3" s="59"/>
      <c r="EAR3" s="59"/>
      <c r="EAS3" s="59"/>
      <c r="EAT3" s="59"/>
      <c r="EAU3" s="59"/>
      <c r="EAV3" s="59"/>
      <c r="EAW3" s="59"/>
      <c r="EAX3" s="59"/>
      <c r="EAY3" s="59"/>
      <c r="EAZ3" s="59"/>
      <c r="EBA3" s="59"/>
      <c r="EBB3" s="59"/>
      <c r="EBC3" s="59"/>
      <c r="EBD3" s="59"/>
      <c r="EBE3" s="59"/>
      <c r="EBF3" s="59"/>
      <c r="EBG3" s="59"/>
      <c r="EBH3" s="59"/>
      <c r="EBI3" s="59"/>
      <c r="EBJ3" s="59"/>
      <c r="EBK3" s="59"/>
      <c r="EBL3" s="59"/>
      <c r="EBM3" s="59"/>
      <c r="EBN3" s="59"/>
      <c r="EBO3" s="59"/>
      <c r="EBP3" s="59"/>
      <c r="EBQ3" s="59"/>
      <c r="EBR3" s="59"/>
      <c r="EBS3" s="59"/>
      <c r="EBT3" s="59"/>
      <c r="EBU3" s="59"/>
      <c r="EBV3" s="59"/>
      <c r="EBW3" s="59"/>
      <c r="EBX3" s="59"/>
      <c r="EBY3" s="59"/>
      <c r="EBZ3" s="59"/>
      <c r="ECA3" s="59"/>
      <c r="ECB3" s="59"/>
      <c r="ECC3" s="59"/>
      <c r="ECD3" s="59"/>
      <c r="ECE3" s="59"/>
      <c r="ECF3" s="59"/>
      <c r="ECG3" s="59"/>
      <c r="ECH3" s="59"/>
      <c r="ECI3" s="59"/>
      <c r="ECJ3" s="59"/>
      <c r="ECK3" s="59"/>
      <c r="ECL3" s="59"/>
      <c r="ECM3" s="59"/>
      <c r="ECN3" s="59"/>
      <c r="ECO3" s="59"/>
      <c r="ECP3" s="59"/>
      <c r="ECQ3" s="59"/>
      <c r="ECR3" s="59"/>
      <c r="ECS3" s="59"/>
      <c r="ECT3" s="59"/>
      <c r="ECU3" s="59"/>
      <c r="ECV3" s="59"/>
      <c r="ECW3" s="59"/>
      <c r="ECX3" s="59"/>
      <c r="ECY3" s="59"/>
      <c r="ECZ3" s="59"/>
      <c r="EDA3" s="59"/>
      <c r="EDB3" s="59"/>
      <c r="EDC3" s="59"/>
      <c r="EDD3" s="59"/>
      <c r="EDE3" s="59"/>
      <c r="EDF3" s="59"/>
      <c r="EDG3" s="59"/>
      <c r="EDH3" s="59"/>
      <c r="EDI3" s="59"/>
      <c r="EDJ3" s="59"/>
      <c r="EDK3" s="59"/>
      <c r="EDL3" s="59"/>
      <c r="EDM3" s="59"/>
      <c r="EDN3" s="59"/>
      <c r="EDO3" s="59"/>
      <c r="EDP3" s="59"/>
      <c r="EDQ3" s="59"/>
      <c r="EDR3" s="59"/>
      <c r="EDS3" s="59"/>
      <c r="EDT3" s="59"/>
      <c r="EDU3" s="59"/>
      <c r="EDV3" s="59"/>
      <c r="EDW3" s="59"/>
      <c r="EDX3" s="59"/>
      <c r="EDY3" s="59"/>
      <c r="EDZ3" s="59"/>
      <c r="EEA3" s="59"/>
      <c r="EEB3" s="59"/>
      <c r="EEC3" s="59"/>
      <c r="EED3" s="59"/>
      <c r="EEE3" s="59"/>
      <c r="EEF3" s="59"/>
      <c r="EEG3" s="59"/>
      <c r="EEH3" s="59"/>
      <c r="EEI3" s="59"/>
      <c r="EEJ3" s="59"/>
      <c r="EEK3" s="59"/>
      <c r="EEL3" s="59"/>
      <c r="EEM3" s="59"/>
      <c r="EEN3" s="59"/>
      <c r="EEO3" s="59"/>
      <c r="EEP3" s="59"/>
      <c r="EEQ3" s="59"/>
      <c r="EER3" s="59"/>
      <c r="EES3" s="59"/>
      <c r="EET3" s="59"/>
      <c r="EEU3" s="59"/>
      <c r="EEV3" s="59"/>
      <c r="EEW3" s="59"/>
      <c r="EEX3" s="59"/>
      <c r="EEY3" s="59"/>
      <c r="EEZ3" s="59"/>
      <c r="EFA3" s="59"/>
      <c r="EFB3" s="59"/>
      <c r="EFC3" s="59"/>
      <c r="EFD3" s="59"/>
      <c r="EFE3" s="59"/>
      <c r="EFF3" s="59"/>
      <c r="EFG3" s="59"/>
      <c r="EFH3" s="59"/>
      <c r="EFI3" s="59"/>
      <c r="EFJ3" s="59"/>
      <c r="EFK3" s="59"/>
      <c r="EFL3" s="59"/>
      <c r="EFM3" s="59"/>
      <c r="EFN3" s="59"/>
      <c r="EFO3" s="59"/>
      <c r="EFP3" s="59"/>
      <c r="EFQ3" s="59"/>
      <c r="EFR3" s="59"/>
      <c r="EFS3" s="59"/>
      <c r="EFT3" s="59"/>
      <c r="EFU3" s="59"/>
      <c r="EFV3" s="59"/>
      <c r="EFW3" s="59"/>
      <c r="EFX3" s="59"/>
      <c r="EFY3" s="59"/>
      <c r="EFZ3" s="59"/>
      <c r="EGA3" s="59"/>
      <c r="EGB3" s="59"/>
      <c r="EGC3" s="59"/>
      <c r="EGD3" s="59"/>
      <c r="EGE3" s="59"/>
      <c r="EGF3" s="59"/>
      <c r="EGG3" s="59"/>
      <c r="EGH3" s="59"/>
      <c r="EGI3" s="59"/>
      <c r="EGJ3" s="59"/>
      <c r="EGK3" s="59"/>
      <c r="EGL3" s="59"/>
      <c r="EGM3" s="59"/>
      <c r="EGN3" s="59"/>
      <c r="EGO3" s="59"/>
      <c r="EGP3" s="59"/>
      <c r="EGQ3" s="59"/>
      <c r="EGR3" s="59"/>
      <c r="EGS3" s="59"/>
      <c r="EGT3" s="59"/>
      <c r="EGU3" s="59"/>
      <c r="EGV3" s="59"/>
      <c r="EGW3" s="59"/>
      <c r="EGX3" s="59"/>
      <c r="EGY3" s="59"/>
      <c r="EGZ3" s="59"/>
      <c r="EHA3" s="59"/>
      <c r="EHB3" s="59"/>
      <c r="EHC3" s="59"/>
      <c r="EHD3" s="59"/>
      <c r="EHE3" s="59"/>
      <c r="EHF3" s="59"/>
      <c r="EHG3" s="59"/>
      <c r="EHH3" s="59"/>
      <c r="EHI3" s="59"/>
      <c r="EHJ3" s="59"/>
      <c r="EHK3" s="59"/>
      <c r="EHL3" s="59"/>
      <c r="EHM3" s="59"/>
      <c r="EHN3" s="59"/>
      <c r="EHO3" s="59"/>
      <c r="EHP3" s="59"/>
      <c r="EHQ3" s="59"/>
      <c r="EHR3" s="59"/>
      <c r="EHS3" s="59"/>
      <c r="EHT3" s="59"/>
      <c r="EHU3" s="59"/>
      <c r="EHV3" s="59"/>
      <c r="EHW3" s="59"/>
      <c r="EHX3" s="59"/>
      <c r="EHY3" s="59"/>
      <c r="EHZ3" s="59"/>
      <c r="EIA3" s="59"/>
      <c r="EIB3" s="59"/>
      <c r="EIC3" s="59"/>
      <c r="EID3" s="59"/>
      <c r="EIE3" s="59"/>
      <c r="EIF3" s="59"/>
      <c r="EIG3" s="59"/>
      <c r="EIH3" s="59"/>
      <c r="EII3" s="59"/>
      <c r="EIJ3" s="59"/>
      <c r="EIK3" s="59"/>
      <c r="EIL3" s="59"/>
      <c r="EIM3" s="59"/>
      <c r="EIN3" s="59"/>
      <c r="EIO3" s="59"/>
      <c r="EIP3" s="59"/>
      <c r="EIQ3" s="59"/>
      <c r="EIR3" s="59"/>
      <c r="EIS3" s="59"/>
      <c r="EIT3" s="59"/>
      <c r="EIU3" s="59"/>
      <c r="EIV3" s="59"/>
      <c r="EIW3" s="59"/>
      <c r="EIX3" s="59"/>
      <c r="EIY3" s="59"/>
      <c r="EIZ3" s="59"/>
      <c r="EJA3" s="59"/>
      <c r="EJB3" s="59"/>
      <c r="EJC3" s="59"/>
      <c r="EJD3" s="59"/>
      <c r="EJE3" s="59"/>
      <c r="EJF3" s="59"/>
      <c r="EJG3" s="59"/>
      <c r="EJH3" s="59"/>
      <c r="EJI3" s="59"/>
      <c r="EJJ3" s="59"/>
      <c r="EJK3" s="59"/>
      <c r="EJL3" s="59"/>
      <c r="EJM3" s="59"/>
      <c r="EJN3" s="59"/>
      <c r="EJO3" s="59"/>
      <c r="EJP3" s="59"/>
      <c r="EJQ3" s="59"/>
      <c r="EJR3" s="59"/>
      <c r="EJS3" s="59"/>
      <c r="EJT3" s="59"/>
      <c r="EJU3" s="59"/>
      <c r="EJV3" s="59"/>
      <c r="EJW3" s="59"/>
      <c r="EJX3" s="59"/>
      <c r="EJY3" s="59"/>
      <c r="EJZ3" s="59"/>
      <c r="EKA3" s="59"/>
      <c r="EKB3" s="59"/>
      <c r="EKC3" s="59"/>
      <c r="EKD3" s="59"/>
      <c r="EKE3" s="59"/>
      <c r="EKF3" s="59"/>
      <c r="EKG3" s="59"/>
      <c r="EKH3" s="59"/>
      <c r="EKI3" s="59"/>
      <c r="EKJ3" s="59"/>
      <c r="EKK3" s="59"/>
      <c r="EKL3" s="59"/>
      <c r="EKM3" s="59"/>
      <c r="EKN3" s="59"/>
      <c r="EKO3" s="59"/>
      <c r="EKP3" s="59"/>
      <c r="EKQ3" s="59"/>
      <c r="EKR3" s="59"/>
      <c r="EKS3" s="59"/>
      <c r="EKT3" s="59"/>
      <c r="EKU3" s="59"/>
      <c r="EKV3" s="59"/>
      <c r="EKW3" s="59"/>
      <c r="EKX3" s="59"/>
      <c r="EKY3" s="59"/>
      <c r="EKZ3" s="59"/>
      <c r="ELA3" s="59"/>
      <c r="ELB3" s="59"/>
      <c r="ELC3" s="59"/>
      <c r="ELD3" s="59"/>
      <c r="ELE3" s="59"/>
      <c r="ELF3" s="59"/>
      <c r="ELG3" s="59"/>
      <c r="ELH3" s="59"/>
      <c r="ELI3" s="59"/>
      <c r="ELJ3" s="59"/>
      <c r="ELK3" s="59"/>
      <c r="ELL3" s="59"/>
      <c r="ELM3" s="59"/>
      <c r="ELN3" s="59"/>
      <c r="ELO3" s="59"/>
      <c r="ELP3" s="59"/>
      <c r="ELQ3" s="59"/>
      <c r="ELR3" s="59"/>
      <c r="ELS3" s="59"/>
      <c r="ELT3" s="59"/>
      <c r="ELU3" s="59"/>
      <c r="ELV3" s="59"/>
      <c r="ELW3" s="59"/>
      <c r="ELX3" s="59"/>
      <c r="ELY3" s="59"/>
      <c r="ELZ3" s="59"/>
      <c r="EMA3" s="59"/>
      <c r="EMB3" s="59"/>
      <c r="EMC3" s="59"/>
      <c r="EMD3" s="59"/>
      <c r="EME3" s="59"/>
      <c r="EMF3" s="59"/>
      <c r="EMG3" s="59"/>
      <c r="EMH3" s="59"/>
      <c r="EMI3" s="59"/>
      <c r="EMJ3" s="59"/>
      <c r="EMK3" s="59"/>
      <c r="EML3" s="59"/>
      <c r="EMM3" s="59"/>
      <c r="EMN3" s="59"/>
      <c r="EMO3" s="59"/>
      <c r="EMP3" s="59"/>
      <c r="EMQ3" s="59"/>
      <c r="EMR3" s="59"/>
      <c r="EMS3" s="59"/>
      <c r="EMT3" s="59"/>
      <c r="EMU3" s="59"/>
      <c r="EMV3" s="59"/>
      <c r="EMW3" s="59"/>
      <c r="EMX3" s="59"/>
      <c r="EMY3" s="59"/>
      <c r="EMZ3" s="59"/>
      <c r="ENA3" s="59"/>
      <c r="ENB3" s="59"/>
      <c r="ENC3" s="59"/>
      <c r="END3" s="59"/>
      <c r="ENE3" s="59"/>
      <c r="ENF3" s="59"/>
      <c r="ENG3" s="59"/>
      <c r="ENH3" s="59"/>
      <c r="ENI3" s="59"/>
      <c r="ENJ3" s="59"/>
      <c r="ENK3" s="59"/>
      <c r="ENL3" s="59"/>
      <c r="ENM3" s="59"/>
      <c r="ENN3" s="59"/>
      <c r="ENO3" s="59"/>
      <c r="ENP3" s="59"/>
      <c r="ENQ3" s="59"/>
      <c r="ENR3" s="59"/>
      <c r="ENS3" s="59"/>
      <c r="ENT3" s="59"/>
      <c r="ENU3" s="59"/>
      <c r="ENV3" s="59"/>
      <c r="ENW3" s="59"/>
      <c r="ENX3" s="59"/>
      <c r="ENY3" s="59"/>
      <c r="ENZ3" s="59"/>
      <c r="EOA3" s="59"/>
      <c r="EOB3" s="59"/>
      <c r="EOC3" s="59"/>
      <c r="EOD3" s="59"/>
      <c r="EOE3" s="59"/>
      <c r="EOF3" s="59"/>
      <c r="EOG3" s="59"/>
      <c r="EOH3" s="59"/>
      <c r="EOI3" s="59"/>
      <c r="EOJ3" s="59"/>
      <c r="EOK3" s="59"/>
      <c r="EOL3" s="59"/>
      <c r="EOM3" s="59"/>
      <c r="EON3" s="59"/>
      <c r="EOO3" s="59"/>
      <c r="EOP3" s="59"/>
      <c r="EOQ3" s="59"/>
      <c r="EOR3" s="59"/>
      <c r="EOS3" s="59"/>
      <c r="EOT3" s="59"/>
      <c r="EOU3" s="59"/>
      <c r="EOV3" s="59"/>
      <c r="EOW3" s="59"/>
      <c r="EOX3" s="59"/>
      <c r="EOY3" s="59"/>
      <c r="EOZ3" s="59"/>
      <c r="EPA3" s="59"/>
      <c r="EPB3" s="59"/>
      <c r="EPC3" s="59"/>
      <c r="EPD3" s="59"/>
      <c r="EPE3" s="59"/>
      <c r="EPF3" s="59"/>
      <c r="EPG3" s="59"/>
      <c r="EPH3" s="59"/>
      <c r="EPI3" s="59"/>
      <c r="EPJ3" s="59"/>
      <c r="EPK3" s="59"/>
      <c r="EPL3" s="59"/>
      <c r="EPM3" s="59"/>
      <c r="EPN3" s="59"/>
      <c r="EPO3" s="59"/>
      <c r="EPP3" s="59"/>
      <c r="EPQ3" s="59"/>
      <c r="EPR3" s="59"/>
      <c r="EPS3" s="59"/>
      <c r="EPT3" s="59"/>
      <c r="EPU3" s="59"/>
      <c r="EPV3" s="59"/>
      <c r="EPW3" s="59"/>
      <c r="EPX3" s="59"/>
      <c r="EPY3" s="59"/>
      <c r="EPZ3" s="59"/>
      <c r="EQA3" s="59"/>
      <c r="EQB3" s="59"/>
      <c r="EQC3" s="59"/>
      <c r="EQD3" s="59"/>
      <c r="EQE3" s="59"/>
      <c r="EQF3" s="59"/>
      <c r="EQG3" s="59"/>
      <c r="EQH3" s="59"/>
      <c r="EQI3" s="59"/>
      <c r="EQJ3" s="59"/>
      <c r="EQK3" s="59"/>
      <c r="EQL3" s="59"/>
      <c r="EQM3" s="59"/>
      <c r="EQN3" s="59"/>
      <c r="EQO3" s="59"/>
      <c r="EQP3" s="59"/>
      <c r="EQQ3" s="59"/>
      <c r="EQR3" s="59"/>
      <c r="EQS3" s="59"/>
      <c r="EQT3" s="59"/>
      <c r="EQU3" s="59"/>
      <c r="EQV3" s="59"/>
      <c r="EQW3" s="59"/>
      <c r="EQX3" s="59"/>
      <c r="EQY3" s="59"/>
      <c r="EQZ3" s="59"/>
      <c r="ERA3" s="59"/>
      <c r="ERB3" s="59"/>
      <c r="ERC3" s="59"/>
      <c r="ERD3" s="59"/>
      <c r="ERE3" s="59"/>
      <c r="ERF3" s="59"/>
      <c r="ERG3" s="59"/>
      <c r="ERH3" s="59"/>
      <c r="ERI3" s="59"/>
      <c r="ERJ3" s="59"/>
      <c r="ERK3" s="59"/>
      <c r="ERL3" s="59"/>
      <c r="ERM3" s="59"/>
      <c r="ERN3" s="59"/>
      <c r="ERO3" s="59"/>
      <c r="ERP3" s="59"/>
      <c r="ERQ3" s="59"/>
      <c r="ERR3" s="59"/>
      <c r="ERS3" s="59"/>
      <c r="ERT3" s="59"/>
      <c r="ERU3" s="59"/>
      <c r="ERV3" s="59"/>
      <c r="ERW3" s="59"/>
      <c r="ERX3" s="59"/>
      <c r="ERY3" s="59"/>
      <c r="ERZ3" s="59"/>
      <c r="ESA3" s="59"/>
      <c r="ESB3" s="59"/>
      <c r="ESC3" s="59"/>
      <c r="ESD3" s="59"/>
      <c r="ESE3" s="59"/>
      <c r="ESF3" s="59"/>
      <c r="ESG3" s="59"/>
      <c r="ESH3" s="59"/>
      <c r="ESI3" s="59"/>
      <c r="ESJ3" s="59"/>
      <c r="ESK3" s="59"/>
      <c r="ESL3" s="59"/>
      <c r="ESM3" s="59"/>
      <c r="ESN3" s="59"/>
      <c r="ESO3" s="59"/>
      <c r="ESP3" s="59"/>
      <c r="ESQ3" s="59"/>
      <c r="ESR3" s="59"/>
      <c r="ESS3" s="59"/>
      <c r="EST3" s="59"/>
      <c r="ESU3" s="59"/>
      <c r="ESV3" s="59"/>
      <c r="ESW3" s="59"/>
      <c r="ESX3" s="59"/>
      <c r="ESY3" s="59"/>
      <c r="ESZ3" s="59"/>
      <c r="ETA3" s="59"/>
      <c r="ETB3" s="59"/>
      <c r="ETC3" s="59"/>
      <c r="ETD3" s="59"/>
      <c r="ETE3" s="59"/>
      <c r="ETF3" s="59"/>
      <c r="ETG3" s="59"/>
      <c r="ETH3" s="59"/>
      <c r="ETI3" s="59"/>
      <c r="ETJ3" s="59"/>
      <c r="ETK3" s="59"/>
      <c r="ETL3" s="59"/>
      <c r="ETM3" s="59"/>
      <c r="ETN3" s="59"/>
      <c r="ETO3" s="59"/>
      <c r="ETP3" s="59"/>
      <c r="ETQ3" s="59"/>
      <c r="ETR3" s="59"/>
      <c r="ETS3" s="59"/>
      <c r="ETT3" s="59"/>
      <c r="ETU3" s="59"/>
      <c r="ETV3" s="59"/>
      <c r="ETW3" s="59"/>
      <c r="ETX3" s="59"/>
      <c r="ETY3" s="59"/>
      <c r="ETZ3" s="59"/>
      <c r="EUA3" s="59"/>
      <c r="EUB3" s="59"/>
      <c r="EUC3" s="59"/>
      <c r="EUD3" s="59"/>
      <c r="EUE3" s="59"/>
      <c r="EUF3" s="59"/>
      <c r="EUG3" s="59"/>
      <c r="EUH3" s="59"/>
      <c r="EUI3" s="59"/>
      <c r="EUJ3" s="59"/>
      <c r="EUK3" s="59"/>
      <c r="EUL3" s="59"/>
      <c r="EUM3" s="59"/>
      <c r="EUN3" s="59"/>
      <c r="EUO3" s="59"/>
      <c r="EUP3" s="59"/>
      <c r="EUQ3" s="59"/>
      <c r="EUR3" s="59"/>
      <c r="EUS3" s="59"/>
      <c r="EUT3" s="59"/>
      <c r="EUU3" s="59"/>
      <c r="EUV3" s="59"/>
      <c r="EUW3" s="59"/>
      <c r="EUX3" s="59"/>
      <c r="EUY3" s="59"/>
      <c r="EUZ3" s="59"/>
      <c r="EVA3" s="59"/>
      <c r="EVB3" s="59"/>
      <c r="EVC3" s="59"/>
      <c r="EVD3" s="59"/>
      <c r="EVE3" s="59"/>
      <c r="EVF3" s="59"/>
      <c r="EVG3" s="59"/>
      <c r="EVH3" s="59"/>
      <c r="EVI3" s="59"/>
      <c r="EVJ3" s="59"/>
      <c r="EVK3" s="59"/>
      <c r="EVL3" s="59"/>
      <c r="EVM3" s="59"/>
      <c r="EVN3" s="59"/>
      <c r="EVO3" s="59"/>
      <c r="EVP3" s="59"/>
      <c r="EVQ3" s="59"/>
      <c r="EVR3" s="59"/>
      <c r="EVS3" s="59"/>
      <c r="EVT3" s="59"/>
      <c r="EVU3" s="59"/>
      <c r="EVV3" s="59"/>
      <c r="EVW3" s="59"/>
      <c r="EVX3" s="59"/>
      <c r="EVY3" s="59"/>
      <c r="EVZ3" s="59"/>
      <c r="EWA3" s="59"/>
      <c r="EWB3" s="59"/>
      <c r="EWC3" s="59"/>
      <c r="EWD3" s="59"/>
      <c r="EWE3" s="59"/>
      <c r="EWF3" s="59"/>
      <c r="EWG3" s="59"/>
      <c r="EWH3" s="59"/>
      <c r="EWI3" s="59"/>
      <c r="EWJ3" s="59"/>
      <c r="EWK3" s="59"/>
      <c r="EWL3" s="59"/>
      <c r="EWM3" s="59"/>
      <c r="EWN3" s="59"/>
      <c r="EWO3" s="59"/>
      <c r="EWP3" s="59"/>
      <c r="EWQ3" s="59"/>
      <c r="EWR3" s="59"/>
      <c r="EWS3" s="59"/>
      <c r="EWT3" s="59"/>
      <c r="EWU3" s="59"/>
      <c r="EWV3" s="59"/>
      <c r="EWW3" s="59"/>
      <c r="EWX3" s="59"/>
      <c r="EWY3" s="59"/>
      <c r="EWZ3" s="59"/>
      <c r="EXA3" s="59"/>
      <c r="EXB3" s="59"/>
      <c r="EXC3" s="59"/>
      <c r="EXD3" s="59"/>
      <c r="EXE3" s="59"/>
      <c r="EXF3" s="59"/>
      <c r="EXG3" s="59"/>
      <c r="EXH3" s="59"/>
      <c r="EXI3" s="59"/>
      <c r="EXJ3" s="59"/>
      <c r="EXK3" s="59"/>
      <c r="EXL3" s="59"/>
      <c r="EXM3" s="59"/>
      <c r="EXN3" s="59"/>
      <c r="EXO3" s="59"/>
      <c r="EXP3" s="59"/>
      <c r="EXQ3" s="59"/>
      <c r="EXR3" s="59"/>
      <c r="EXS3" s="59"/>
      <c r="EXT3" s="59"/>
      <c r="EXU3" s="59"/>
      <c r="EXV3" s="59"/>
      <c r="EXW3" s="59"/>
      <c r="EXX3" s="59"/>
      <c r="EXY3" s="59"/>
      <c r="EXZ3" s="59"/>
      <c r="EYA3" s="59"/>
      <c r="EYB3" s="59"/>
      <c r="EYC3" s="59"/>
      <c r="EYD3" s="59"/>
      <c r="EYE3" s="59"/>
      <c r="EYF3" s="59"/>
      <c r="EYG3" s="59"/>
      <c r="EYH3" s="59"/>
      <c r="EYI3" s="59"/>
      <c r="EYJ3" s="59"/>
      <c r="EYK3" s="59"/>
      <c r="EYL3" s="59"/>
      <c r="EYM3" s="59"/>
      <c r="EYN3" s="59"/>
      <c r="EYO3" s="59"/>
      <c r="EYP3" s="59"/>
      <c r="EYQ3" s="59"/>
      <c r="EYR3" s="59"/>
      <c r="EYS3" s="59"/>
      <c r="EYT3" s="59"/>
      <c r="EYU3" s="59"/>
      <c r="EYV3" s="59"/>
      <c r="EYW3" s="59"/>
      <c r="EYX3" s="59"/>
      <c r="EYY3" s="59"/>
      <c r="EYZ3" s="59"/>
      <c r="EZA3" s="59"/>
      <c r="EZB3" s="59"/>
      <c r="EZC3" s="59"/>
      <c r="EZD3" s="59"/>
      <c r="EZE3" s="59"/>
      <c r="EZF3" s="59"/>
      <c r="EZG3" s="59"/>
      <c r="EZH3" s="59"/>
      <c r="EZI3" s="59"/>
      <c r="EZJ3" s="59"/>
      <c r="EZK3" s="59"/>
      <c r="EZL3" s="59"/>
      <c r="EZM3" s="59"/>
      <c r="EZN3" s="59"/>
      <c r="EZO3" s="59"/>
      <c r="EZP3" s="59"/>
      <c r="EZQ3" s="59"/>
      <c r="EZR3" s="59"/>
      <c r="EZS3" s="59"/>
      <c r="EZT3" s="59"/>
      <c r="EZU3" s="59"/>
      <c r="EZV3" s="59"/>
      <c r="EZW3" s="59"/>
      <c r="EZX3" s="59"/>
      <c r="EZY3" s="59"/>
      <c r="EZZ3" s="59"/>
      <c r="FAA3" s="59"/>
      <c r="FAB3" s="59"/>
      <c r="FAC3" s="59"/>
      <c r="FAD3" s="59"/>
      <c r="FAE3" s="59"/>
      <c r="FAF3" s="59"/>
      <c r="FAG3" s="59"/>
      <c r="FAH3" s="59"/>
      <c r="FAI3" s="59"/>
      <c r="FAJ3" s="59"/>
      <c r="FAK3" s="59"/>
      <c r="FAL3" s="59"/>
      <c r="FAM3" s="59"/>
      <c r="FAN3" s="59"/>
      <c r="FAO3" s="59"/>
      <c r="FAP3" s="59"/>
      <c r="FAQ3" s="59"/>
      <c r="FAR3" s="59"/>
      <c r="FAS3" s="59"/>
      <c r="FAT3" s="59"/>
      <c r="FAU3" s="59"/>
      <c r="FAV3" s="59"/>
      <c r="FAW3" s="59"/>
      <c r="FAX3" s="59"/>
      <c r="FAY3" s="59"/>
      <c r="FAZ3" s="59"/>
      <c r="FBA3" s="59"/>
      <c r="FBB3" s="59"/>
      <c r="FBC3" s="59"/>
      <c r="FBD3" s="59"/>
      <c r="FBE3" s="59"/>
      <c r="FBF3" s="59"/>
      <c r="FBG3" s="59"/>
      <c r="FBH3" s="59"/>
      <c r="FBI3" s="59"/>
      <c r="FBJ3" s="59"/>
      <c r="FBK3" s="59"/>
      <c r="FBL3" s="59"/>
      <c r="FBM3" s="59"/>
      <c r="FBN3" s="59"/>
      <c r="FBO3" s="59"/>
      <c r="FBP3" s="59"/>
      <c r="FBQ3" s="59"/>
      <c r="FBR3" s="59"/>
      <c r="FBS3" s="59"/>
      <c r="FBT3" s="59"/>
      <c r="FBU3" s="59"/>
      <c r="FBV3" s="59"/>
      <c r="FBW3" s="59"/>
      <c r="FBX3" s="59"/>
      <c r="FBY3" s="59"/>
      <c r="FBZ3" s="59"/>
      <c r="FCA3" s="59"/>
      <c r="FCB3" s="59"/>
      <c r="FCC3" s="59"/>
      <c r="FCD3" s="59"/>
      <c r="FCE3" s="59"/>
      <c r="FCF3" s="59"/>
      <c r="FCG3" s="59"/>
      <c r="FCH3" s="59"/>
      <c r="FCI3" s="59"/>
      <c r="FCJ3" s="59"/>
      <c r="FCK3" s="59"/>
      <c r="FCL3" s="59"/>
      <c r="FCM3" s="59"/>
      <c r="FCN3" s="59"/>
      <c r="FCO3" s="59"/>
      <c r="FCP3" s="59"/>
      <c r="FCQ3" s="59"/>
      <c r="FCR3" s="59"/>
      <c r="FCS3" s="59"/>
      <c r="FCT3" s="59"/>
      <c r="FCU3" s="59"/>
      <c r="FCV3" s="59"/>
      <c r="FCW3" s="59"/>
      <c r="FCX3" s="59"/>
      <c r="FCY3" s="59"/>
      <c r="FCZ3" s="59"/>
      <c r="FDA3" s="59"/>
      <c r="FDB3" s="59"/>
      <c r="FDC3" s="59"/>
      <c r="FDD3" s="59"/>
      <c r="FDE3" s="59"/>
      <c r="FDF3" s="59"/>
      <c r="FDG3" s="59"/>
      <c r="FDH3" s="59"/>
      <c r="FDI3" s="59"/>
      <c r="FDJ3" s="59"/>
      <c r="FDK3" s="59"/>
      <c r="FDL3" s="59"/>
      <c r="FDM3" s="59"/>
      <c r="FDN3" s="59"/>
      <c r="FDO3" s="59"/>
      <c r="FDP3" s="59"/>
      <c r="FDQ3" s="59"/>
      <c r="FDR3" s="59"/>
      <c r="FDS3" s="59"/>
      <c r="FDT3" s="59"/>
      <c r="FDU3" s="59"/>
      <c r="FDV3" s="59"/>
      <c r="FDW3" s="59"/>
      <c r="FDX3" s="59"/>
      <c r="FDY3" s="59"/>
      <c r="FDZ3" s="59"/>
      <c r="FEA3" s="59"/>
      <c r="FEB3" s="59"/>
      <c r="FEC3" s="59"/>
      <c r="FED3" s="59"/>
      <c r="FEE3" s="59"/>
      <c r="FEF3" s="59"/>
      <c r="FEG3" s="59"/>
      <c r="FEH3" s="59"/>
      <c r="FEI3" s="59"/>
      <c r="FEJ3" s="59"/>
      <c r="FEK3" s="59"/>
      <c r="FEL3" s="59"/>
      <c r="FEM3" s="59"/>
      <c r="FEN3" s="59"/>
      <c r="FEO3" s="59"/>
      <c r="FEP3" s="59"/>
      <c r="FEQ3" s="59"/>
      <c r="FER3" s="59"/>
      <c r="FES3" s="59"/>
      <c r="FET3" s="59"/>
      <c r="FEU3" s="59"/>
      <c r="FEV3" s="59"/>
      <c r="FEW3" s="59"/>
      <c r="FEX3" s="59"/>
      <c r="FEY3" s="59"/>
      <c r="FEZ3" s="59"/>
      <c r="FFA3" s="59"/>
      <c r="FFB3" s="59"/>
      <c r="FFC3" s="59"/>
      <c r="FFD3" s="59"/>
      <c r="FFE3" s="59"/>
      <c r="FFF3" s="59"/>
      <c r="FFG3" s="59"/>
      <c r="FFH3" s="59"/>
      <c r="FFI3" s="59"/>
      <c r="FFJ3" s="59"/>
      <c r="FFK3" s="59"/>
      <c r="FFL3" s="59"/>
      <c r="FFM3" s="59"/>
      <c r="FFN3" s="59"/>
      <c r="FFO3" s="59"/>
      <c r="FFP3" s="59"/>
      <c r="FFQ3" s="59"/>
      <c r="FFR3" s="59"/>
      <c r="FFS3" s="59"/>
      <c r="FFT3" s="59"/>
      <c r="FFU3" s="59"/>
      <c r="FFV3" s="59"/>
      <c r="FFW3" s="59"/>
      <c r="FFX3" s="59"/>
      <c r="FFY3" s="59"/>
      <c r="FFZ3" s="59"/>
      <c r="FGA3" s="59"/>
      <c r="FGB3" s="59"/>
      <c r="FGC3" s="59"/>
      <c r="FGD3" s="59"/>
      <c r="FGE3" s="59"/>
      <c r="FGF3" s="59"/>
      <c r="FGG3" s="59"/>
      <c r="FGH3" s="59"/>
      <c r="FGI3" s="59"/>
      <c r="FGJ3" s="59"/>
      <c r="FGK3" s="59"/>
      <c r="FGL3" s="59"/>
      <c r="FGM3" s="59"/>
      <c r="FGN3" s="59"/>
      <c r="FGO3" s="59"/>
      <c r="FGP3" s="59"/>
      <c r="FGQ3" s="59"/>
      <c r="FGR3" s="59"/>
      <c r="FGS3" s="59"/>
      <c r="FGT3" s="59"/>
      <c r="FGU3" s="59"/>
      <c r="FGV3" s="59"/>
      <c r="FGW3" s="59"/>
      <c r="FGX3" s="59"/>
      <c r="FGY3" s="59"/>
      <c r="FGZ3" s="59"/>
      <c r="FHA3" s="59"/>
      <c r="FHB3" s="59"/>
      <c r="FHC3" s="59"/>
      <c r="FHD3" s="59"/>
      <c r="FHE3" s="59"/>
      <c r="FHF3" s="59"/>
      <c r="FHG3" s="59"/>
      <c r="FHH3" s="59"/>
      <c r="FHI3" s="59"/>
      <c r="FHJ3" s="59"/>
      <c r="FHK3" s="59"/>
      <c r="FHL3" s="59"/>
      <c r="FHM3" s="59"/>
      <c r="FHN3" s="59"/>
      <c r="FHO3" s="59"/>
      <c r="FHP3" s="59"/>
      <c r="FHQ3" s="59"/>
      <c r="FHR3" s="59"/>
      <c r="FHS3" s="59"/>
      <c r="FHT3" s="59"/>
      <c r="FHU3" s="59"/>
      <c r="FHV3" s="59"/>
      <c r="FHW3" s="59"/>
      <c r="FHX3" s="59"/>
      <c r="FHY3" s="59"/>
      <c r="FHZ3" s="59"/>
      <c r="FIA3" s="59"/>
      <c r="FIB3" s="59"/>
      <c r="FIC3" s="59"/>
      <c r="FID3" s="59"/>
      <c r="FIE3" s="59"/>
      <c r="FIF3" s="59"/>
      <c r="FIG3" s="59"/>
      <c r="FIH3" s="59"/>
      <c r="FII3" s="59"/>
      <c r="FIJ3" s="59"/>
      <c r="FIK3" s="59"/>
      <c r="FIL3" s="59"/>
      <c r="FIM3" s="59"/>
      <c r="FIN3" s="59"/>
      <c r="FIO3" s="59"/>
      <c r="FIP3" s="59"/>
      <c r="FIQ3" s="59"/>
      <c r="FIR3" s="59"/>
      <c r="FIS3" s="59"/>
      <c r="FIT3" s="59"/>
      <c r="FIU3" s="59"/>
      <c r="FIV3" s="59"/>
      <c r="FIW3" s="59"/>
      <c r="FIX3" s="59"/>
      <c r="FIY3" s="59"/>
      <c r="FIZ3" s="59"/>
      <c r="FJA3" s="59"/>
      <c r="FJB3" s="59"/>
      <c r="FJC3" s="59"/>
      <c r="FJD3" s="59"/>
      <c r="FJE3" s="59"/>
      <c r="FJF3" s="59"/>
      <c r="FJG3" s="59"/>
      <c r="FJH3" s="59"/>
      <c r="FJI3" s="59"/>
      <c r="FJJ3" s="59"/>
      <c r="FJK3" s="59"/>
      <c r="FJL3" s="59"/>
      <c r="FJM3" s="59"/>
      <c r="FJN3" s="59"/>
      <c r="FJO3" s="59"/>
      <c r="FJP3" s="59"/>
      <c r="FJQ3" s="59"/>
      <c r="FJR3" s="59"/>
      <c r="FJS3" s="59"/>
      <c r="FJT3" s="59"/>
      <c r="FJU3" s="59"/>
      <c r="FJV3" s="59"/>
      <c r="FJW3" s="59"/>
      <c r="FJX3" s="59"/>
      <c r="FJY3" s="59"/>
      <c r="FJZ3" s="59"/>
      <c r="FKA3" s="59"/>
      <c r="FKB3" s="59"/>
      <c r="FKC3" s="59"/>
      <c r="FKD3" s="59"/>
      <c r="FKE3" s="59"/>
      <c r="FKF3" s="59"/>
      <c r="FKG3" s="59"/>
      <c r="FKH3" s="59"/>
      <c r="FKI3" s="59"/>
      <c r="FKJ3" s="59"/>
      <c r="FKK3" s="59"/>
      <c r="FKL3" s="59"/>
      <c r="FKM3" s="59"/>
      <c r="FKN3" s="59"/>
      <c r="FKO3" s="59"/>
      <c r="FKP3" s="59"/>
      <c r="FKQ3" s="59"/>
      <c r="FKR3" s="59"/>
      <c r="FKS3" s="59"/>
      <c r="FKT3" s="59"/>
      <c r="FKU3" s="59"/>
      <c r="FKV3" s="59"/>
      <c r="FKW3" s="59"/>
      <c r="FKX3" s="59"/>
      <c r="FKY3" s="59"/>
      <c r="FKZ3" s="59"/>
      <c r="FLA3" s="59"/>
      <c r="FLB3" s="59"/>
      <c r="FLC3" s="59"/>
      <c r="FLD3" s="59"/>
      <c r="FLE3" s="59"/>
      <c r="FLF3" s="59"/>
      <c r="FLG3" s="59"/>
      <c r="FLH3" s="59"/>
      <c r="FLI3" s="59"/>
      <c r="FLJ3" s="59"/>
      <c r="FLK3" s="59"/>
      <c r="FLL3" s="59"/>
      <c r="FLM3" s="59"/>
      <c r="FLN3" s="59"/>
      <c r="FLO3" s="59"/>
      <c r="FLP3" s="59"/>
      <c r="FLQ3" s="59"/>
      <c r="FLR3" s="59"/>
      <c r="FLS3" s="59"/>
      <c r="FLT3" s="59"/>
      <c r="FLU3" s="59"/>
      <c r="FLV3" s="59"/>
      <c r="FLW3" s="59"/>
      <c r="FLX3" s="59"/>
      <c r="FLY3" s="59"/>
      <c r="FLZ3" s="59"/>
      <c r="FMA3" s="59"/>
      <c r="FMB3" s="59"/>
      <c r="FMC3" s="59"/>
      <c r="FMD3" s="59"/>
      <c r="FME3" s="59"/>
      <c r="FMF3" s="59"/>
      <c r="FMG3" s="59"/>
      <c r="FMH3" s="59"/>
      <c r="FMI3" s="59"/>
      <c r="FMJ3" s="59"/>
      <c r="FMK3" s="59"/>
      <c r="FML3" s="59"/>
      <c r="FMM3" s="59"/>
      <c r="FMN3" s="59"/>
      <c r="FMO3" s="59"/>
      <c r="FMP3" s="59"/>
      <c r="FMQ3" s="59"/>
      <c r="FMR3" s="59"/>
      <c r="FMS3" s="59"/>
      <c r="FMT3" s="59"/>
      <c r="FMU3" s="59"/>
      <c r="FMV3" s="59"/>
      <c r="FMW3" s="59"/>
      <c r="FMX3" s="59"/>
      <c r="FMY3" s="59"/>
      <c r="FMZ3" s="59"/>
      <c r="FNA3" s="59"/>
      <c r="FNB3" s="59"/>
      <c r="FNC3" s="59"/>
      <c r="FND3" s="59"/>
      <c r="FNE3" s="59"/>
      <c r="FNF3" s="59"/>
      <c r="FNG3" s="59"/>
      <c r="FNH3" s="59"/>
      <c r="FNI3" s="59"/>
      <c r="FNJ3" s="59"/>
      <c r="FNK3" s="59"/>
      <c r="FNL3" s="59"/>
      <c r="FNM3" s="59"/>
      <c r="FNN3" s="59"/>
      <c r="FNO3" s="59"/>
      <c r="FNP3" s="59"/>
      <c r="FNQ3" s="59"/>
      <c r="FNR3" s="59"/>
      <c r="FNS3" s="59"/>
      <c r="FNT3" s="59"/>
      <c r="FNU3" s="59"/>
      <c r="FNV3" s="59"/>
      <c r="FNW3" s="59"/>
      <c r="FNX3" s="59"/>
      <c r="FNY3" s="59"/>
      <c r="FNZ3" s="59"/>
      <c r="FOA3" s="59"/>
      <c r="FOB3" s="59"/>
      <c r="FOC3" s="59"/>
      <c r="FOD3" s="59"/>
      <c r="FOE3" s="59"/>
      <c r="FOF3" s="59"/>
      <c r="FOG3" s="59"/>
      <c r="FOH3" s="59"/>
      <c r="FOI3" s="59"/>
      <c r="FOJ3" s="59"/>
      <c r="FOK3" s="59"/>
      <c r="FOL3" s="59"/>
      <c r="FOM3" s="59"/>
      <c r="FON3" s="59"/>
      <c r="FOO3" s="59"/>
      <c r="FOP3" s="59"/>
      <c r="FOQ3" s="59"/>
      <c r="FOR3" s="59"/>
      <c r="FOS3" s="59"/>
      <c r="FOT3" s="59"/>
      <c r="FOU3" s="59"/>
      <c r="FOV3" s="59"/>
      <c r="FOW3" s="59"/>
      <c r="FOX3" s="59"/>
      <c r="FOY3" s="59"/>
      <c r="FOZ3" s="59"/>
      <c r="FPA3" s="59"/>
      <c r="FPB3" s="59"/>
      <c r="FPC3" s="59"/>
      <c r="FPD3" s="59"/>
      <c r="FPE3" s="59"/>
      <c r="FPF3" s="59"/>
      <c r="FPG3" s="59"/>
      <c r="FPH3" s="59"/>
      <c r="FPI3" s="59"/>
      <c r="FPJ3" s="59"/>
      <c r="FPK3" s="59"/>
      <c r="FPL3" s="59"/>
      <c r="FPM3" s="59"/>
      <c r="FPN3" s="59"/>
      <c r="FPO3" s="59"/>
      <c r="FPP3" s="59"/>
      <c r="FPQ3" s="59"/>
      <c r="FPR3" s="59"/>
      <c r="FPS3" s="59"/>
      <c r="FPT3" s="59"/>
      <c r="FPU3" s="59"/>
      <c r="FPV3" s="59"/>
      <c r="FPW3" s="59"/>
      <c r="FPX3" s="59"/>
      <c r="FPY3" s="59"/>
      <c r="FPZ3" s="59"/>
      <c r="FQA3" s="59"/>
      <c r="FQB3" s="59"/>
      <c r="FQC3" s="59"/>
      <c r="FQD3" s="59"/>
      <c r="FQE3" s="59"/>
      <c r="FQF3" s="59"/>
      <c r="FQG3" s="59"/>
      <c r="FQH3" s="59"/>
      <c r="FQI3" s="59"/>
      <c r="FQJ3" s="59"/>
      <c r="FQK3" s="59"/>
      <c r="FQL3" s="59"/>
      <c r="FQM3" s="59"/>
      <c r="FQN3" s="59"/>
      <c r="FQO3" s="59"/>
      <c r="FQP3" s="59"/>
      <c r="FQQ3" s="59"/>
      <c r="FQR3" s="59"/>
      <c r="FQS3" s="59"/>
      <c r="FQT3" s="59"/>
      <c r="FQU3" s="59"/>
      <c r="FQV3" s="59"/>
      <c r="FQW3" s="59"/>
      <c r="FQX3" s="59"/>
      <c r="FQY3" s="59"/>
      <c r="FQZ3" s="59"/>
      <c r="FRA3" s="59"/>
      <c r="FRB3" s="59"/>
      <c r="FRC3" s="59"/>
      <c r="FRD3" s="59"/>
      <c r="FRE3" s="59"/>
      <c r="FRF3" s="59"/>
      <c r="FRG3" s="59"/>
      <c r="FRH3" s="59"/>
      <c r="FRI3" s="59"/>
      <c r="FRJ3" s="59"/>
      <c r="FRK3" s="59"/>
      <c r="FRL3" s="59"/>
      <c r="FRM3" s="59"/>
      <c r="FRN3" s="59"/>
      <c r="FRO3" s="59"/>
      <c r="FRP3" s="59"/>
      <c r="FRQ3" s="59"/>
      <c r="FRR3" s="59"/>
      <c r="FRS3" s="59"/>
      <c r="FRT3" s="59"/>
      <c r="FRU3" s="59"/>
      <c r="FRV3" s="59"/>
      <c r="FRW3" s="59"/>
      <c r="FRX3" s="59"/>
      <c r="FRY3" s="59"/>
      <c r="FRZ3" s="59"/>
      <c r="FSA3" s="59"/>
      <c r="FSB3" s="59"/>
      <c r="FSC3" s="59"/>
      <c r="FSD3" s="59"/>
      <c r="FSE3" s="59"/>
      <c r="FSF3" s="59"/>
      <c r="FSG3" s="59"/>
      <c r="FSH3" s="59"/>
      <c r="FSI3" s="59"/>
      <c r="FSJ3" s="59"/>
      <c r="FSK3" s="59"/>
      <c r="FSL3" s="59"/>
      <c r="FSM3" s="59"/>
      <c r="FSN3" s="59"/>
      <c r="FSO3" s="59"/>
      <c r="FSP3" s="59"/>
      <c r="FSQ3" s="59"/>
      <c r="FSR3" s="59"/>
      <c r="FSS3" s="59"/>
      <c r="FST3" s="59"/>
      <c r="FSU3" s="59"/>
      <c r="FSV3" s="59"/>
      <c r="FSW3" s="59"/>
      <c r="FSX3" s="59"/>
      <c r="FSY3" s="59"/>
      <c r="FSZ3" s="59"/>
      <c r="FTA3" s="59"/>
      <c r="FTB3" s="59"/>
      <c r="FTC3" s="59"/>
      <c r="FTD3" s="59"/>
      <c r="FTE3" s="59"/>
      <c r="FTF3" s="59"/>
      <c r="FTG3" s="59"/>
      <c r="FTH3" s="59"/>
      <c r="FTI3" s="59"/>
      <c r="FTJ3" s="59"/>
      <c r="FTK3" s="59"/>
      <c r="FTL3" s="59"/>
      <c r="FTM3" s="59"/>
      <c r="FTN3" s="59"/>
      <c r="FTO3" s="59"/>
      <c r="FTP3" s="59"/>
      <c r="FTQ3" s="59"/>
      <c r="FTR3" s="59"/>
      <c r="FTS3" s="59"/>
      <c r="FTT3" s="59"/>
      <c r="FTU3" s="59"/>
      <c r="FTV3" s="59"/>
      <c r="FTW3" s="59"/>
      <c r="FTX3" s="59"/>
      <c r="FTY3" s="59"/>
      <c r="FTZ3" s="59"/>
      <c r="FUA3" s="59"/>
      <c r="FUB3" s="59"/>
      <c r="FUC3" s="59"/>
      <c r="FUD3" s="59"/>
      <c r="FUE3" s="59"/>
      <c r="FUF3" s="59"/>
      <c r="FUG3" s="59"/>
      <c r="FUH3" s="59"/>
      <c r="FUI3" s="59"/>
      <c r="FUJ3" s="59"/>
      <c r="FUK3" s="59"/>
      <c r="FUL3" s="59"/>
      <c r="FUM3" s="59"/>
      <c r="FUN3" s="59"/>
      <c r="FUO3" s="59"/>
      <c r="FUP3" s="59"/>
      <c r="FUQ3" s="59"/>
      <c r="FUR3" s="59"/>
      <c r="FUS3" s="59"/>
      <c r="FUT3" s="59"/>
      <c r="FUU3" s="59"/>
      <c r="FUV3" s="59"/>
      <c r="FUW3" s="59"/>
      <c r="FUX3" s="59"/>
      <c r="FUY3" s="59"/>
      <c r="FUZ3" s="59"/>
      <c r="FVA3" s="59"/>
      <c r="FVB3" s="59"/>
      <c r="FVC3" s="59"/>
      <c r="FVD3" s="59"/>
      <c r="FVE3" s="59"/>
      <c r="FVF3" s="59"/>
      <c r="FVG3" s="59"/>
      <c r="FVH3" s="59"/>
      <c r="FVI3" s="59"/>
      <c r="FVJ3" s="59"/>
      <c r="FVK3" s="59"/>
      <c r="FVL3" s="59"/>
      <c r="FVM3" s="59"/>
      <c r="FVN3" s="59"/>
      <c r="FVO3" s="59"/>
      <c r="FVP3" s="59"/>
      <c r="FVQ3" s="59"/>
      <c r="FVR3" s="59"/>
      <c r="FVS3" s="59"/>
      <c r="FVT3" s="59"/>
      <c r="FVU3" s="59"/>
      <c r="FVV3" s="59"/>
      <c r="FVW3" s="59"/>
      <c r="FVX3" s="59"/>
      <c r="FVY3" s="59"/>
      <c r="FVZ3" s="59"/>
      <c r="FWA3" s="59"/>
      <c r="FWB3" s="59"/>
      <c r="FWC3" s="59"/>
      <c r="FWD3" s="59"/>
      <c r="FWE3" s="59"/>
      <c r="FWF3" s="59"/>
      <c r="FWG3" s="59"/>
      <c r="FWH3" s="59"/>
      <c r="FWI3" s="59"/>
      <c r="FWJ3" s="59"/>
      <c r="FWK3" s="59"/>
      <c r="FWL3" s="59"/>
      <c r="FWM3" s="59"/>
      <c r="FWN3" s="59"/>
      <c r="FWO3" s="59"/>
      <c r="FWP3" s="59"/>
      <c r="FWQ3" s="59"/>
      <c r="FWR3" s="59"/>
      <c r="FWS3" s="59"/>
      <c r="FWT3" s="59"/>
      <c r="FWU3" s="59"/>
      <c r="FWV3" s="59"/>
      <c r="FWW3" s="59"/>
      <c r="FWX3" s="59"/>
      <c r="FWY3" s="59"/>
      <c r="FWZ3" s="59"/>
      <c r="FXA3" s="59"/>
      <c r="FXB3" s="59"/>
      <c r="FXC3" s="59"/>
      <c r="FXD3" s="59"/>
      <c r="FXE3" s="59"/>
      <c r="FXF3" s="59"/>
      <c r="FXG3" s="59"/>
      <c r="FXH3" s="59"/>
      <c r="FXI3" s="59"/>
      <c r="FXJ3" s="59"/>
      <c r="FXK3" s="59"/>
      <c r="FXL3" s="59"/>
      <c r="FXM3" s="59"/>
      <c r="FXN3" s="59"/>
      <c r="FXO3" s="59"/>
      <c r="FXP3" s="59"/>
      <c r="FXQ3" s="59"/>
      <c r="FXR3" s="59"/>
      <c r="FXS3" s="59"/>
      <c r="FXT3" s="59"/>
      <c r="FXU3" s="59"/>
      <c r="FXV3" s="59"/>
      <c r="FXW3" s="59"/>
      <c r="FXX3" s="59"/>
      <c r="FXY3" s="59"/>
      <c r="FXZ3" s="59"/>
      <c r="FYA3" s="59"/>
      <c r="FYB3" s="59"/>
      <c r="FYC3" s="59"/>
      <c r="FYD3" s="59"/>
      <c r="FYE3" s="59"/>
      <c r="FYF3" s="59"/>
      <c r="FYG3" s="59"/>
      <c r="FYH3" s="59"/>
      <c r="FYI3" s="59"/>
      <c r="FYJ3" s="59"/>
      <c r="FYK3" s="59"/>
      <c r="FYL3" s="59"/>
      <c r="FYM3" s="59"/>
      <c r="FYN3" s="59"/>
      <c r="FYO3" s="59"/>
      <c r="FYP3" s="59"/>
      <c r="FYQ3" s="59"/>
      <c r="FYR3" s="59"/>
      <c r="FYS3" s="59"/>
      <c r="FYT3" s="59"/>
      <c r="FYU3" s="59"/>
      <c r="FYV3" s="59"/>
      <c r="FYW3" s="59"/>
      <c r="FYX3" s="59"/>
      <c r="FYY3" s="59"/>
      <c r="FYZ3" s="59"/>
      <c r="FZA3" s="59"/>
      <c r="FZB3" s="59"/>
      <c r="FZC3" s="59"/>
      <c r="FZD3" s="59"/>
      <c r="FZE3" s="59"/>
      <c r="FZF3" s="59"/>
      <c r="FZG3" s="59"/>
      <c r="FZH3" s="59"/>
      <c r="FZI3" s="59"/>
      <c r="FZJ3" s="59"/>
      <c r="FZK3" s="59"/>
      <c r="FZL3" s="59"/>
      <c r="FZM3" s="59"/>
      <c r="FZN3" s="59"/>
      <c r="FZO3" s="59"/>
      <c r="FZP3" s="59"/>
      <c r="FZQ3" s="59"/>
      <c r="FZR3" s="59"/>
      <c r="FZS3" s="59"/>
      <c r="FZT3" s="59"/>
      <c r="FZU3" s="59"/>
      <c r="FZV3" s="59"/>
      <c r="FZW3" s="59"/>
      <c r="FZX3" s="59"/>
      <c r="FZY3" s="59"/>
      <c r="FZZ3" s="59"/>
      <c r="GAA3" s="59"/>
      <c r="GAB3" s="59"/>
      <c r="GAC3" s="59"/>
      <c r="GAD3" s="59"/>
      <c r="GAE3" s="59"/>
      <c r="GAF3" s="59"/>
      <c r="GAG3" s="59"/>
      <c r="GAH3" s="59"/>
      <c r="GAI3" s="59"/>
      <c r="GAJ3" s="59"/>
      <c r="GAK3" s="59"/>
      <c r="GAL3" s="59"/>
      <c r="GAM3" s="59"/>
      <c r="GAN3" s="59"/>
      <c r="GAO3" s="59"/>
      <c r="GAP3" s="59"/>
      <c r="GAQ3" s="59"/>
      <c r="GAR3" s="59"/>
      <c r="GAS3" s="59"/>
      <c r="GAT3" s="59"/>
      <c r="GAU3" s="59"/>
      <c r="GAV3" s="59"/>
      <c r="GAW3" s="59"/>
      <c r="GAX3" s="59"/>
      <c r="GAY3" s="59"/>
      <c r="GAZ3" s="59"/>
      <c r="GBA3" s="59"/>
      <c r="GBB3" s="59"/>
      <c r="GBC3" s="59"/>
      <c r="GBD3" s="59"/>
      <c r="GBE3" s="59"/>
      <c r="GBF3" s="59"/>
      <c r="GBG3" s="59"/>
      <c r="GBH3" s="59"/>
      <c r="GBI3" s="59"/>
      <c r="GBJ3" s="59"/>
      <c r="GBK3" s="59"/>
      <c r="GBL3" s="59"/>
      <c r="GBM3" s="59"/>
      <c r="GBN3" s="59"/>
      <c r="GBO3" s="59"/>
      <c r="GBP3" s="59"/>
      <c r="GBQ3" s="59"/>
      <c r="GBR3" s="59"/>
      <c r="GBS3" s="59"/>
      <c r="GBT3" s="59"/>
      <c r="GBU3" s="59"/>
      <c r="GBV3" s="59"/>
      <c r="GBW3" s="59"/>
      <c r="GBX3" s="59"/>
      <c r="GBY3" s="59"/>
      <c r="GBZ3" s="59"/>
      <c r="GCA3" s="59"/>
      <c r="GCB3" s="59"/>
      <c r="GCC3" s="59"/>
      <c r="GCD3" s="59"/>
      <c r="GCE3" s="59"/>
      <c r="GCF3" s="59"/>
      <c r="GCG3" s="59"/>
      <c r="GCH3" s="59"/>
      <c r="GCI3" s="59"/>
      <c r="GCJ3" s="59"/>
      <c r="GCK3" s="59"/>
      <c r="GCL3" s="59"/>
      <c r="GCM3" s="59"/>
      <c r="GCN3" s="59"/>
      <c r="GCO3" s="59"/>
      <c r="GCP3" s="59"/>
      <c r="GCQ3" s="59"/>
      <c r="GCR3" s="59"/>
      <c r="GCS3" s="59"/>
      <c r="GCT3" s="59"/>
      <c r="GCU3" s="59"/>
      <c r="GCV3" s="59"/>
      <c r="GCW3" s="59"/>
      <c r="GCX3" s="59"/>
      <c r="GCY3" s="59"/>
      <c r="GCZ3" s="59"/>
      <c r="GDA3" s="59"/>
      <c r="GDB3" s="59"/>
      <c r="GDC3" s="59"/>
      <c r="GDD3" s="59"/>
      <c r="GDE3" s="59"/>
      <c r="GDF3" s="59"/>
      <c r="GDG3" s="59"/>
      <c r="GDH3" s="59"/>
      <c r="GDI3" s="59"/>
      <c r="GDJ3" s="59"/>
      <c r="GDK3" s="59"/>
      <c r="GDL3" s="59"/>
      <c r="GDM3" s="59"/>
      <c r="GDN3" s="59"/>
      <c r="GDO3" s="59"/>
      <c r="GDP3" s="59"/>
      <c r="GDQ3" s="59"/>
      <c r="GDR3" s="59"/>
      <c r="GDS3" s="59"/>
      <c r="GDT3" s="59"/>
      <c r="GDU3" s="59"/>
      <c r="GDV3" s="59"/>
      <c r="GDW3" s="59"/>
      <c r="GDX3" s="59"/>
      <c r="GDY3" s="59"/>
      <c r="GDZ3" s="59"/>
      <c r="GEA3" s="59"/>
      <c r="GEB3" s="59"/>
      <c r="GEC3" s="59"/>
      <c r="GED3" s="59"/>
      <c r="GEE3" s="59"/>
      <c r="GEF3" s="59"/>
      <c r="GEG3" s="59"/>
      <c r="GEH3" s="59"/>
      <c r="GEI3" s="59"/>
      <c r="GEJ3" s="59"/>
      <c r="GEK3" s="59"/>
      <c r="GEL3" s="59"/>
      <c r="GEM3" s="59"/>
      <c r="GEN3" s="59"/>
      <c r="GEO3" s="59"/>
      <c r="GEP3" s="59"/>
      <c r="GEQ3" s="59"/>
      <c r="GER3" s="59"/>
      <c r="GES3" s="59"/>
      <c r="GET3" s="59"/>
      <c r="GEU3" s="59"/>
      <c r="GEV3" s="59"/>
      <c r="GEW3" s="59"/>
      <c r="GEX3" s="59"/>
      <c r="GEY3" s="59"/>
      <c r="GEZ3" s="59"/>
      <c r="GFA3" s="59"/>
      <c r="GFB3" s="59"/>
      <c r="GFC3" s="59"/>
      <c r="GFD3" s="59"/>
      <c r="GFE3" s="59"/>
      <c r="GFF3" s="59"/>
      <c r="GFG3" s="59"/>
      <c r="GFH3" s="59"/>
      <c r="GFI3" s="59"/>
      <c r="GFJ3" s="59"/>
      <c r="GFK3" s="59"/>
      <c r="GFL3" s="59"/>
      <c r="GFM3" s="59"/>
      <c r="GFN3" s="59"/>
      <c r="GFO3" s="59"/>
      <c r="GFP3" s="59"/>
      <c r="GFQ3" s="59"/>
      <c r="GFR3" s="59"/>
      <c r="GFS3" s="59"/>
      <c r="GFT3" s="59"/>
      <c r="GFU3" s="59"/>
      <c r="GFV3" s="59"/>
      <c r="GFW3" s="59"/>
      <c r="GFX3" s="59"/>
      <c r="GFY3" s="59"/>
      <c r="GFZ3" s="59"/>
      <c r="GGA3" s="59"/>
      <c r="GGB3" s="59"/>
      <c r="GGC3" s="59"/>
      <c r="GGD3" s="59"/>
      <c r="GGE3" s="59"/>
      <c r="GGF3" s="59"/>
      <c r="GGG3" s="59"/>
      <c r="GGH3" s="59"/>
      <c r="GGI3" s="59"/>
      <c r="GGJ3" s="59"/>
      <c r="GGK3" s="59"/>
      <c r="GGL3" s="59"/>
      <c r="GGM3" s="59"/>
      <c r="GGN3" s="59"/>
      <c r="GGO3" s="59"/>
      <c r="GGP3" s="59"/>
      <c r="GGQ3" s="59"/>
      <c r="GGR3" s="59"/>
      <c r="GGS3" s="59"/>
      <c r="GGT3" s="59"/>
      <c r="GGU3" s="59"/>
      <c r="GGV3" s="59"/>
      <c r="GGW3" s="59"/>
      <c r="GGX3" s="59"/>
      <c r="GGY3" s="59"/>
      <c r="GGZ3" s="59"/>
      <c r="GHA3" s="59"/>
      <c r="GHB3" s="59"/>
      <c r="GHC3" s="59"/>
      <c r="GHD3" s="59"/>
      <c r="GHE3" s="59"/>
      <c r="GHF3" s="59"/>
      <c r="GHG3" s="59"/>
      <c r="GHH3" s="59"/>
      <c r="GHI3" s="59"/>
      <c r="GHJ3" s="59"/>
      <c r="GHK3" s="59"/>
      <c r="GHL3" s="59"/>
      <c r="GHM3" s="59"/>
      <c r="GHN3" s="59"/>
      <c r="GHO3" s="59"/>
      <c r="GHP3" s="59"/>
      <c r="GHQ3" s="59"/>
      <c r="GHR3" s="59"/>
      <c r="GHS3" s="59"/>
      <c r="GHT3" s="59"/>
      <c r="GHU3" s="59"/>
      <c r="GHV3" s="59"/>
      <c r="GHW3" s="59"/>
      <c r="GHX3" s="59"/>
      <c r="GHY3" s="59"/>
      <c r="GHZ3" s="59"/>
      <c r="GIA3" s="59"/>
      <c r="GIB3" s="59"/>
      <c r="GIC3" s="59"/>
      <c r="GID3" s="59"/>
      <c r="GIE3" s="59"/>
      <c r="GIF3" s="59"/>
      <c r="GIG3" s="59"/>
      <c r="GIH3" s="59"/>
      <c r="GII3" s="59"/>
      <c r="GIJ3" s="59"/>
      <c r="GIK3" s="59"/>
      <c r="GIL3" s="59"/>
      <c r="GIM3" s="59"/>
      <c r="GIN3" s="59"/>
      <c r="GIO3" s="59"/>
      <c r="GIP3" s="59"/>
      <c r="GIQ3" s="59"/>
      <c r="GIR3" s="59"/>
      <c r="GIS3" s="59"/>
      <c r="GIT3" s="59"/>
      <c r="GIU3" s="59"/>
      <c r="GIV3" s="59"/>
      <c r="GIW3" s="59"/>
      <c r="GIX3" s="59"/>
      <c r="GIY3" s="59"/>
      <c r="GIZ3" s="59"/>
      <c r="GJA3" s="59"/>
      <c r="GJB3" s="59"/>
      <c r="GJC3" s="59"/>
      <c r="GJD3" s="59"/>
      <c r="GJE3" s="59"/>
      <c r="GJF3" s="59"/>
      <c r="GJG3" s="59"/>
      <c r="GJH3" s="59"/>
      <c r="GJI3" s="59"/>
      <c r="GJJ3" s="59"/>
      <c r="GJK3" s="59"/>
      <c r="GJL3" s="59"/>
      <c r="GJM3" s="59"/>
      <c r="GJN3" s="59"/>
      <c r="GJO3" s="59"/>
      <c r="GJP3" s="59"/>
      <c r="GJQ3" s="59"/>
      <c r="GJR3" s="59"/>
      <c r="GJS3" s="59"/>
      <c r="GJT3" s="59"/>
      <c r="GJU3" s="59"/>
      <c r="GJV3" s="59"/>
      <c r="GJW3" s="59"/>
      <c r="GJX3" s="59"/>
      <c r="GJY3" s="59"/>
      <c r="GJZ3" s="59"/>
      <c r="GKA3" s="59"/>
      <c r="GKB3" s="59"/>
      <c r="GKC3" s="59"/>
      <c r="GKD3" s="59"/>
      <c r="GKE3" s="59"/>
      <c r="GKF3" s="59"/>
      <c r="GKG3" s="59"/>
      <c r="GKH3" s="59"/>
      <c r="GKI3" s="59"/>
      <c r="GKJ3" s="59"/>
      <c r="GKK3" s="59"/>
      <c r="GKL3" s="59"/>
      <c r="GKM3" s="59"/>
      <c r="GKN3" s="59"/>
      <c r="GKO3" s="59"/>
      <c r="GKP3" s="59"/>
      <c r="GKQ3" s="59"/>
      <c r="GKR3" s="59"/>
      <c r="GKS3" s="59"/>
      <c r="GKT3" s="59"/>
      <c r="GKU3" s="59"/>
      <c r="GKV3" s="59"/>
      <c r="GKW3" s="59"/>
      <c r="GKX3" s="59"/>
      <c r="GKY3" s="59"/>
      <c r="GKZ3" s="59"/>
      <c r="GLA3" s="59"/>
      <c r="GLB3" s="59"/>
      <c r="GLC3" s="59"/>
      <c r="GLD3" s="59"/>
      <c r="GLE3" s="59"/>
      <c r="GLF3" s="59"/>
      <c r="GLG3" s="59"/>
      <c r="GLH3" s="59"/>
      <c r="GLI3" s="59"/>
      <c r="GLJ3" s="59"/>
      <c r="GLK3" s="59"/>
      <c r="GLL3" s="59"/>
      <c r="GLM3" s="59"/>
      <c r="GLN3" s="59"/>
      <c r="GLO3" s="59"/>
      <c r="GLP3" s="59"/>
      <c r="GLQ3" s="59"/>
      <c r="GLR3" s="59"/>
      <c r="GLS3" s="59"/>
      <c r="GLT3" s="59"/>
      <c r="GLU3" s="59"/>
      <c r="GLV3" s="59"/>
      <c r="GLW3" s="59"/>
      <c r="GLX3" s="59"/>
      <c r="GLY3" s="59"/>
      <c r="GLZ3" s="59"/>
      <c r="GMA3" s="59"/>
      <c r="GMB3" s="59"/>
      <c r="GMC3" s="59"/>
      <c r="GMD3" s="59"/>
      <c r="GME3" s="59"/>
      <c r="GMF3" s="59"/>
      <c r="GMG3" s="59"/>
      <c r="GMH3" s="59"/>
      <c r="GMI3" s="59"/>
      <c r="GMJ3" s="59"/>
      <c r="GMK3" s="59"/>
      <c r="GML3" s="59"/>
      <c r="GMM3" s="59"/>
      <c r="GMN3" s="59"/>
      <c r="GMO3" s="59"/>
      <c r="GMP3" s="59"/>
      <c r="GMQ3" s="59"/>
      <c r="GMR3" s="59"/>
      <c r="GMS3" s="59"/>
      <c r="GMT3" s="59"/>
      <c r="GMU3" s="59"/>
      <c r="GMV3" s="59"/>
      <c r="GMW3" s="59"/>
      <c r="GMX3" s="59"/>
      <c r="GMY3" s="59"/>
      <c r="GMZ3" s="59"/>
      <c r="GNA3" s="59"/>
      <c r="GNB3" s="59"/>
      <c r="GNC3" s="59"/>
      <c r="GND3" s="59"/>
      <c r="GNE3" s="59"/>
      <c r="GNF3" s="59"/>
      <c r="GNG3" s="59"/>
      <c r="GNH3" s="59"/>
      <c r="GNI3" s="59"/>
      <c r="GNJ3" s="59"/>
      <c r="GNK3" s="59"/>
      <c r="GNL3" s="59"/>
      <c r="GNM3" s="59"/>
      <c r="GNN3" s="59"/>
      <c r="GNO3" s="59"/>
      <c r="GNP3" s="59"/>
      <c r="GNQ3" s="59"/>
      <c r="GNR3" s="59"/>
      <c r="GNS3" s="59"/>
      <c r="GNT3" s="59"/>
      <c r="GNU3" s="59"/>
      <c r="GNV3" s="59"/>
      <c r="GNW3" s="59"/>
      <c r="GNX3" s="59"/>
      <c r="GNY3" s="59"/>
      <c r="GNZ3" s="59"/>
      <c r="GOA3" s="59"/>
      <c r="GOB3" s="59"/>
      <c r="GOC3" s="59"/>
      <c r="GOD3" s="59"/>
      <c r="GOE3" s="59"/>
      <c r="GOF3" s="59"/>
      <c r="GOG3" s="59"/>
      <c r="GOH3" s="59"/>
      <c r="GOI3" s="59"/>
      <c r="GOJ3" s="59"/>
      <c r="GOK3" s="59"/>
      <c r="GOL3" s="59"/>
      <c r="GOM3" s="59"/>
      <c r="GON3" s="59"/>
      <c r="GOO3" s="59"/>
      <c r="GOP3" s="59"/>
      <c r="GOQ3" s="59"/>
      <c r="GOR3" s="59"/>
      <c r="GOS3" s="59"/>
      <c r="GOT3" s="59"/>
      <c r="GOU3" s="59"/>
      <c r="GOV3" s="59"/>
      <c r="GOW3" s="59"/>
      <c r="GOX3" s="59"/>
      <c r="GOY3" s="59"/>
      <c r="GOZ3" s="59"/>
      <c r="GPA3" s="59"/>
      <c r="GPB3" s="59"/>
      <c r="GPC3" s="59"/>
      <c r="GPD3" s="59"/>
      <c r="GPE3" s="59"/>
      <c r="GPF3" s="59"/>
      <c r="GPG3" s="59"/>
      <c r="GPH3" s="59"/>
      <c r="GPI3" s="59"/>
      <c r="GPJ3" s="59"/>
      <c r="GPK3" s="59"/>
      <c r="GPL3" s="59"/>
      <c r="GPM3" s="59"/>
      <c r="GPN3" s="59"/>
      <c r="GPO3" s="59"/>
      <c r="GPP3" s="59"/>
      <c r="GPQ3" s="59"/>
      <c r="GPR3" s="59"/>
      <c r="GPS3" s="59"/>
      <c r="GPT3" s="59"/>
      <c r="GPU3" s="59"/>
      <c r="GPV3" s="59"/>
      <c r="GPW3" s="59"/>
      <c r="GPX3" s="59"/>
      <c r="GPY3" s="59"/>
      <c r="GPZ3" s="59"/>
      <c r="GQA3" s="59"/>
      <c r="GQB3" s="59"/>
      <c r="GQC3" s="59"/>
      <c r="GQD3" s="59"/>
      <c r="GQE3" s="59"/>
      <c r="GQF3" s="59"/>
      <c r="GQG3" s="59"/>
      <c r="GQH3" s="59"/>
      <c r="GQI3" s="59"/>
      <c r="GQJ3" s="59"/>
      <c r="GQK3" s="59"/>
      <c r="GQL3" s="59"/>
      <c r="GQM3" s="59"/>
      <c r="GQN3" s="59"/>
      <c r="GQO3" s="59"/>
      <c r="GQP3" s="59"/>
      <c r="GQQ3" s="59"/>
      <c r="GQR3" s="59"/>
      <c r="GQS3" s="59"/>
      <c r="GQT3" s="59"/>
      <c r="GQU3" s="59"/>
      <c r="GQV3" s="59"/>
      <c r="GQW3" s="59"/>
      <c r="GQX3" s="59"/>
      <c r="GQY3" s="59"/>
      <c r="GQZ3" s="59"/>
      <c r="GRA3" s="59"/>
      <c r="GRB3" s="59"/>
      <c r="GRC3" s="59"/>
      <c r="GRD3" s="59"/>
      <c r="GRE3" s="59"/>
      <c r="GRF3" s="59"/>
      <c r="GRG3" s="59"/>
      <c r="GRH3" s="59"/>
      <c r="GRI3" s="59"/>
      <c r="GRJ3" s="59"/>
      <c r="GRK3" s="59"/>
      <c r="GRL3" s="59"/>
      <c r="GRM3" s="59"/>
      <c r="GRN3" s="59"/>
      <c r="GRO3" s="59"/>
      <c r="GRP3" s="59"/>
      <c r="GRQ3" s="59"/>
      <c r="GRR3" s="59"/>
      <c r="GRS3" s="59"/>
      <c r="GRT3" s="59"/>
      <c r="GRU3" s="59"/>
      <c r="GRV3" s="59"/>
      <c r="GRW3" s="59"/>
      <c r="GRX3" s="59"/>
      <c r="GRY3" s="59"/>
      <c r="GRZ3" s="59"/>
      <c r="GSA3" s="59"/>
      <c r="GSB3" s="59"/>
      <c r="GSC3" s="59"/>
      <c r="GSD3" s="59"/>
      <c r="GSE3" s="59"/>
      <c r="GSF3" s="59"/>
      <c r="GSG3" s="59"/>
      <c r="GSH3" s="59"/>
      <c r="GSI3" s="59"/>
      <c r="GSJ3" s="59"/>
      <c r="GSK3" s="59"/>
      <c r="GSL3" s="59"/>
      <c r="GSM3" s="59"/>
      <c r="GSN3" s="59"/>
      <c r="GSO3" s="59"/>
      <c r="GSP3" s="59"/>
      <c r="GSQ3" s="59"/>
      <c r="GSR3" s="59"/>
      <c r="GSS3" s="59"/>
      <c r="GST3" s="59"/>
      <c r="GSU3" s="59"/>
      <c r="GSV3" s="59"/>
      <c r="GSW3" s="59"/>
      <c r="GSX3" s="59"/>
      <c r="GSY3" s="59"/>
      <c r="GSZ3" s="59"/>
      <c r="GTA3" s="59"/>
      <c r="GTB3" s="59"/>
      <c r="GTC3" s="59"/>
      <c r="GTD3" s="59"/>
      <c r="GTE3" s="59"/>
      <c r="GTF3" s="59"/>
      <c r="GTG3" s="59"/>
      <c r="GTH3" s="59"/>
      <c r="GTI3" s="59"/>
      <c r="GTJ3" s="59"/>
      <c r="GTK3" s="59"/>
      <c r="GTL3" s="59"/>
      <c r="GTM3" s="59"/>
      <c r="GTN3" s="59"/>
      <c r="GTO3" s="59"/>
      <c r="GTP3" s="59"/>
      <c r="GTQ3" s="59"/>
      <c r="GTR3" s="59"/>
      <c r="GTS3" s="59"/>
      <c r="GTT3" s="59"/>
      <c r="GTU3" s="59"/>
      <c r="GTV3" s="59"/>
      <c r="GTW3" s="59"/>
      <c r="GTX3" s="59"/>
      <c r="GTY3" s="59"/>
      <c r="GTZ3" s="59"/>
      <c r="GUA3" s="59"/>
      <c r="GUB3" s="59"/>
      <c r="GUC3" s="59"/>
      <c r="GUD3" s="59"/>
      <c r="GUE3" s="59"/>
      <c r="GUF3" s="59"/>
      <c r="GUG3" s="59"/>
      <c r="GUH3" s="59"/>
      <c r="GUI3" s="59"/>
      <c r="GUJ3" s="59"/>
      <c r="GUK3" s="59"/>
      <c r="GUL3" s="59"/>
      <c r="GUM3" s="59"/>
      <c r="GUN3" s="59"/>
      <c r="GUO3" s="59"/>
      <c r="GUP3" s="59"/>
      <c r="GUQ3" s="59"/>
      <c r="GUR3" s="59"/>
      <c r="GUS3" s="59"/>
      <c r="GUT3" s="59"/>
      <c r="GUU3" s="59"/>
      <c r="GUV3" s="59"/>
      <c r="GUW3" s="59"/>
      <c r="GUX3" s="59"/>
      <c r="GUY3" s="59"/>
      <c r="GUZ3" s="59"/>
      <c r="GVA3" s="59"/>
      <c r="GVB3" s="59"/>
      <c r="GVC3" s="59"/>
      <c r="GVD3" s="59"/>
      <c r="GVE3" s="59"/>
      <c r="GVF3" s="59"/>
      <c r="GVG3" s="59"/>
      <c r="GVH3" s="59"/>
      <c r="GVI3" s="59"/>
      <c r="GVJ3" s="59"/>
      <c r="GVK3" s="59"/>
      <c r="GVL3" s="59"/>
      <c r="GVM3" s="59"/>
      <c r="GVN3" s="59"/>
      <c r="GVO3" s="59"/>
      <c r="GVP3" s="59"/>
      <c r="GVQ3" s="59"/>
      <c r="GVR3" s="59"/>
      <c r="GVS3" s="59"/>
      <c r="GVT3" s="59"/>
      <c r="GVU3" s="59"/>
      <c r="GVV3" s="59"/>
      <c r="GVW3" s="59"/>
      <c r="GVX3" s="59"/>
      <c r="GVY3" s="59"/>
      <c r="GVZ3" s="59"/>
      <c r="GWA3" s="59"/>
      <c r="GWB3" s="59"/>
      <c r="GWC3" s="59"/>
      <c r="GWD3" s="59"/>
      <c r="GWE3" s="59"/>
      <c r="GWF3" s="59"/>
      <c r="GWG3" s="59"/>
      <c r="GWH3" s="59"/>
      <c r="GWI3" s="59"/>
      <c r="GWJ3" s="59"/>
      <c r="GWK3" s="59"/>
      <c r="GWL3" s="59"/>
      <c r="GWM3" s="59"/>
      <c r="GWN3" s="59"/>
      <c r="GWO3" s="59"/>
      <c r="GWP3" s="59"/>
      <c r="GWQ3" s="59"/>
      <c r="GWR3" s="59"/>
      <c r="GWS3" s="59"/>
      <c r="GWT3" s="59"/>
      <c r="GWU3" s="59"/>
      <c r="GWV3" s="59"/>
      <c r="GWW3" s="59"/>
      <c r="GWX3" s="59"/>
      <c r="GWY3" s="59"/>
      <c r="GWZ3" s="59"/>
      <c r="GXA3" s="59"/>
      <c r="GXB3" s="59"/>
      <c r="GXC3" s="59"/>
      <c r="GXD3" s="59"/>
      <c r="GXE3" s="59"/>
      <c r="GXF3" s="59"/>
      <c r="GXG3" s="59"/>
      <c r="GXH3" s="59"/>
      <c r="GXI3" s="59"/>
      <c r="GXJ3" s="59"/>
      <c r="GXK3" s="59"/>
      <c r="GXL3" s="59"/>
      <c r="GXM3" s="59"/>
      <c r="GXN3" s="59"/>
      <c r="GXO3" s="59"/>
      <c r="GXP3" s="59"/>
      <c r="GXQ3" s="59"/>
      <c r="GXR3" s="59"/>
      <c r="GXS3" s="59"/>
      <c r="GXT3" s="59"/>
      <c r="GXU3" s="59"/>
      <c r="GXV3" s="59"/>
      <c r="GXW3" s="59"/>
      <c r="GXX3" s="59"/>
      <c r="GXY3" s="59"/>
      <c r="GXZ3" s="59"/>
      <c r="GYA3" s="59"/>
      <c r="GYB3" s="59"/>
      <c r="GYC3" s="59"/>
      <c r="GYD3" s="59"/>
      <c r="GYE3" s="59"/>
      <c r="GYF3" s="59"/>
      <c r="GYG3" s="59"/>
      <c r="GYH3" s="59"/>
      <c r="GYI3" s="59"/>
      <c r="GYJ3" s="59"/>
      <c r="GYK3" s="59"/>
      <c r="GYL3" s="59"/>
      <c r="GYM3" s="59"/>
      <c r="GYN3" s="59"/>
      <c r="GYO3" s="59"/>
      <c r="GYP3" s="59"/>
      <c r="GYQ3" s="59"/>
      <c r="GYR3" s="59"/>
      <c r="GYS3" s="59"/>
      <c r="GYT3" s="59"/>
      <c r="GYU3" s="59"/>
      <c r="GYV3" s="59"/>
      <c r="GYW3" s="59"/>
      <c r="GYX3" s="59"/>
      <c r="GYY3" s="59"/>
      <c r="GYZ3" s="59"/>
      <c r="GZA3" s="59"/>
      <c r="GZB3" s="59"/>
      <c r="GZC3" s="59"/>
      <c r="GZD3" s="59"/>
      <c r="GZE3" s="59"/>
      <c r="GZF3" s="59"/>
      <c r="GZG3" s="59"/>
      <c r="GZH3" s="59"/>
      <c r="GZI3" s="59"/>
      <c r="GZJ3" s="59"/>
      <c r="GZK3" s="59"/>
      <c r="GZL3" s="59"/>
      <c r="GZM3" s="59"/>
      <c r="GZN3" s="59"/>
      <c r="GZO3" s="59"/>
      <c r="GZP3" s="59"/>
      <c r="GZQ3" s="59"/>
      <c r="GZR3" s="59"/>
      <c r="GZS3" s="59"/>
      <c r="GZT3" s="59"/>
      <c r="GZU3" s="59"/>
      <c r="GZV3" s="59"/>
      <c r="GZW3" s="59"/>
      <c r="GZX3" s="59"/>
      <c r="GZY3" s="59"/>
      <c r="GZZ3" s="59"/>
      <c r="HAA3" s="59"/>
      <c r="HAB3" s="59"/>
      <c r="HAC3" s="59"/>
      <c r="HAD3" s="59"/>
      <c r="HAE3" s="59"/>
      <c r="HAF3" s="59"/>
      <c r="HAG3" s="59"/>
      <c r="HAH3" s="59"/>
      <c r="HAI3" s="59"/>
      <c r="HAJ3" s="59"/>
      <c r="HAK3" s="59"/>
      <c r="HAL3" s="59"/>
      <c r="HAM3" s="59"/>
      <c r="HAN3" s="59"/>
      <c r="HAO3" s="59"/>
      <c r="HAP3" s="59"/>
      <c r="HAQ3" s="59"/>
      <c r="HAR3" s="59"/>
      <c r="HAS3" s="59"/>
      <c r="HAT3" s="59"/>
      <c r="HAU3" s="59"/>
      <c r="HAV3" s="59"/>
      <c r="HAW3" s="59"/>
      <c r="HAX3" s="59"/>
      <c r="HAY3" s="59"/>
      <c r="HAZ3" s="59"/>
      <c r="HBA3" s="59"/>
      <c r="HBB3" s="59"/>
      <c r="HBC3" s="59"/>
      <c r="HBD3" s="59"/>
      <c r="HBE3" s="59"/>
      <c r="HBF3" s="59"/>
      <c r="HBG3" s="59"/>
      <c r="HBH3" s="59"/>
      <c r="HBI3" s="59"/>
      <c r="HBJ3" s="59"/>
      <c r="HBK3" s="59"/>
      <c r="HBL3" s="59"/>
      <c r="HBM3" s="59"/>
      <c r="HBN3" s="59"/>
      <c r="HBO3" s="59"/>
      <c r="HBP3" s="59"/>
      <c r="HBQ3" s="59"/>
      <c r="HBR3" s="59"/>
      <c r="HBS3" s="59"/>
      <c r="HBT3" s="59"/>
      <c r="HBU3" s="59"/>
      <c r="HBV3" s="59"/>
      <c r="HBW3" s="59"/>
      <c r="HBX3" s="59"/>
      <c r="HBY3" s="59"/>
      <c r="HBZ3" s="59"/>
      <c r="HCA3" s="59"/>
      <c r="HCB3" s="59"/>
      <c r="HCC3" s="59"/>
      <c r="HCD3" s="59"/>
      <c r="HCE3" s="59"/>
      <c r="HCF3" s="59"/>
      <c r="HCG3" s="59"/>
      <c r="HCH3" s="59"/>
      <c r="HCI3" s="59"/>
      <c r="HCJ3" s="59"/>
      <c r="HCK3" s="59"/>
      <c r="HCL3" s="59"/>
      <c r="HCM3" s="59"/>
      <c r="HCN3" s="59"/>
      <c r="HCO3" s="59"/>
      <c r="HCP3" s="59"/>
      <c r="HCQ3" s="59"/>
      <c r="HCR3" s="59"/>
      <c r="HCS3" s="59"/>
      <c r="HCT3" s="59"/>
      <c r="HCU3" s="59"/>
      <c r="HCV3" s="59"/>
      <c r="HCW3" s="59"/>
      <c r="HCX3" s="59"/>
      <c r="HCY3" s="59"/>
      <c r="HCZ3" s="59"/>
      <c r="HDA3" s="59"/>
      <c r="HDB3" s="59"/>
      <c r="HDC3" s="59"/>
      <c r="HDD3" s="59"/>
      <c r="HDE3" s="59"/>
      <c r="HDF3" s="59"/>
      <c r="HDG3" s="59"/>
      <c r="HDH3" s="59"/>
      <c r="HDI3" s="59"/>
      <c r="HDJ3" s="59"/>
      <c r="HDK3" s="59"/>
      <c r="HDL3" s="59"/>
      <c r="HDM3" s="59"/>
      <c r="HDN3" s="59"/>
      <c r="HDO3" s="59"/>
      <c r="HDP3" s="59"/>
      <c r="HDQ3" s="59"/>
      <c r="HDR3" s="59"/>
      <c r="HDS3" s="59"/>
      <c r="HDT3" s="59"/>
      <c r="HDU3" s="59"/>
      <c r="HDV3" s="59"/>
      <c r="HDW3" s="59"/>
      <c r="HDX3" s="59"/>
      <c r="HDY3" s="59"/>
      <c r="HDZ3" s="59"/>
      <c r="HEA3" s="59"/>
      <c r="HEB3" s="59"/>
      <c r="HEC3" s="59"/>
      <c r="HED3" s="59"/>
      <c r="HEE3" s="59"/>
      <c r="HEF3" s="59"/>
      <c r="HEG3" s="59"/>
      <c r="HEH3" s="59"/>
      <c r="HEI3" s="59"/>
      <c r="HEJ3" s="59"/>
      <c r="HEK3" s="59"/>
      <c r="HEL3" s="59"/>
      <c r="HEM3" s="59"/>
      <c r="HEN3" s="59"/>
      <c r="HEO3" s="59"/>
      <c r="HEP3" s="59"/>
      <c r="HEQ3" s="59"/>
      <c r="HER3" s="59"/>
      <c r="HES3" s="59"/>
      <c r="HET3" s="59"/>
      <c r="HEU3" s="59"/>
      <c r="HEV3" s="59"/>
      <c r="HEW3" s="59"/>
      <c r="HEX3" s="59"/>
      <c r="HEY3" s="59"/>
      <c r="HEZ3" s="59"/>
      <c r="HFA3" s="59"/>
      <c r="HFB3" s="59"/>
      <c r="HFC3" s="59"/>
      <c r="HFD3" s="59"/>
      <c r="HFE3" s="59"/>
      <c r="HFF3" s="59"/>
      <c r="HFG3" s="59"/>
      <c r="HFH3" s="59"/>
      <c r="HFI3" s="59"/>
      <c r="HFJ3" s="59"/>
      <c r="HFK3" s="59"/>
      <c r="HFL3" s="59"/>
      <c r="HFM3" s="59"/>
      <c r="HFN3" s="59"/>
      <c r="HFO3" s="59"/>
      <c r="HFP3" s="59"/>
      <c r="HFQ3" s="59"/>
      <c r="HFR3" s="59"/>
      <c r="HFS3" s="59"/>
      <c r="HFT3" s="59"/>
      <c r="HFU3" s="59"/>
      <c r="HFV3" s="59"/>
      <c r="HFW3" s="59"/>
      <c r="HFX3" s="59"/>
      <c r="HFY3" s="59"/>
      <c r="HFZ3" s="59"/>
      <c r="HGA3" s="59"/>
      <c r="HGB3" s="59"/>
      <c r="HGC3" s="59"/>
      <c r="HGD3" s="59"/>
      <c r="HGE3" s="59"/>
      <c r="HGF3" s="59"/>
      <c r="HGG3" s="59"/>
      <c r="HGH3" s="59"/>
      <c r="HGI3" s="59"/>
      <c r="HGJ3" s="59"/>
      <c r="HGK3" s="59"/>
      <c r="HGL3" s="59"/>
      <c r="HGM3" s="59"/>
      <c r="HGN3" s="59"/>
      <c r="HGO3" s="59"/>
      <c r="HGP3" s="59"/>
      <c r="HGQ3" s="59"/>
      <c r="HGR3" s="59"/>
      <c r="HGS3" s="59"/>
      <c r="HGT3" s="59"/>
      <c r="HGU3" s="59"/>
      <c r="HGV3" s="59"/>
      <c r="HGW3" s="59"/>
      <c r="HGX3" s="59"/>
      <c r="HGY3" s="59"/>
      <c r="HGZ3" s="59"/>
      <c r="HHA3" s="59"/>
      <c r="HHB3" s="59"/>
      <c r="HHC3" s="59"/>
      <c r="HHD3" s="59"/>
      <c r="HHE3" s="59"/>
      <c r="HHF3" s="59"/>
      <c r="HHG3" s="59"/>
      <c r="HHH3" s="59"/>
      <c r="HHI3" s="59"/>
      <c r="HHJ3" s="59"/>
      <c r="HHK3" s="59"/>
      <c r="HHL3" s="59"/>
      <c r="HHM3" s="59"/>
      <c r="HHN3" s="59"/>
      <c r="HHO3" s="59"/>
      <c r="HHP3" s="59"/>
      <c r="HHQ3" s="59"/>
      <c r="HHR3" s="59"/>
      <c r="HHS3" s="59"/>
      <c r="HHT3" s="59"/>
      <c r="HHU3" s="59"/>
      <c r="HHV3" s="59"/>
      <c r="HHW3" s="59"/>
      <c r="HHX3" s="59"/>
      <c r="HHY3" s="59"/>
      <c r="HHZ3" s="59"/>
      <c r="HIA3" s="59"/>
      <c r="HIB3" s="59"/>
      <c r="HIC3" s="59"/>
      <c r="HID3" s="59"/>
      <c r="HIE3" s="59"/>
      <c r="HIF3" s="59"/>
      <c r="HIG3" s="59"/>
      <c r="HIH3" s="59"/>
      <c r="HII3" s="59"/>
      <c r="HIJ3" s="59"/>
      <c r="HIK3" s="59"/>
      <c r="HIL3" s="59"/>
      <c r="HIM3" s="59"/>
      <c r="HIN3" s="59"/>
      <c r="HIO3" s="59"/>
      <c r="HIP3" s="59"/>
      <c r="HIQ3" s="59"/>
      <c r="HIR3" s="59"/>
      <c r="HIS3" s="59"/>
      <c r="HIT3" s="59"/>
      <c r="HIU3" s="59"/>
      <c r="HIV3" s="59"/>
      <c r="HIW3" s="59"/>
      <c r="HIX3" s="59"/>
      <c r="HIY3" s="59"/>
      <c r="HIZ3" s="59"/>
      <c r="HJA3" s="59"/>
      <c r="HJB3" s="59"/>
      <c r="HJC3" s="59"/>
      <c r="HJD3" s="59"/>
      <c r="HJE3" s="59"/>
      <c r="HJF3" s="59"/>
      <c r="HJG3" s="59"/>
      <c r="HJH3" s="59"/>
      <c r="HJI3" s="59"/>
      <c r="HJJ3" s="59"/>
      <c r="HJK3" s="59"/>
      <c r="HJL3" s="59"/>
      <c r="HJM3" s="59"/>
      <c r="HJN3" s="59"/>
      <c r="HJO3" s="59"/>
      <c r="HJP3" s="59"/>
      <c r="HJQ3" s="59"/>
      <c r="HJR3" s="59"/>
      <c r="HJS3" s="59"/>
      <c r="HJT3" s="59"/>
      <c r="HJU3" s="59"/>
      <c r="HJV3" s="59"/>
      <c r="HJW3" s="59"/>
      <c r="HJX3" s="59"/>
      <c r="HJY3" s="59"/>
      <c r="HJZ3" s="59"/>
      <c r="HKA3" s="59"/>
      <c r="HKB3" s="59"/>
      <c r="HKC3" s="59"/>
      <c r="HKD3" s="59"/>
      <c r="HKE3" s="59"/>
      <c r="HKF3" s="59"/>
      <c r="HKG3" s="59"/>
      <c r="HKH3" s="59"/>
      <c r="HKI3" s="59"/>
      <c r="HKJ3" s="59"/>
      <c r="HKK3" s="59"/>
      <c r="HKL3" s="59"/>
      <c r="HKM3" s="59"/>
      <c r="HKN3" s="59"/>
      <c r="HKO3" s="59"/>
      <c r="HKP3" s="59"/>
      <c r="HKQ3" s="59"/>
      <c r="HKR3" s="59"/>
      <c r="HKS3" s="59"/>
      <c r="HKT3" s="59"/>
      <c r="HKU3" s="59"/>
      <c r="HKV3" s="59"/>
      <c r="HKW3" s="59"/>
      <c r="HKX3" s="59"/>
      <c r="HKY3" s="59"/>
      <c r="HKZ3" s="59"/>
      <c r="HLA3" s="59"/>
      <c r="HLB3" s="59"/>
      <c r="HLC3" s="59"/>
      <c r="HLD3" s="59"/>
      <c r="HLE3" s="59"/>
      <c r="HLF3" s="59"/>
      <c r="HLG3" s="59"/>
      <c r="HLH3" s="59"/>
      <c r="HLI3" s="59"/>
      <c r="HLJ3" s="59"/>
      <c r="HLK3" s="59"/>
      <c r="HLL3" s="59"/>
      <c r="HLM3" s="59"/>
      <c r="HLN3" s="59"/>
      <c r="HLO3" s="59"/>
      <c r="HLP3" s="59"/>
      <c r="HLQ3" s="59"/>
      <c r="HLR3" s="59"/>
      <c r="HLS3" s="59"/>
      <c r="HLT3" s="59"/>
      <c r="HLU3" s="59"/>
      <c r="HLV3" s="59"/>
      <c r="HLW3" s="59"/>
      <c r="HLX3" s="59"/>
      <c r="HLY3" s="59"/>
      <c r="HLZ3" s="59"/>
      <c r="HMA3" s="59"/>
      <c r="HMB3" s="59"/>
      <c r="HMC3" s="59"/>
      <c r="HMD3" s="59"/>
      <c r="HME3" s="59"/>
      <c r="HMF3" s="59"/>
      <c r="HMG3" s="59"/>
      <c r="HMH3" s="59"/>
      <c r="HMI3" s="59"/>
      <c r="HMJ3" s="59"/>
      <c r="HMK3" s="59"/>
      <c r="HML3" s="59"/>
      <c r="HMM3" s="59"/>
      <c r="HMN3" s="59"/>
      <c r="HMO3" s="59"/>
      <c r="HMP3" s="59"/>
      <c r="HMQ3" s="59"/>
      <c r="HMR3" s="59"/>
      <c r="HMS3" s="59"/>
      <c r="HMT3" s="59"/>
      <c r="HMU3" s="59"/>
      <c r="HMV3" s="59"/>
      <c r="HMW3" s="59"/>
      <c r="HMX3" s="59"/>
      <c r="HMY3" s="59"/>
      <c r="HMZ3" s="59"/>
      <c r="HNA3" s="59"/>
      <c r="HNB3" s="59"/>
      <c r="HNC3" s="59"/>
      <c r="HND3" s="59"/>
      <c r="HNE3" s="59"/>
      <c r="HNF3" s="59"/>
      <c r="HNG3" s="59"/>
      <c r="HNH3" s="59"/>
      <c r="HNI3" s="59"/>
      <c r="HNJ3" s="59"/>
      <c r="HNK3" s="59"/>
      <c r="HNL3" s="59"/>
      <c r="HNM3" s="59"/>
      <c r="HNN3" s="59"/>
      <c r="HNO3" s="59"/>
      <c r="HNP3" s="59"/>
      <c r="HNQ3" s="59"/>
      <c r="HNR3" s="59"/>
      <c r="HNS3" s="59"/>
      <c r="HNT3" s="59"/>
      <c r="HNU3" s="59"/>
      <c r="HNV3" s="59"/>
      <c r="HNW3" s="59"/>
      <c r="HNX3" s="59"/>
      <c r="HNY3" s="59"/>
      <c r="HNZ3" s="59"/>
      <c r="HOA3" s="59"/>
      <c r="HOB3" s="59"/>
      <c r="HOC3" s="59"/>
      <c r="HOD3" s="59"/>
      <c r="HOE3" s="59"/>
      <c r="HOF3" s="59"/>
      <c r="HOG3" s="59"/>
      <c r="HOH3" s="59"/>
      <c r="HOI3" s="59"/>
      <c r="HOJ3" s="59"/>
      <c r="HOK3" s="59"/>
      <c r="HOL3" s="59"/>
      <c r="HOM3" s="59"/>
      <c r="HON3" s="59"/>
      <c r="HOO3" s="59"/>
      <c r="HOP3" s="59"/>
      <c r="HOQ3" s="59"/>
      <c r="HOR3" s="59"/>
      <c r="HOS3" s="59"/>
      <c r="HOT3" s="59"/>
      <c r="HOU3" s="59"/>
      <c r="HOV3" s="59"/>
      <c r="HOW3" s="59"/>
      <c r="HOX3" s="59"/>
      <c r="HOY3" s="59"/>
      <c r="HOZ3" s="59"/>
      <c r="HPA3" s="59"/>
      <c r="HPB3" s="59"/>
      <c r="HPC3" s="59"/>
      <c r="HPD3" s="59"/>
      <c r="HPE3" s="59"/>
      <c r="HPF3" s="59"/>
      <c r="HPG3" s="59"/>
      <c r="HPH3" s="59"/>
      <c r="HPI3" s="59"/>
      <c r="HPJ3" s="59"/>
      <c r="HPK3" s="59"/>
      <c r="HPL3" s="59"/>
      <c r="HPM3" s="59"/>
      <c r="HPN3" s="59"/>
      <c r="HPO3" s="59"/>
      <c r="HPP3" s="59"/>
      <c r="HPQ3" s="59"/>
      <c r="HPR3" s="59"/>
      <c r="HPS3" s="59"/>
      <c r="HPT3" s="59"/>
      <c r="HPU3" s="59"/>
      <c r="HPV3" s="59"/>
      <c r="HPW3" s="59"/>
      <c r="HPX3" s="59"/>
      <c r="HPY3" s="59"/>
      <c r="HPZ3" s="59"/>
      <c r="HQA3" s="59"/>
      <c r="HQB3" s="59"/>
      <c r="HQC3" s="59"/>
      <c r="HQD3" s="59"/>
      <c r="HQE3" s="59"/>
      <c r="HQF3" s="59"/>
      <c r="HQG3" s="59"/>
      <c r="HQH3" s="59"/>
      <c r="HQI3" s="59"/>
      <c r="HQJ3" s="59"/>
      <c r="HQK3" s="59"/>
      <c r="HQL3" s="59"/>
      <c r="HQM3" s="59"/>
      <c r="HQN3" s="59"/>
      <c r="HQO3" s="59"/>
      <c r="HQP3" s="59"/>
      <c r="HQQ3" s="59"/>
      <c r="HQR3" s="59"/>
      <c r="HQS3" s="59"/>
      <c r="HQT3" s="59"/>
      <c r="HQU3" s="59"/>
      <c r="HQV3" s="59"/>
      <c r="HQW3" s="59"/>
      <c r="HQX3" s="59"/>
      <c r="HQY3" s="59"/>
      <c r="HQZ3" s="59"/>
      <c r="HRA3" s="59"/>
      <c r="HRB3" s="59"/>
      <c r="HRC3" s="59"/>
      <c r="HRD3" s="59"/>
      <c r="HRE3" s="59"/>
      <c r="HRF3" s="59"/>
      <c r="HRG3" s="59"/>
      <c r="HRH3" s="59"/>
      <c r="HRI3" s="59"/>
      <c r="HRJ3" s="59"/>
      <c r="HRK3" s="59"/>
      <c r="HRL3" s="59"/>
      <c r="HRM3" s="59"/>
      <c r="HRN3" s="59"/>
      <c r="HRO3" s="59"/>
      <c r="HRP3" s="59"/>
      <c r="HRQ3" s="59"/>
      <c r="HRR3" s="59"/>
      <c r="HRS3" s="59"/>
      <c r="HRT3" s="59"/>
      <c r="HRU3" s="59"/>
      <c r="HRV3" s="59"/>
      <c r="HRW3" s="59"/>
      <c r="HRX3" s="59"/>
      <c r="HRY3" s="59"/>
      <c r="HRZ3" s="59"/>
      <c r="HSA3" s="59"/>
      <c r="HSB3" s="59"/>
      <c r="HSC3" s="59"/>
      <c r="HSD3" s="59"/>
      <c r="HSE3" s="59"/>
      <c r="HSF3" s="59"/>
      <c r="HSG3" s="59"/>
      <c r="HSH3" s="59"/>
      <c r="HSI3" s="59"/>
      <c r="HSJ3" s="59"/>
      <c r="HSK3" s="59"/>
      <c r="HSL3" s="59"/>
      <c r="HSM3" s="59"/>
      <c r="HSN3" s="59"/>
      <c r="HSO3" s="59"/>
      <c r="HSP3" s="59"/>
      <c r="HSQ3" s="59"/>
      <c r="HSR3" s="59"/>
      <c r="HSS3" s="59"/>
      <c r="HST3" s="59"/>
      <c r="HSU3" s="59"/>
      <c r="HSV3" s="59"/>
      <c r="HSW3" s="59"/>
      <c r="HSX3" s="59"/>
      <c r="HSY3" s="59"/>
      <c r="HSZ3" s="59"/>
      <c r="HTA3" s="59"/>
      <c r="HTB3" s="59"/>
      <c r="HTC3" s="59"/>
      <c r="HTD3" s="59"/>
      <c r="HTE3" s="59"/>
      <c r="HTF3" s="59"/>
      <c r="HTG3" s="59"/>
      <c r="HTH3" s="59"/>
      <c r="HTI3" s="59"/>
      <c r="HTJ3" s="59"/>
      <c r="HTK3" s="59"/>
      <c r="HTL3" s="59"/>
      <c r="HTM3" s="59"/>
      <c r="HTN3" s="59"/>
      <c r="HTO3" s="59"/>
      <c r="HTP3" s="59"/>
      <c r="HTQ3" s="59"/>
      <c r="HTR3" s="59"/>
      <c r="HTS3" s="59"/>
      <c r="HTT3" s="59"/>
      <c r="HTU3" s="59"/>
      <c r="HTV3" s="59"/>
      <c r="HTW3" s="59"/>
      <c r="HTX3" s="59"/>
      <c r="HTY3" s="59"/>
      <c r="HTZ3" s="59"/>
      <c r="HUA3" s="59"/>
      <c r="HUB3" s="59"/>
      <c r="HUC3" s="59"/>
      <c r="HUD3" s="59"/>
      <c r="HUE3" s="59"/>
      <c r="HUF3" s="59"/>
      <c r="HUG3" s="59"/>
      <c r="HUH3" s="59"/>
      <c r="HUI3" s="59"/>
      <c r="HUJ3" s="59"/>
      <c r="HUK3" s="59"/>
      <c r="HUL3" s="59"/>
      <c r="HUM3" s="59"/>
      <c r="HUN3" s="59"/>
      <c r="HUO3" s="59"/>
      <c r="HUP3" s="59"/>
      <c r="HUQ3" s="59"/>
      <c r="HUR3" s="59"/>
      <c r="HUS3" s="59"/>
      <c r="HUT3" s="59"/>
      <c r="HUU3" s="59"/>
      <c r="HUV3" s="59"/>
      <c r="HUW3" s="59"/>
      <c r="HUX3" s="59"/>
      <c r="HUY3" s="59"/>
      <c r="HUZ3" s="59"/>
      <c r="HVA3" s="59"/>
      <c r="HVB3" s="59"/>
      <c r="HVC3" s="59"/>
      <c r="HVD3" s="59"/>
      <c r="HVE3" s="59"/>
      <c r="HVF3" s="59"/>
      <c r="HVG3" s="59"/>
      <c r="HVH3" s="59"/>
      <c r="HVI3" s="59"/>
      <c r="HVJ3" s="59"/>
      <c r="HVK3" s="59"/>
      <c r="HVL3" s="59"/>
      <c r="HVM3" s="59"/>
      <c r="HVN3" s="59"/>
      <c r="HVO3" s="59"/>
      <c r="HVP3" s="59"/>
      <c r="HVQ3" s="59"/>
      <c r="HVR3" s="59"/>
      <c r="HVS3" s="59"/>
      <c r="HVT3" s="59"/>
      <c r="HVU3" s="59"/>
      <c r="HVV3" s="59"/>
      <c r="HVW3" s="59"/>
      <c r="HVX3" s="59"/>
      <c r="HVY3" s="59"/>
      <c r="HVZ3" s="59"/>
      <c r="HWA3" s="59"/>
      <c r="HWB3" s="59"/>
      <c r="HWC3" s="59"/>
      <c r="HWD3" s="59"/>
      <c r="HWE3" s="59"/>
      <c r="HWF3" s="59"/>
      <c r="HWG3" s="59"/>
      <c r="HWH3" s="59"/>
      <c r="HWI3" s="59"/>
      <c r="HWJ3" s="59"/>
      <c r="HWK3" s="59"/>
      <c r="HWL3" s="59"/>
      <c r="HWM3" s="59"/>
      <c r="HWN3" s="59"/>
      <c r="HWO3" s="59"/>
      <c r="HWP3" s="59"/>
      <c r="HWQ3" s="59"/>
      <c r="HWR3" s="59"/>
      <c r="HWS3" s="59"/>
      <c r="HWT3" s="59"/>
      <c r="HWU3" s="59"/>
      <c r="HWV3" s="59"/>
      <c r="HWW3" s="59"/>
      <c r="HWX3" s="59"/>
      <c r="HWY3" s="59"/>
      <c r="HWZ3" s="59"/>
      <c r="HXA3" s="59"/>
      <c r="HXB3" s="59"/>
      <c r="HXC3" s="59"/>
      <c r="HXD3" s="59"/>
      <c r="HXE3" s="59"/>
      <c r="HXF3" s="59"/>
      <c r="HXG3" s="59"/>
      <c r="HXH3" s="59"/>
      <c r="HXI3" s="59"/>
      <c r="HXJ3" s="59"/>
      <c r="HXK3" s="59"/>
      <c r="HXL3" s="59"/>
      <c r="HXM3" s="59"/>
      <c r="HXN3" s="59"/>
      <c r="HXO3" s="59"/>
      <c r="HXP3" s="59"/>
      <c r="HXQ3" s="59"/>
      <c r="HXR3" s="59"/>
      <c r="HXS3" s="59"/>
      <c r="HXT3" s="59"/>
      <c r="HXU3" s="59"/>
      <c r="HXV3" s="59"/>
      <c r="HXW3" s="59"/>
      <c r="HXX3" s="59"/>
      <c r="HXY3" s="59"/>
      <c r="HXZ3" s="59"/>
      <c r="HYA3" s="59"/>
      <c r="HYB3" s="59"/>
      <c r="HYC3" s="59"/>
      <c r="HYD3" s="59"/>
      <c r="HYE3" s="59"/>
      <c r="HYF3" s="59"/>
      <c r="HYG3" s="59"/>
      <c r="HYH3" s="59"/>
      <c r="HYI3" s="59"/>
      <c r="HYJ3" s="59"/>
      <c r="HYK3" s="59"/>
      <c r="HYL3" s="59"/>
      <c r="HYM3" s="59"/>
      <c r="HYN3" s="59"/>
      <c r="HYO3" s="59"/>
      <c r="HYP3" s="59"/>
      <c r="HYQ3" s="59"/>
      <c r="HYR3" s="59"/>
      <c r="HYS3" s="59"/>
      <c r="HYT3" s="59"/>
      <c r="HYU3" s="59"/>
      <c r="HYV3" s="59"/>
      <c r="HYW3" s="59"/>
      <c r="HYX3" s="59"/>
      <c r="HYY3" s="59"/>
      <c r="HYZ3" s="59"/>
      <c r="HZA3" s="59"/>
      <c r="HZB3" s="59"/>
      <c r="HZC3" s="59"/>
      <c r="HZD3" s="59"/>
      <c r="HZE3" s="59"/>
      <c r="HZF3" s="59"/>
      <c r="HZG3" s="59"/>
      <c r="HZH3" s="59"/>
      <c r="HZI3" s="59"/>
      <c r="HZJ3" s="59"/>
      <c r="HZK3" s="59"/>
      <c r="HZL3" s="59"/>
      <c r="HZM3" s="59"/>
      <c r="HZN3" s="59"/>
      <c r="HZO3" s="59"/>
      <c r="HZP3" s="59"/>
      <c r="HZQ3" s="59"/>
      <c r="HZR3" s="59"/>
      <c r="HZS3" s="59"/>
      <c r="HZT3" s="59"/>
      <c r="HZU3" s="59"/>
      <c r="HZV3" s="59"/>
      <c r="HZW3" s="59"/>
      <c r="HZX3" s="59"/>
      <c r="HZY3" s="59"/>
      <c r="HZZ3" s="59"/>
      <c r="IAA3" s="59"/>
      <c r="IAB3" s="59"/>
      <c r="IAC3" s="59"/>
      <c r="IAD3" s="59"/>
      <c r="IAE3" s="59"/>
      <c r="IAF3" s="59"/>
      <c r="IAG3" s="59"/>
      <c r="IAH3" s="59"/>
      <c r="IAI3" s="59"/>
      <c r="IAJ3" s="59"/>
      <c r="IAK3" s="59"/>
      <c r="IAL3" s="59"/>
      <c r="IAM3" s="59"/>
      <c r="IAN3" s="59"/>
      <c r="IAO3" s="59"/>
      <c r="IAP3" s="59"/>
      <c r="IAQ3" s="59"/>
      <c r="IAR3" s="59"/>
      <c r="IAS3" s="59"/>
      <c r="IAT3" s="59"/>
      <c r="IAU3" s="59"/>
      <c r="IAV3" s="59"/>
      <c r="IAW3" s="59"/>
      <c r="IAX3" s="59"/>
      <c r="IAY3" s="59"/>
      <c r="IAZ3" s="59"/>
      <c r="IBA3" s="59"/>
      <c r="IBB3" s="59"/>
      <c r="IBC3" s="59"/>
      <c r="IBD3" s="59"/>
      <c r="IBE3" s="59"/>
      <c r="IBF3" s="59"/>
      <c r="IBG3" s="59"/>
      <c r="IBH3" s="59"/>
      <c r="IBI3" s="59"/>
      <c r="IBJ3" s="59"/>
      <c r="IBK3" s="59"/>
      <c r="IBL3" s="59"/>
      <c r="IBM3" s="59"/>
      <c r="IBN3" s="59"/>
      <c r="IBO3" s="59"/>
      <c r="IBP3" s="59"/>
      <c r="IBQ3" s="59"/>
      <c r="IBR3" s="59"/>
      <c r="IBS3" s="59"/>
      <c r="IBT3" s="59"/>
      <c r="IBU3" s="59"/>
      <c r="IBV3" s="59"/>
      <c r="IBW3" s="59"/>
      <c r="IBX3" s="59"/>
      <c r="IBY3" s="59"/>
      <c r="IBZ3" s="59"/>
      <c r="ICA3" s="59"/>
      <c r="ICB3" s="59"/>
      <c r="ICC3" s="59"/>
      <c r="ICD3" s="59"/>
      <c r="ICE3" s="59"/>
      <c r="ICF3" s="59"/>
      <c r="ICG3" s="59"/>
      <c r="ICH3" s="59"/>
      <c r="ICI3" s="59"/>
      <c r="ICJ3" s="59"/>
      <c r="ICK3" s="59"/>
      <c r="ICL3" s="59"/>
      <c r="ICM3" s="59"/>
      <c r="ICN3" s="59"/>
      <c r="ICO3" s="59"/>
      <c r="ICP3" s="59"/>
      <c r="ICQ3" s="59"/>
      <c r="ICR3" s="59"/>
      <c r="ICS3" s="59"/>
      <c r="ICT3" s="59"/>
      <c r="ICU3" s="59"/>
      <c r="ICV3" s="59"/>
      <c r="ICW3" s="59"/>
      <c r="ICX3" s="59"/>
      <c r="ICY3" s="59"/>
      <c r="ICZ3" s="59"/>
      <c r="IDA3" s="59"/>
      <c r="IDB3" s="59"/>
      <c r="IDC3" s="59"/>
      <c r="IDD3" s="59"/>
      <c r="IDE3" s="59"/>
      <c r="IDF3" s="59"/>
      <c r="IDG3" s="59"/>
      <c r="IDH3" s="59"/>
      <c r="IDI3" s="59"/>
      <c r="IDJ3" s="59"/>
      <c r="IDK3" s="59"/>
      <c r="IDL3" s="59"/>
      <c r="IDM3" s="59"/>
      <c r="IDN3" s="59"/>
      <c r="IDO3" s="59"/>
      <c r="IDP3" s="59"/>
      <c r="IDQ3" s="59"/>
      <c r="IDR3" s="59"/>
      <c r="IDS3" s="59"/>
      <c r="IDT3" s="59"/>
      <c r="IDU3" s="59"/>
      <c r="IDV3" s="59"/>
      <c r="IDW3" s="59"/>
      <c r="IDX3" s="59"/>
      <c r="IDY3" s="59"/>
      <c r="IDZ3" s="59"/>
      <c r="IEA3" s="59"/>
      <c r="IEB3" s="59"/>
      <c r="IEC3" s="59"/>
      <c r="IED3" s="59"/>
      <c r="IEE3" s="59"/>
      <c r="IEF3" s="59"/>
      <c r="IEG3" s="59"/>
      <c r="IEH3" s="59"/>
      <c r="IEI3" s="59"/>
      <c r="IEJ3" s="59"/>
      <c r="IEK3" s="59"/>
      <c r="IEL3" s="59"/>
      <c r="IEM3" s="59"/>
      <c r="IEN3" s="59"/>
      <c r="IEO3" s="59"/>
      <c r="IEP3" s="59"/>
      <c r="IEQ3" s="59"/>
      <c r="IER3" s="59"/>
      <c r="IES3" s="59"/>
      <c r="IET3" s="59"/>
      <c r="IEU3" s="59"/>
      <c r="IEV3" s="59"/>
      <c r="IEW3" s="59"/>
      <c r="IEX3" s="59"/>
      <c r="IEY3" s="59"/>
      <c r="IEZ3" s="59"/>
      <c r="IFA3" s="59"/>
      <c r="IFB3" s="59"/>
      <c r="IFC3" s="59"/>
      <c r="IFD3" s="59"/>
      <c r="IFE3" s="59"/>
      <c r="IFF3" s="59"/>
      <c r="IFG3" s="59"/>
      <c r="IFH3" s="59"/>
      <c r="IFI3" s="59"/>
      <c r="IFJ3" s="59"/>
      <c r="IFK3" s="59"/>
      <c r="IFL3" s="59"/>
      <c r="IFM3" s="59"/>
      <c r="IFN3" s="59"/>
      <c r="IFO3" s="59"/>
      <c r="IFP3" s="59"/>
      <c r="IFQ3" s="59"/>
      <c r="IFR3" s="59"/>
      <c r="IFS3" s="59"/>
      <c r="IFT3" s="59"/>
      <c r="IFU3" s="59"/>
      <c r="IFV3" s="59"/>
      <c r="IFW3" s="59"/>
      <c r="IFX3" s="59"/>
      <c r="IFY3" s="59"/>
      <c r="IFZ3" s="59"/>
      <c r="IGA3" s="59"/>
      <c r="IGB3" s="59"/>
      <c r="IGC3" s="59"/>
      <c r="IGD3" s="59"/>
      <c r="IGE3" s="59"/>
      <c r="IGF3" s="59"/>
      <c r="IGG3" s="59"/>
      <c r="IGH3" s="59"/>
      <c r="IGI3" s="59"/>
      <c r="IGJ3" s="59"/>
      <c r="IGK3" s="59"/>
      <c r="IGL3" s="59"/>
      <c r="IGM3" s="59"/>
      <c r="IGN3" s="59"/>
      <c r="IGO3" s="59"/>
      <c r="IGP3" s="59"/>
      <c r="IGQ3" s="59"/>
      <c r="IGR3" s="59"/>
      <c r="IGS3" s="59"/>
      <c r="IGT3" s="59"/>
      <c r="IGU3" s="59"/>
      <c r="IGV3" s="59"/>
      <c r="IGW3" s="59"/>
      <c r="IGX3" s="59"/>
      <c r="IGY3" s="59"/>
      <c r="IGZ3" s="59"/>
      <c r="IHA3" s="59"/>
      <c r="IHB3" s="59"/>
      <c r="IHC3" s="59"/>
      <c r="IHD3" s="59"/>
      <c r="IHE3" s="59"/>
      <c r="IHF3" s="59"/>
      <c r="IHG3" s="59"/>
      <c r="IHH3" s="59"/>
      <c r="IHI3" s="59"/>
      <c r="IHJ3" s="59"/>
      <c r="IHK3" s="59"/>
      <c r="IHL3" s="59"/>
      <c r="IHM3" s="59"/>
      <c r="IHN3" s="59"/>
      <c r="IHO3" s="59"/>
      <c r="IHP3" s="59"/>
      <c r="IHQ3" s="59"/>
      <c r="IHR3" s="59"/>
      <c r="IHS3" s="59"/>
      <c r="IHT3" s="59"/>
      <c r="IHU3" s="59"/>
      <c r="IHV3" s="59"/>
      <c r="IHW3" s="59"/>
      <c r="IHX3" s="59"/>
      <c r="IHY3" s="59"/>
      <c r="IHZ3" s="59"/>
      <c r="IIA3" s="59"/>
      <c r="IIB3" s="59"/>
      <c r="IIC3" s="59"/>
      <c r="IID3" s="59"/>
      <c r="IIE3" s="59"/>
      <c r="IIF3" s="59"/>
      <c r="IIG3" s="59"/>
      <c r="IIH3" s="59"/>
      <c r="III3" s="59"/>
      <c r="IIJ3" s="59"/>
      <c r="IIK3" s="59"/>
      <c r="IIL3" s="59"/>
      <c r="IIM3" s="59"/>
      <c r="IIN3" s="59"/>
      <c r="IIO3" s="59"/>
      <c r="IIP3" s="59"/>
      <c r="IIQ3" s="59"/>
      <c r="IIR3" s="59"/>
      <c r="IIS3" s="59"/>
      <c r="IIT3" s="59"/>
      <c r="IIU3" s="59"/>
      <c r="IIV3" s="59"/>
      <c r="IIW3" s="59"/>
      <c r="IIX3" s="59"/>
      <c r="IIY3" s="59"/>
      <c r="IIZ3" s="59"/>
      <c r="IJA3" s="59"/>
      <c r="IJB3" s="59"/>
      <c r="IJC3" s="59"/>
      <c r="IJD3" s="59"/>
      <c r="IJE3" s="59"/>
      <c r="IJF3" s="59"/>
      <c r="IJG3" s="59"/>
      <c r="IJH3" s="59"/>
      <c r="IJI3" s="59"/>
      <c r="IJJ3" s="59"/>
      <c r="IJK3" s="59"/>
      <c r="IJL3" s="59"/>
      <c r="IJM3" s="59"/>
      <c r="IJN3" s="59"/>
      <c r="IJO3" s="59"/>
      <c r="IJP3" s="59"/>
      <c r="IJQ3" s="59"/>
      <c r="IJR3" s="59"/>
      <c r="IJS3" s="59"/>
      <c r="IJT3" s="59"/>
      <c r="IJU3" s="59"/>
      <c r="IJV3" s="59"/>
      <c r="IJW3" s="59"/>
      <c r="IJX3" s="59"/>
      <c r="IJY3" s="59"/>
      <c r="IJZ3" s="59"/>
      <c r="IKA3" s="59"/>
      <c r="IKB3" s="59"/>
      <c r="IKC3" s="59"/>
      <c r="IKD3" s="59"/>
      <c r="IKE3" s="59"/>
      <c r="IKF3" s="59"/>
      <c r="IKG3" s="59"/>
      <c r="IKH3" s="59"/>
      <c r="IKI3" s="59"/>
      <c r="IKJ3" s="59"/>
      <c r="IKK3" s="59"/>
      <c r="IKL3" s="59"/>
      <c r="IKM3" s="59"/>
      <c r="IKN3" s="59"/>
      <c r="IKO3" s="59"/>
      <c r="IKP3" s="59"/>
      <c r="IKQ3" s="59"/>
      <c r="IKR3" s="59"/>
      <c r="IKS3" s="59"/>
      <c r="IKT3" s="59"/>
      <c r="IKU3" s="59"/>
      <c r="IKV3" s="59"/>
      <c r="IKW3" s="59"/>
      <c r="IKX3" s="59"/>
      <c r="IKY3" s="59"/>
      <c r="IKZ3" s="59"/>
      <c r="ILA3" s="59"/>
      <c r="ILB3" s="59"/>
      <c r="ILC3" s="59"/>
      <c r="ILD3" s="59"/>
      <c r="ILE3" s="59"/>
      <c r="ILF3" s="59"/>
      <c r="ILG3" s="59"/>
      <c r="ILH3" s="59"/>
      <c r="ILI3" s="59"/>
      <c r="ILJ3" s="59"/>
      <c r="ILK3" s="59"/>
      <c r="ILL3" s="59"/>
      <c r="ILM3" s="59"/>
      <c r="ILN3" s="59"/>
      <c r="ILO3" s="59"/>
      <c r="ILP3" s="59"/>
      <c r="ILQ3" s="59"/>
      <c r="ILR3" s="59"/>
      <c r="ILS3" s="59"/>
      <c r="ILT3" s="59"/>
      <c r="ILU3" s="59"/>
      <c r="ILV3" s="59"/>
      <c r="ILW3" s="59"/>
      <c r="ILX3" s="59"/>
      <c r="ILY3" s="59"/>
      <c r="ILZ3" s="59"/>
      <c r="IMA3" s="59"/>
      <c r="IMB3" s="59"/>
      <c r="IMC3" s="59"/>
      <c r="IMD3" s="59"/>
      <c r="IME3" s="59"/>
      <c r="IMF3" s="59"/>
      <c r="IMG3" s="59"/>
      <c r="IMH3" s="59"/>
      <c r="IMI3" s="59"/>
      <c r="IMJ3" s="59"/>
      <c r="IMK3" s="59"/>
      <c r="IML3" s="59"/>
      <c r="IMM3" s="59"/>
      <c r="IMN3" s="59"/>
      <c r="IMO3" s="59"/>
      <c r="IMP3" s="59"/>
      <c r="IMQ3" s="59"/>
      <c r="IMR3" s="59"/>
      <c r="IMS3" s="59"/>
      <c r="IMT3" s="59"/>
      <c r="IMU3" s="59"/>
      <c r="IMV3" s="59"/>
      <c r="IMW3" s="59"/>
      <c r="IMX3" s="59"/>
      <c r="IMY3" s="59"/>
      <c r="IMZ3" s="59"/>
      <c r="INA3" s="59"/>
      <c r="INB3" s="59"/>
      <c r="INC3" s="59"/>
      <c r="IND3" s="59"/>
      <c r="INE3" s="59"/>
      <c r="INF3" s="59"/>
      <c r="ING3" s="59"/>
      <c r="INH3" s="59"/>
      <c r="INI3" s="59"/>
      <c r="INJ3" s="59"/>
      <c r="INK3" s="59"/>
      <c r="INL3" s="59"/>
      <c r="INM3" s="59"/>
      <c r="INN3" s="59"/>
      <c r="INO3" s="59"/>
      <c r="INP3" s="59"/>
      <c r="INQ3" s="59"/>
      <c r="INR3" s="59"/>
      <c r="INS3" s="59"/>
      <c r="INT3" s="59"/>
      <c r="INU3" s="59"/>
      <c r="INV3" s="59"/>
      <c r="INW3" s="59"/>
      <c r="INX3" s="59"/>
      <c r="INY3" s="59"/>
      <c r="INZ3" s="59"/>
      <c r="IOA3" s="59"/>
      <c r="IOB3" s="59"/>
      <c r="IOC3" s="59"/>
      <c r="IOD3" s="59"/>
      <c r="IOE3" s="59"/>
      <c r="IOF3" s="59"/>
      <c r="IOG3" s="59"/>
      <c r="IOH3" s="59"/>
      <c r="IOI3" s="59"/>
      <c r="IOJ3" s="59"/>
      <c r="IOK3" s="59"/>
      <c r="IOL3" s="59"/>
      <c r="IOM3" s="59"/>
      <c r="ION3" s="59"/>
      <c r="IOO3" s="59"/>
      <c r="IOP3" s="59"/>
      <c r="IOQ3" s="59"/>
      <c r="IOR3" s="59"/>
      <c r="IOS3" s="59"/>
      <c r="IOT3" s="59"/>
      <c r="IOU3" s="59"/>
      <c r="IOV3" s="59"/>
      <c r="IOW3" s="59"/>
      <c r="IOX3" s="59"/>
      <c r="IOY3" s="59"/>
      <c r="IOZ3" s="59"/>
      <c r="IPA3" s="59"/>
      <c r="IPB3" s="59"/>
      <c r="IPC3" s="59"/>
      <c r="IPD3" s="59"/>
      <c r="IPE3" s="59"/>
      <c r="IPF3" s="59"/>
      <c r="IPG3" s="59"/>
      <c r="IPH3" s="59"/>
      <c r="IPI3" s="59"/>
      <c r="IPJ3" s="59"/>
      <c r="IPK3" s="59"/>
      <c r="IPL3" s="59"/>
      <c r="IPM3" s="59"/>
      <c r="IPN3" s="59"/>
      <c r="IPO3" s="59"/>
      <c r="IPP3" s="59"/>
      <c r="IPQ3" s="59"/>
      <c r="IPR3" s="59"/>
      <c r="IPS3" s="59"/>
      <c r="IPT3" s="59"/>
      <c r="IPU3" s="59"/>
      <c r="IPV3" s="59"/>
      <c r="IPW3" s="59"/>
      <c r="IPX3" s="59"/>
      <c r="IPY3" s="59"/>
      <c r="IPZ3" s="59"/>
      <c r="IQA3" s="59"/>
      <c r="IQB3" s="59"/>
      <c r="IQC3" s="59"/>
      <c r="IQD3" s="59"/>
      <c r="IQE3" s="59"/>
      <c r="IQF3" s="59"/>
      <c r="IQG3" s="59"/>
      <c r="IQH3" s="59"/>
      <c r="IQI3" s="59"/>
      <c r="IQJ3" s="59"/>
      <c r="IQK3" s="59"/>
      <c r="IQL3" s="59"/>
      <c r="IQM3" s="59"/>
      <c r="IQN3" s="59"/>
      <c r="IQO3" s="59"/>
      <c r="IQP3" s="59"/>
      <c r="IQQ3" s="59"/>
      <c r="IQR3" s="59"/>
      <c r="IQS3" s="59"/>
      <c r="IQT3" s="59"/>
      <c r="IQU3" s="59"/>
      <c r="IQV3" s="59"/>
      <c r="IQW3" s="59"/>
      <c r="IQX3" s="59"/>
      <c r="IQY3" s="59"/>
      <c r="IQZ3" s="59"/>
      <c r="IRA3" s="59"/>
      <c r="IRB3" s="59"/>
      <c r="IRC3" s="59"/>
      <c r="IRD3" s="59"/>
      <c r="IRE3" s="59"/>
      <c r="IRF3" s="59"/>
      <c r="IRG3" s="59"/>
      <c r="IRH3" s="59"/>
      <c r="IRI3" s="59"/>
      <c r="IRJ3" s="59"/>
      <c r="IRK3" s="59"/>
      <c r="IRL3" s="59"/>
      <c r="IRM3" s="59"/>
      <c r="IRN3" s="59"/>
      <c r="IRO3" s="59"/>
      <c r="IRP3" s="59"/>
      <c r="IRQ3" s="59"/>
      <c r="IRR3" s="59"/>
      <c r="IRS3" s="59"/>
      <c r="IRT3" s="59"/>
      <c r="IRU3" s="59"/>
      <c r="IRV3" s="59"/>
      <c r="IRW3" s="59"/>
      <c r="IRX3" s="59"/>
      <c r="IRY3" s="59"/>
      <c r="IRZ3" s="59"/>
      <c r="ISA3" s="59"/>
      <c r="ISB3" s="59"/>
      <c r="ISC3" s="59"/>
      <c r="ISD3" s="59"/>
      <c r="ISE3" s="59"/>
      <c r="ISF3" s="59"/>
      <c r="ISG3" s="59"/>
      <c r="ISH3" s="59"/>
      <c r="ISI3" s="59"/>
      <c r="ISJ3" s="59"/>
      <c r="ISK3" s="59"/>
      <c r="ISL3" s="59"/>
      <c r="ISM3" s="59"/>
      <c r="ISN3" s="59"/>
      <c r="ISO3" s="59"/>
      <c r="ISP3" s="59"/>
      <c r="ISQ3" s="59"/>
      <c r="ISR3" s="59"/>
      <c r="ISS3" s="59"/>
      <c r="IST3" s="59"/>
      <c r="ISU3" s="59"/>
      <c r="ISV3" s="59"/>
      <c r="ISW3" s="59"/>
      <c r="ISX3" s="59"/>
      <c r="ISY3" s="59"/>
      <c r="ISZ3" s="59"/>
      <c r="ITA3" s="59"/>
      <c r="ITB3" s="59"/>
      <c r="ITC3" s="59"/>
      <c r="ITD3" s="59"/>
      <c r="ITE3" s="59"/>
      <c r="ITF3" s="59"/>
      <c r="ITG3" s="59"/>
      <c r="ITH3" s="59"/>
      <c r="ITI3" s="59"/>
      <c r="ITJ3" s="59"/>
      <c r="ITK3" s="59"/>
      <c r="ITL3" s="59"/>
      <c r="ITM3" s="59"/>
      <c r="ITN3" s="59"/>
      <c r="ITO3" s="59"/>
      <c r="ITP3" s="59"/>
      <c r="ITQ3" s="59"/>
      <c r="ITR3" s="59"/>
      <c r="ITS3" s="59"/>
      <c r="ITT3" s="59"/>
      <c r="ITU3" s="59"/>
      <c r="ITV3" s="59"/>
      <c r="ITW3" s="59"/>
      <c r="ITX3" s="59"/>
      <c r="ITY3" s="59"/>
      <c r="ITZ3" s="59"/>
      <c r="IUA3" s="59"/>
      <c r="IUB3" s="59"/>
      <c r="IUC3" s="59"/>
      <c r="IUD3" s="59"/>
      <c r="IUE3" s="59"/>
      <c r="IUF3" s="59"/>
      <c r="IUG3" s="59"/>
      <c r="IUH3" s="59"/>
      <c r="IUI3" s="59"/>
      <c r="IUJ3" s="59"/>
      <c r="IUK3" s="59"/>
      <c r="IUL3" s="59"/>
      <c r="IUM3" s="59"/>
      <c r="IUN3" s="59"/>
      <c r="IUO3" s="59"/>
      <c r="IUP3" s="59"/>
      <c r="IUQ3" s="59"/>
      <c r="IUR3" s="59"/>
      <c r="IUS3" s="59"/>
      <c r="IUT3" s="59"/>
      <c r="IUU3" s="59"/>
      <c r="IUV3" s="59"/>
      <c r="IUW3" s="59"/>
      <c r="IUX3" s="59"/>
      <c r="IUY3" s="59"/>
      <c r="IUZ3" s="59"/>
      <c r="IVA3" s="59"/>
      <c r="IVB3" s="59"/>
      <c r="IVC3" s="59"/>
      <c r="IVD3" s="59"/>
      <c r="IVE3" s="59"/>
      <c r="IVF3" s="59"/>
      <c r="IVG3" s="59"/>
      <c r="IVH3" s="59"/>
      <c r="IVI3" s="59"/>
      <c r="IVJ3" s="59"/>
      <c r="IVK3" s="59"/>
      <c r="IVL3" s="59"/>
      <c r="IVM3" s="59"/>
      <c r="IVN3" s="59"/>
      <c r="IVO3" s="59"/>
      <c r="IVP3" s="59"/>
      <c r="IVQ3" s="59"/>
      <c r="IVR3" s="59"/>
      <c r="IVS3" s="59"/>
      <c r="IVT3" s="59"/>
      <c r="IVU3" s="59"/>
      <c r="IVV3" s="59"/>
      <c r="IVW3" s="59"/>
      <c r="IVX3" s="59"/>
      <c r="IVY3" s="59"/>
      <c r="IVZ3" s="59"/>
      <c r="IWA3" s="59"/>
      <c r="IWB3" s="59"/>
      <c r="IWC3" s="59"/>
      <c r="IWD3" s="59"/>
      <c r="IWE3" s="59"/>
      <c r="IWF3" s="59"/>
      <c r="IWG3" s="59"/>
      <c r="IWH3" s="59"/>
      <c r="IWI3" s="59"/>
      <c r="IWJ3" s="59"/>
      <c r="IWK3" s="59"/>
      <c r="IWL3" s="59"/>
      <c r="IWM3" s="59"/>
      <c r="IWN3" s="59"/>
      <c r="IWO3" s="59"/>
      <c r="IWP3" s="59"/>
      <c r="IWQ3" s="59"/>
      <c r="IWR3" s="59"/>
      <c r="IWS3" s="59"/>
      <c r="IWT3" s="59"/>
      <c r="IWU3" s="59"/>
      <c r="IWV3" s="59"/>
      <c r="IWW3" s="59"/>
      <c r="IWX3" s="59"/>
      <c r="IWY3" s="59"/>
      <c r="IWZ3" s="59"/>
      <c r="IXA3" s="59"/>
      <c r="IXB3" s="59"/>
      <c r="IXC3" s="59"/>
      <c r="IXD3" s="59"/>
      <c r="IXE3" s="59"/>
      <c r="IXF3" s="59"/>
      <c r="IXG3" s="59"/>
      <c r="IXH3" s="59"/>
      <c r="IXI3" s="59"/>
      <c r="IXJ3" s="59"/>
      <c r="IXK3" s="59"/>
      <c r="IXL3" s="59"/>
      <c r="IXM3" s="59"/>
      <c r="IXN3" s="59"/>
      <c r="IXO3" s="59"/>
      <c r="IXP3" s="59"/>
      <c r="IXQ3" s="59"/>
      <c r="IXR3" s="59"/>
      <c r="IXS3" s="59"/>
      <c r="IXT3" s="59"/>
      <c r="IXU3" s="59"/>
      <c r="IXV3" s="59"/>
      <c r="IXW3" s="59"/>
      <c r="IXX3" s="59"/>
      <c r="IXY3" s="59"/>
      <c r="IXZ3" s="59"/>
      <c r="IYA3" s="59"/>
      <c r="IYB3" s="59"/>
      <c r="IYC3" s="59"/>
      <c r="IYD3" s="59"/>
      <c r="IYE3" s="59"/>
      <c r="IYF3" s="59"/>
      <c r="IYG3" s="59"/>
      <c r="IYH3" s="59"/>
      <c r="IYI3" s="59"/>
      <c r="IYJ3" s="59"/>
      <c r="IYK3" s="59"/>
      <c r="IYL3" s="59"/>
      <c r="IYM3" s="59"/>
      <c r="IYN3" s="59"/>
      <c r="IYO3" s="59"/>
      <c r="IYP3" s="59"/>
      <c r="IYQ3" s="59"/>
      <c r="IYR3" s="59"/>
      <c r="IYS3" s="59"/>
      <c r="IYT3" s="59"/>
      <c r="IYU3" s="59"/>
      <c r="IYV3" s="59"/>
      <c r="IYW3" s="59"/>
      <c r="IYX3" s="59"/>
      <c r="IYY3" s="59"/>
      <c r="IYZ3" s="59"/>
      <c r="IZA3" s="59"/>
      <c r="IZB3" s="59"/>
      <c r="IZC3" s="59"/>
      <c r="IZD3" s="59"/>
      <c r="IZE3" s="59"/>
      <c r="IZF3" s="59"/>
      <c r="IZG3" s="59"/>
      <c r="IZH3" s="59"/>
      <c r="IZI3" s="59"/>
      <c r="IZJ3" s="59"/>
      <c r="IZK3" s="59"/>
      <c r="IZL3" s="59"/>
      <c r="IZM3" s="59"/>
      <c r="IZN3" s="59"/>
      <c r="IZO3" s="59"/>
      <c r="IZP3" s="59"/>
      <c r="IZQ3" s="59"/>
      <c r="IZR3" s="59"/>
      <c r="IZS3" s="59"/>
      <c r="IZT3" s="59"/>
      <c r="IZU3" s="59"/>
      <c r="IZV3" s="59"/>
      <c r="IZW3" s="59"/>
      <c r="IZX3" s="59"/>
      <c r="IZY3" s="59"/>
      <c r="IZZ3" s="59"/>
      <c r="JAA3" s="59"/>
      <c r="JAB3" s="59"/>
      <c r="JAC3" s="59"/>
      <c r="JAD3" s="59"/>
      <c r="JAE3" s="59"/>
      <c r="JAF3" s="59"/>
      <c r="JAG3" s="59"/>
      <c r="JAH3" s="59"/>
      <c r="JAI3" s="59"/>
      <c r="JAJ3" s="59"/>
      <c r="JAK3" s="59"/>
      <c r="JAL3" s="59"/>
      <c r="JAM3" s="59"/>
      <c r="JAN3" s="59"/>
      <c r="JAO3" s="59"/>
      <c r="JAP3" s="59"/>
      <c r="JAQ3" s="59"/>
      <c r="JAR3" s="59"/>
      <c r="JAS3" s="59"/>
      <c r="JAT3" s="59"/>
      <c r="JAU3" s="59"/>
      <c r="JAV3" s="59"/>
      <c r="JAW3" s="59"/>
      <c r="JAX3" s="59"/>
      <c r="JAY3" s="59"/>
      <c r="JAZ3" s="59"/>
      <c r="JBA3" s="59"/>
      <c r="JBB3" s="59"/>
      <c r="JBC3" s="59"/>
      <c r="JBD3" s="59"/>
      <c r="JBE3" s="59"/>
      <c r="JBF3" s="59"/>
      <c r="JBG3" s="59"/>
      <c r="JBH3" s="59"/>
      <c r="JBI3" s="59"/>
      <c r="JBJ3" s="59"/>
      <c r="JBK3" s="59"/>
      <c r="JBL3" s="59"/>
      <c r="JBM3" s="59"/>
      <c r="JBN3" s="59"/>
      <c r="JBO3" s="59"/>
      <c r="JBP3" s="59"/>
      <c r="JBQ3" s="59"/>
      <c r="JBR3" s="59"/>
      <c r="JBS3" s="59"/>
      <c r="JBT3" s="59"/>
      <c r="JBU3" s="59"/>
      <c r="JBV3" s="59"/>
      <c r="JBW3" s="59"/>
      <c r="JBX3" s="59"/>
      <c r="JBY3" s="59"/>
      <c r="JBZ3" s="59"/>
      <c r="JCA3" s="59"/>
      <c r="JCB3" s="59"/>
      <c r="JCC3" s="59"/>
      <c r="JCD3" s="59"/>
      <c r="JCE3" s="59"/>
      <c r="JCF3" s="59"/>
      <c r="JCG3" s="59"/>
      <c r="JCH3" s="59"/>
      <c r="JCI3" s="59"/>
      <c r="JCJ3" s="59"/>
      <c r="JCK3" s="59"/>
      <c r="JCL3" s="59"/>
      <c r="JCM3" s="59"/>
      <c r="JCN3" s="59"/>
      <c r="JCO3" s="59"/>
      <c r="JCP3" s="59"/>
      <c r="JCQ3" s="59"/>
      <c r="JCR3" s="59"/>
      <c r="JCS3" s="59"/>
      <c r="JCT3" s="59"/>
      <c r="JCU3" s="59"/>
      <c r="JCV3" s="59"/>
      <c r="JCW3" s="59"/>
      <c r="JCX3" s="59"/>
      <c r="JCY3" s="59"/>
      <c r="JCZ3" s="59"/>
      <c r="JDA3" s="59"/>
      <c r="JDB3" s="59"/>
      <c r="JDC3" s="59"/>
      <c r="JDD3" s="59"/>
      <c r="JDE3" s="59"/>
      <c r="JDF3" s="59"/>
      <c r="JDG3" s="59"/>
      <c r="JDH3" s="59"/>
      <c r="JDI3" s="59"/>
      <c r="JDJ3" s="59"/>
      <c r="JDK3" s="59"/>
      <c r="JDL3" s="59"/>
      <c r="JDM3" s="59"/>
      <c r="JDN3" s="59"/>
      <c r="JDO3" s="59"/>
      <c r="JDP3" s="59"/>
      <c r="JDQ3" s="59"/>
      <c r="JDR3" s="59"/>
      <c r="JDS3" s="59"/>
      <c r="JDT3" s="59"/>
      <c r="JDU3" s="59"/>
      <c r="JDV3" s="59"/>
      <c r="JDW3" s="59"/>
      <c r="JDX3" s="59"/>
      <c r="JDY3" s="59"/>
      <c r="JDZ3" s="59"/>
      <c r="JEA3" s="59"/>
      <c r="JEB3" s="59"/>
      <c r="JEC3" s="59"/>
      <c r="JED3" s="59"/>
      <c r="JEE3" s="59"/>
      <c r="JEF3" s="59"/>
      <c r="JEG3" s="59"/>
      <c r="JEH3" s="59"/>
      <c r="JEI3" s="59"/>
      <c r="JEJ3" s="59"/>
      <c r="JEK3" s="59"/>
      <c r="JEL3" s="59"/>
      <c r="JEM3" s="59"/>
      <c r="JEN3" s="59"/>
      <c r="JEO3" s="59"/>
      <c r="JEP3" s="59"/>
      <c r="JEQ3" s="59"/>
      <c r="JER3" s="59"/>
      <c r="JES3" s="59"/>
      <c r="JET3" s="59"/>
      <c r="JEU3" s="59"/>
      <c r="JEV3" s="59"/>
      <c r="JEW3" s="59"/>
      <c r="JEX3" s="59"/>
      <c r="JEY3" s="59"/>
      <c r="JEZ3" s="59"/>
      <c r="JFA3" s="59"/>
      <c r="JFB3" s="59"/>
      <c r="JFC3" s="59"/>
      <c r="JFD3" s="59"/>
      <c r="JFE3" s="59"/>
      <c r="JFF3" s="59"/>
      <c r="JFG3" s="59"/>
      <c r="JFH3" s="59"/>
      <c r="JFI3" s="59"/>
      <c r="JFJ3" s="59"/>
      <c r="JFK3" s="59"/>
      <c r="JFL3" s="59"/>
      <c r="JFM3" s="59"/>
      <c r="JFN3" s="59"/>
      <c r="JFO3" s="59"/>
      <c r="JFP3" s="59"/>
      <c r="JFQ3" s="59"/>
      <c r="JFR3" s="59"/>
      <c r="JFS3" s="59"/>
      <c r="JFT3" s="59"/>
      <c r="JFU3" s="59"/>
      <c r="JFV3" s="59"/>
      <c r="JFW3" s="59"/>
      <c r="JFX3" s="59"/>
      <c r="JFY3" s="59"/>
      <c r="JFZ3" s="59"/>
      <c r="JGA3" s="59"/>
      <c r="JGB3" s="59"/>
      <c r="JGC3" s="59"/>
      <c r="JGD3" s="59"/>
      <c r="JGE3" s="59"/>
      <c r="JGF3" s="59"/>
      <c r="JGG3" s="59"/>
      <c r="JGH3" s="59"/>
      <c r="JGI3" s="59"/>
      <c r="JGJ3" s="59"/>
      <c r="JGK3" s="59"/>
      <c r="JGL3" s="59"/>
      <c r="JGM3" s="59"/>
      <c r="JGN3" s="59"/>
      <c r="JGO3" s="59"/>
      <c r="JGP3" s="59"/>
      <c r="JGQ3" s="59"/>
      <c r="JGR3" s="59"/>
      <c r="JGS3" s="59"/>
      <c r="JGT3" s="59"/>
      <c r="JGU3" s="59"/>
      <c r="JGV3" s="59"/>
      <c r="JGW3" s="59"/>
      <c r="JGX3" s="59"/>
      <c r="JGY3" s="59"/>
      <c r="JGZ3" s="59"/>
      <c r="JHA3" s="59"/>
      <c r="JHB3" s="59"/>
      <c r="JHC3" s="59"/>
      <c r="JHD3" s="59"/>
      <c r="JHE3" s="59"/>
      <c r="JHF3" s="59"/>
      <c r="JHG3" s="59"/>
      <c r="JHH3" s="59"/>
      <c r="JHI3" s="59"/>
      <c r="JHJ3" s="59"/>
      <c r="JHK3" s="59"/>
      <c r="JHL3" s="59"/>
      <c r="JHM3" s="59"/>
      <c r="JHN3" s="59"/>
      <c r="JHO3" s="59"/>
      <c r="JHP3" s="59"/>
      <c r="JHQ3" s="59"/>
      <c r="JHR3" s="59"/>
      <c r="JHS3" s="59"/>
      <c r="JHT3" s="59"/>
      <c r="JHU3" s="59"/>
      <c r="JHV3" s="59"/>
      <c r="JHW3" s="59"/>
      <c r="JHX3" s="59"/>
      <c r="JHY3" s="59"/>
      <c r="JHZ3" s="59"/>
      <c r="JIA3" s="59"/>
      <c r="JIB3" s="59"/>
      <c r="JIC3" s="59"/>
      <c r="JID3" s="59"/>
      <c r="JIE3" s="59"/>
      <c r="JIF3" s="59"/>
      <c r="JIG3" s="59"/>
      <c r="JIH3" s="59"/>
      <c r="JII3" s="59"/>
      <c r="JIJ3" s="59"/>
      <c r="JIK3" s="59"/>
      <c r="JIL3" s="59"/>
      <c r="JIM3" s="59"/>
      <c r="JIN3" s="59"/>
      <c r="JIO3" s="59"/>
      <c r="JIP3" s="59"/>
      <c r="JIQ3" s="59"/>
      <c r="JIR3" s="59"/>
      <c r="JIS3" s="59"/>
      <c r="JIT3" s="59"/>
      <c r="JIU3" s="59"/>
      <c r="JIV3" s="59"/>
      <c r="JIW3" s="59"/>
      <c r="JIX3" s="59"/>
      <c r="JIY3" s="59"/>
      <c r="JIZ3" s="59"/>
      <c r="JJA3" s="59"/>
      <c r="JJB3" s="59"/>
      <c r="JJC3" s="59"/>
      <c r="JJD3" s="59"/>
      <c r="JJE3" s="59"/>
      <c r="JJF3" s="59"/>
      <c r="JJG3" s="59"/>
      <c r="JJH3" s="59"/>
      <c r="JJI3" s="59"/>
      <c r="JJJ3" s="59"/>
      <c r="JJK3" s="59"/>
      <c r="JJL3" s="59"/>
      <c r="JJM3" s="59"/>
      <c r="JJN3" s="59"/>
      <c r="JJO3" s="59"/>
      <c r="JJP3" s="59"/>
      <c r="JJQ3" s="59"/>
      <c r="JJR3" s="59"/>
      <c r="JJS3" s="59"/>
      <c r="JJT3" s="59"/>
      <c r="JJU3" s="59"/>
      <c r="JJV3" s="59"/>
      <c r="JJW3" s="59"/>
      <c r="JJX3" s="59"/>
      <c r="JJY3" s="59"/>
      <c r="JJZ3" s="59"/>
      <c r="JKA3" s="59"/>
      <c r="JKB3" s="59"/>
      <c r="JKC3" s="59"/>
      <c r="JKD3" s="59"/>
      <c r="JKE3" s="59"/>
      <c r="JKF3" s="59"/>
      <c r="JKG3" s="59"/>
      <c r="JKH3" s="59"/>
      <c r="JKI3" s="59"/>
      <c r="JKJ3" s="59"/>
      <c r="JKK3" s="59"/>
      <c r="JKL3" s="59"/>
      <c r="JKM3" s="59"/>
      <c r="JKN3" s="59"/>
      <c r="JKO3" s="59"/>
      <c r="JKP3" s="59"/>
      <c r="JKQ3" s="59"/>
      <c r="JKR3" s="59"/>
      <c r="JKS3" s="59"/>
      <c r="JKT3" s="59"/>
      <c r="JKU3" s="59"/>
      <c r="JKV3" s="59"/>
      <c r="JKW3" s="59"/>
      <c r="JKX3" s="59"/>
      <c r="JKY3" s="59"/>
      <c r="JKZ3" s="59"/>
      <c r="JLA3" s="59"/>
      <c r="JLB3" s="59"/>
      <c r="JLC3" s="59"/>
      <c r="JLD3" s="59"/>
      <c r="JLE3" s="59"/>
      <c r="JLF3" s="59"/>
      <c r="JLG3" s="59"/>
      <c r="JLH3" s="59"/>
      <c r="JLI3" s="59"/>
      <c r="JLJ3" s="59"/>
      <c r="JLK3" s="59"/>
      <c r="JLL3" s="59"/>
      <c r="JLM3" s="59"/>
      <c r="JLN3" s="59"/>
      <c r="JLO3" s="59"/>
      <c r="JLP3" s="59"/>
      <c r="JLQ3" s="59"/>
      <c r="JLR3" s="59"/>
      <c r="JLS3" s="59"/>
      <c r="JLT3" s="59"/>
      <c r="JLU3" s="59"/>
      <c r="JLV3" s="59"/>
      <c r="JLW3" s="59"/>
      <c r="JLX3" s="59"/>
      <c r="JLY3" s="59"/>
      <c r="JLZ3" s="59"/>
      <c r="JMA3" s="59"/>
      <c r="JMB3" s="59"/>
      <c r="JMC3" s="59"/>
      <c r="JMD3" s="59"/>
      <c r="JME3" s="59"/>
      <c r="JMF3" s="59"/>
      <c r="JMG3" s="59"/>
      <c r="JMH3" s="59"/>
      <c r="JMI3" s="59"/>
      <c r="JMJ3" s="59"/>
      <c r="JMK3" s="59"/>
      <c r="JML3" s="59"/>
      <c r="JMM3" s="59"/>
      <c r="JMN3" s="59"/>
      <c r="JMO3" s="59"/>
      <c r="JMP3" s="59"/>
      <c r="JMQ3" s="59"/>
      <c r="JMR3" s="59"/>
      <c r="JMS3" s="59"/>
      <c r="JMT3" s="59"/>
      <c r="JMU3" s="59"/>
      <c r="JMV3" s="59"/>
      <c r="JMW3" s="59"/>
      <c r="JMX3" s="59"/>
      <c r="JMY3" s="59"/>
      <c r="JMZ3" s="59"/>
      <c r="JNA3" s="59"/>
      <c r="JNB3" s="59"/>
      <c r="JNC3" s="59"/>
      <c r="JND3" s="59"/>
      <c r="JNE3" s="59"/>
      <c r="JNF3" s="59"/>
      <c r="JNG3" s="59"/>
      <c r="JNH3" s="59"/>
      <c r="JNI3" s="59"/>
      <c r="JNJ3" s="59"/>
      <c r="JNK3" s="59"/>
      <c r="JNL3" s="59"/>
      <c r="JNM3" s="59"/>
      <c r="JNN3" s="59"/>
      <c r="JNO3" s="59"/>
      <c r="JNP3" s="59"/>
      <c r="JNQ3" s="59"/>
      <c r="JNR3" s="59"/>
      <c r="JNS3" s="59"/>
      <c r="JNT3" s="59"/>
      <c r="JNU3" s="59"/>
      <c r="JNV3" s="59"/>
      <c r="JNW3" s="59"/>
      <c r="JNX3" s="59"/>
      <c r="JNY3" s="59"/>
      <c r="JNZ3" s="59"/>
      <c r="JOA3" s="59"/>
      <c r="JOB3" s="59"/>
      <c r="JOC3" s="59"/>
      <c r="JOD3" s="59"/>
      <c r="JOE3" s="59"/>
      <c r="JOF3" s="59"/>
      <c r="JOG3" s="59"/>
      <c r="JOH3" s="59"/>
      <c r="JOI3" s="59"/>
      <c r="JOJ3" s="59"/>
      <c r="JOK3" s="59"/>
      <c r="JOL3" s="59"/>
      <c r="JOM3" s="59"/>
      <c r="JON3" s="59"/>
      <c r="JOO3" s="59"/>
      <c r="JOP3" s="59"/>
      <c r="JOQ3" s="59"/>
      <c r="JOR3" s="59"/>
      <c r="JOS3" s="59"/>
      <c r="JOT3" s="59"/>
      <c r="JOU3" s="59"/>
      <c r="JOV3" s="59"/>
      <c r="JOW3" s="59"/>
      <c r="JOX3" s="59"/>
      <c r="JOY3" s="59"/>
      <c r="JOZ3" s="59"/>
      <c r="JPA3" s="59"/>
      <c r="JPB3" s="59"/>
      <c r="JPC3" s="59"/>
      <c r="JPD3" s="59"/>
      <c r="JPE3" s="59"/>
      <c r="JPF3" s="59"/>
      <c r="JPG3" s="59"/>
      <c r="JPH3" s="59"/>
      <c r="JPI3" s="59"/>
      <c r="JPJ3" s="59"/>
      <c r="JPK3" s="59"/>
      <c r="JPL3" s="59"/>
      <c r="JPM3" s="59"/>
      <c r="JPN3" s="59"/>
      <c r="JPO3" s="59"/>
      <c r="JPP3" s="59"/>
      <c r="JPQ3" s="59"/>
      <c r="JPR3" s="59"/>
      <c r="JPS3" s="59"/>
      <c r="JPT3" s="59"/>
      <c r="JPU3" s="59"/>
      <c r="JPV3" s="59"/>
      <c r="JPW3" s="59"/>
      <c r="JPX3" s="59"/>
      <c r="JPY3" s="59"/>
      <c r="JPZ3" s="59"/>
      <c r="JQA3" s="59"/>
      <c r="JQB3" s="59"/>
      <c r="JQC3" s="59"/>
      <c r="JQD3" s="59"/>
      <c r="JQE3" s="59"/>
      <c r="JQF3" s="59"/>
      <c r="JQG3" s="59"/>
      <c r="JQH3" s="59"/>
      <c r="JQI3" s="59"/>
      <c r="JQJ3" s="59"/>
      <c r="JQK3" s="59"/>
      <c r="JQL3" s="59"/>
      <c r="JQM3" s="59"/>
      <c r="JQN3" s="59"/>
      <c r="JQO3" s="59"/>
      <c r="JQP3" s="59"/>
      <c r="JQQ3" s="59"/>
      <c r="JQR3" s="59"/>
      <c r="JQS3" s="59"/>
      <c r="JQT3" s="59"/>
      <c r="JQU3" s="59"/>
      <c r="JQV3" s="59"/>
      <c r="JQW3" s="59"/>
      <c r="JQX3" s="59"/>
      <c r="JQY3" s="59"/>
      <c r="JQZ3" s="59"/>
      <c r="JRA3" s="59"/>
      <c r="JRB3" s="59"/>
      <c r="JRC3" s="59"/>
      <c r="JRD3" s="59"/>
      <c r="JRE3" s="59"/>
      <c r="JRF3" s="59"/>
      <c r="JRG3" s="59"/>
      <c r="JRH3" s="59"/>
      <c r="JRI3" s="59"/>
      <c r="JRJ3" s="59"/>
      <c r="JRK3" s="59"/>
      <c r="JRL3" s="59"/>
      <c r="JRM3" s="59"/>
      <c r="JRN3" s="59"/>
      <c r="JRO3" s="59"/>
      <c r="JRP3" s="59"/>
      <c r="JRQ3" s="59"/>
      <c r="JRR3" s="59"/>
      <c r="JRS3" s="59"/>
      <c r="JRT3" s="59"/>
      <c r="JRU3" s="59"/>
      <c r="JRV3" s="59"/>
      <c r="JRW3" s="59"/>
      <c r="JRX3" s="59"/>
      <c r="JRY3" s="59"/>
      <c r="JRZ3" s="59"/>
      <c r="JSA3" s="59"/>
      <c r="JSB3" s="59"/>
      <c r="JSC3" s="59"/>
      <c r="JSD3" s="59"/>
      <c r="JSE3" s="59"/>
      <c r="JSF3" s="59"/>
      <c r="JSG3" s="59"/>
      <c r="JSH3" s="59"/>
      <c r="JSI3" s="59"/>
      <c r="JSJ3" s="59"/>
      <c r="JSK3" s="59"/>
      <c r="JSL3" s="59"/>
      <c r="JSM3" s="59"/>
      <c r="JSN3" s="59"/>
      <c r="JSO3" s="59"/>
      <c r="JSP3" s="59"/>
      <c r="JSQ3" s="59"/>
      <c r="JSR3" s="59"/>
      <c r="JSS3" s="59"/>
      <c r="JST3" s="59"/>
      <c r="JSU3" s="59"/>
      <c r="JSV3" s="59"/>
      <c r="JSW3" s="59"/>
      <c r="JSX3" s="59"/>
      <c r="JSY3" s="59"/>
      <c r="JSZ3" s="59"/>
      <c r="JTA3" s="59"/>
      <c r="JTB3" s="59"/>
      <c r="JTC3" s="59"/>
      <c r="JTD3" s="59"/>
      <c r="JTE3" s="59"/>
      <c r="JTF3" s="59"/>
      <c r="JTG3" s="59"/>
      <c r="JTH3" s="59"/>
      <c r="JTI3" s="59"/>
      <c r="JTJ3" s="59"/>
      <c r="JTK3" s="59"/>
      <c r="JTL3" s="59"/>
      <c r="JTM3" s="59"/>
      <c r="JTN3" s="59"/>
      <c r="JTO3" s="59"/>
      <c r="JTP3" s="59"/>
      <c r="JTQ3" s="59"/>
      <c r="JTR3" s="59"/>
      <c r="JTS3" s="59"/>
      <c r="JTT3" s="59"/>
      <c r="JTU3" s="59"/>
      <c r="JTV3" s="59"/>
      <c r="JTW3" s="59"/>
      <c r="JTX3" s="59"/>
      <c r="JTY3" s="59"/>
      <c r="JTZ3" s="59"/>
      <c r="JUA3" s="59"/>
      <c r="JUB3" s="59"/>
      <c r="JUC3" s="59"/>
      <c r="JUD3" s="59"/>
      <c r="JUE3" s="59"/>
      <c r="JUF3" s="59"/>
      <c r="JUG3" s="59"/>
      <c r="JUH3" s="59"/>
      <c r="JUI3" s="59"/>
      <c r="JUJ3" s="59"/>
      <c r="JUK3" s="59"/>
      <c r="JUL3" s="59"/>
      <c r="JUM3" s="59"/>
      <c r="JUN3" s="59"/>
      <c r="JUO3" s="59"/>
      <c r="JUP3" s="59"/>
      <c r="JUQ3" s="59"/>
      <c r="JUR3" s="59"/>
      <c r="JUS3" s="59"/>
      <c r="JUT3" s="59"/>
      <c r="JUU3" s="59"/>
      <c r="JUV3" s="59"/>
      <c r="JUW3" s="59"/>
      <c r="JUX3" s="59"/>
      <c r="JUY3" s="59"/>
      <c r="JUZ3" s="59"/>
      <c r="JVA3" s="59"/>
      <c r="JVB3" s="59"/>
      <c r="JVC3" s="59"/>
      <c r="JVD3" s="59"/>
      <c r="JVE3" s="59"/>
      <c r="JVF3" s="59"/>
      <c r="JVG3" s="59"/>
      <c r="JVH3" s="59"/>
      <c r="JVI3" s="59"/>
      <c r="JVJ3" s="59"/>
      <c r="JVK3" s="59"/>
      <c r="JVL3" s="59"/>
      <c r="JVM3" s="59"/>
      <c r="JVN3" s="59"/>
      <c r="JVO3" s="59"/>
      <c r="JVP3" s="59"/>
      <c r="JVQ3" s="59"/>
      <c r="JVR3" s="59"/>
      <c r="JVS3" s="59"/>
      <c r="JVT3" s="59"/>
      <c r="JVU3" s="59"/>
      <c r="JVV3" s="59"/>
      <c r="JVW3" s="59"/>
      <c r="JVX3" s="59"/>
      <c r="JVY3" s="59"/>
      <c r="JVZ3" s="59"/>
      <c r="JWA3" s="59"/>
      <c r="JWB3" s="59"/>
      <c r="JWC3" s="59"/>
      <c r="JWD3" s="59"/>
      <c r="JWE3" s="59"/>
      <c r="JWF3" s="59"/>
      <c r="JWG3" s="59"/>
      <c r="JWH3" s="59"/>
      <c r="JWI3" s="59"/>
      <c r="JWJ3" s="59"/>
      <c r="JWK3" s="59"/>
      <c r="JWL3" s="59"/>
      <c r="JWM3" s="59"/>
      <c r="JWN3" s="59"/>
      <c r="JWO3" s="59"/>
      <c r="JWP3" s="59"/>
      <c r="JWQ3" s="59"/>
      <c r="JWR3" s="59"/>
      <c r="JWS3" s="59"/>
      <c r="JWT3" s="59"/>
      <c r="JWU3" s="59"/>
      <c r="JWV3" s="59"/>
      <c r="JWW3" s="59"/>
      <c r="JWX3" s="59"/>
      <c r="JWY3" s="59"/>
      <c r="JWZ3" s="59"/>
      <c r="JXA3" s="59"/>
      <c r="JXB3" s="59"/>
      <c r="JXC3" s="59"/>
      <c r="JXD3" s="59"/>
      <c r="JXE3" s="59"/>
      <c r="JXF3" s="59"/>
      <c r="JXG3" s="59"/>
      <c r="JXH3" s="59"/>
      <c r="JXI3" s="59"/>
      <c r="JXJ3" s="59"/>
      <c r="JXK3" s="59"/>
      <c r="JXL3" s="59"/>
      <c r="JXM3" s="59"/>
      <c r="JXN3" s="59"/>
      <c r="JXO3" s="59"/>
      <c r="JXP3" s="59"/>
      <c r="JXQ3" s="59"/>
      <c r="JXR3" s="59"/>
      <c r="JXS3" s="59"/>
      <c r="JXT3" s="59"/>
      <c r="JXU3" s="59"/>
      <c r="JXV3" s="59"/>
      <c r="JXW3" s="59"/>
      <c r="JXX3" s="59"/>
      <c r="JXY3" s="59"/>
      <c r="JXZ3" s="59"/>
      <c r="JYA3" s="59"/>
      <c r="JYB3" s="59"/>
      <c r="JYC3" s="59"/>
      <c r="JYD3" s="59"/>
      <c r="JYE3" s="59"/>
      <c r="JYF3" s="59"/>
      <c r="JYG3" s="59"/>
      <c r="JYH3" s="59"/>
      <c r="JYI3" s="59"/>
      <c r="JYJ3" s="59"/>
      <c r="JYK3" s="59"/>
      <c r="JYL3" s="59"/>
      <c r="JYM3" s="59"/>
      <c r="JYN3" s="59"/>
      <c r="JYO3" s="59"/>
      <c r="JYP3" s="59"/>
      <c r="JYQ3" s="59"/>
      <c r="JYR3" s="59"/>
      <c r="JYS3" s="59"/>
      <c r="JYT3" s="59"/>
      <c r="JYU3" s="59"/>
      <c r="JYV3" s="59"/>
      <c r="JYW3" s="59"/>
      <c r="JYX3" s="59"/>
      <c r="JYY3" s="59"/>
      <c r="JYZ3" s="59"/>
      <c r="JZA3" s="59"/>
      <c r="JZB3" s="59"/>
      <c r="JZC3" s="59"/>
      <c r="JZD3" s="59"/>
      <c r="JZE3" s="59"/>
      <c r="JZF3" s="59"/>
      <c r="JZG3" s="59"/>
      <c r="JZH3" s="59"/>
      <c r="JZI3" s="59"/>
      <c r="JZJ3" s="59"/>
      <c r="JZK3" s="59"/>
      <c r="JZL3" s="59"/>
      <c r="JZM3" s="59"/>
      <c r="JZN3" s="59"/>
      <c r="JZO3" s="59"/>
      <c r="JZP3" s="59"/>
      <c r="JZQ3" s="59"/>
      <c r="JZR3" s="59"/>
      <c r="JZS3" s="59"/>
      <c r="JZT3" s="59"/>
      <c r="JZU3" s="59"/>
      <c r="JZV3" s="59"/>
      <c r="JZW3" s="59"/>
      <c r="JZX3" s="59"/>
      <c r="JZY3" s="59"/>
      <c r="JZZ3" s="59"/>
      <c r="KAA3" s="59"/>
      <c r="KAB3" s="59"/>
      <c r="KAC3" s="59"/>
      <c r="KAD3" s="59"/>
      <c r="KAE3" s="59"/>
      <c r="KAF3" s="59"/>
      <c r="KAG3" s="59"/>
      <c r="KAH3" s="59"/>
      <c r="KAI3" s="59"/>
      <c r="KAJ3" s="59"/>
      <c r="KAK3" s="59"/>
      <c r="KAL3" s="59"/>
      <c r="KAM3" s="59"/>
      <c r="KAN3" s="59"/>
      <c r="KAO3" s="59"/>
      <c r="KAP3" s="59"/>
      <c r="KAQ3" s="59"/>
      <c r="KAR3" s="59"/>
      <c r="KAS3" s="59"/>
      <c r="KAT3" s="59"/>
      <c r="KAU3" s="59"/>
      <c r="KAV3" s="59"/>
      <c r="KAW3" s="59"/>
      <c r="KAX3" s="59"/>
      <c r="KAY3" s="59"/>
      <c r="KAZ3" s="59"/>
      <c r="KBA3" s="59"/>
      <c r="KBB3" s="59"/>
      <c r="KBC3" s="59"/>
      <c r="KBD3" s="59"/>
      <c r="KBE3" s="59"/>
      <c r="KBF3" s="59"/>
      <c r="KBG3" s="59"/>
      <c r="KBH3" s="59"/>
      <c r="KBI3" s="59"/>
      <c r="KBJ3" s="59"/>
      <c r="KBK3" s="59"/>
      <c r="KBL3" s="59"/>
      <c r="KBM3" s="59"/>
      <c r="KBN3" s="59"/>
      <c r="KBO3" s="59"/>
      <c r="KBP3" s="59"/>
      <c r="KBQ3" s="59"/>
      <c r="KBR3" s="59"/>
      <c r="KBS3" s="59"/>
      <c r="KBT3" s="59"/>
      <c r="KBU3" s="59"/>
      <c r="KBV3" s="59"/>
      <c r="KBW3" s="59"/>
      <c r="KBX3" s="59"/>
      <c r="KBY3" s="59"/>
      <c r="KBZ3" s="59"/>
      <c r="KCA3" s="59"/>
      <c r="KCB3" s="59"/>
      <c r="KCC3" s="59"/>
      <c r="KCD3" s="59"/>
      <c r="KCE3" s="59"/>
      <c r="KCF3" s="59"/>
      <c r="KCG3" s="59"/>
      <c r="KCH3" s="59"/>
      <c r="KCI3" s="59"/>
      <c r="KCJ3" s="59"/>
      <c r="KCK3" s="59"/>
      <c r="KCL3" s="59"/>
      <c r="KCM3" s="59"/>
      <c r="KCN3" s="59"/>
      <c r="KCO3" s="59"/>
      <c r="KCP3" s="59"/>
      <c r="KCQ3" s="59"/>
      <c r="KCR3" s="59"/>
      <c r="KCS3" s="59"/>
      <c r="KCT3" s="59"/>
      <c r="KCU3" s="59"/>
      <c r="KCV3" s="59"/>
      <c r="KCW3" s="59"/>
      <c r="KCX3" s="59"/>
      <c r="KCY3" s="59"/>
      <c r="KCZ3" s="59"/>
      <c r="KDA3" s="59"/>
      <c r="KDB3" s="59"/>
      <c r="KDC3" s="59"/>
      <c r="KDD3" s="59"/>
      <c r="KDE3" s="59"/>
      <c r="KDF3" s="59"/>
      <c r="KDG3" s="59"/>
      <c r="KDH3" s="59"/>
      <c r="KDI3" s="59"/>
      <c r="KDJ3" s="59"/>
      <c r="KDK3" s="59"/>
      <c r="KDL3" s="59"/>
      <c r="KDM3" s="59"/>
      <c r="KDN3" s="59"/>
      <c r="KDO3" s="59"/>
      <c r="KDP3" s="59"/>
      <c r="KDQ3" s="59"/>
      <c r="KDR3" s="59"/>
      <c r="KDS3" s="59"/>
      <c r="KDT3" s="59"/>
      <c r="KDU3" s="59"/>
      <c r="KDV3" s="59"/>
      <c r="KDW3" s="59"/>
      <c r="KDX3" s="59"/>
      <c r="KDY3" s="59"/>
      <c r="KDZ3" s="59"/>
      <c r="KEA3" s="59"/>
      <c r="KEB3" s="59"/>
      <c r="KEC3" s="59"/>
      <c r="KED3" s="59"/>
      <c r="KEE3" s="59"/>
      <c r="KEF3" s="59"/>
      <c r="KEG3" s="59"/>
      <c r="KEH3" s="59"/>
      <c r="KEI3" s="59"/>
      <c r="KEJ3" s="59"/>
      <c r="KEK3" s="59"/>
      <c r="KEL3" s="59"/>
      <c r="KEM3" s="59"/>
      <c r="KEN3" s="59"/>
      <c r="KEO3" s="59"/>
      <c r="KEP3" s="59"/>
      <c r="KEQ3" s="59"/>
      <c r="KER3" s="59"/>
      <c r="KES3" s="59"/>
      <c r="KET3" s="59"/>
      <c r="KEU3" s="59"/>
      <c r="KEV3" s="59"/>
      <c r="KEW3" s="59"/>
      <c r="KEX3" s="59"/>
      <c r="KEY3" s="59"/>
      <c r="KEZ3" s="59"/>
      <c r="KFA3" s="59"/>
      <c r="KFB3" s="59"/>
      <c r="KFC3" s="59"/>
      <c r="KFD3" s="59"/>
      <c r="KFE3" s="59"/>
      <c r="KFF3" s="59"/>
      <c r="KFG3" s="59"/>
      <c r="KFH3" s="59"/>
      <c r="KFI3" s="59"/>
      <c r="KFJ3" s="59"/>
      <c r="KFK3" s="59"/>
      <c r="KFL3" s="59"/>
      <c r="KFM3" s="59"/>
      <c r="KFN3" s="59"/>
      <c r="KFO3" s="59"/>
      <c r="KFP3" s="59"/>
      <c r="KFQ3" s="59"/>
      <c r="KFR3" s="59"/>
      <c r="KFS3" s="59"/>
      <c r="KFT3" s="59"/>
      <c r="KFU3" s="59"/>
      <c r="KFV3" s="59"/>
      <c r="KFW3" s="59"/>
      <c r="KFX3" s="59"/>
      <c r="KFY3" s="59"/>
      <c r="KFZ3" s="59"/>
      <c r="KGA3" s="59"/>
      <c r="KGB3" s="59"/>
      <c r="KGC3" s="59"/>
      <c r="KGD3" s="59"/>
      <c r="KGE3" s="59"/>
      <c r="KGF3" s="59"/>
      <c r="KGG3" s="59"/>
      <c r="KGH3" s="59"/>
      <c r="KGI3" s="59"/>
      <c r="KGJ3" s="59"/>
      <c r="KGK3" s="59"/>
      <c r="KGL3" s="59"/>
      <c r="KGM3" s="59"/>
      <c r="KGN3" s="59"/>
      <c r="KGO3" s="59"/>
      <c r="KGP3" s="59"/>
      <c r="KGQ3" s="59"/>
      <c r="KGR3" s="59"/>
      <c r="KGS3" s="59"/>
      <c r="KGT3" s="59"/>
      <c r="KGU3" s="59"/>
      <c r="KGV3" s="59"/>
      <c r="KGW3" s="59"/>
      <c r="KGX3" s="59"/>
      <c r="KGY3" s="59"/>
      <c r="KGZ3" s="59"/>
      <c r="KHA3" s="59"/>
      <c r="KHB3" s="59"/>
      <c r="KHC3" s="59"/>
      <c r="KHD3" s="59"/>
      <c r="KHE3" s="59"/>
      <c r="KHF3" s="59"/>
      <c r="KHG3" s="59"/>
      <c r="KHH3" s="59"/>
      <c r="KHI3" s="59"/>
      <c r="KHJ3" s="59"/>
      <c r="KHK3" s="59"/>
      <c r="KHL3" s="59"/>
      <c r="KHM3" s="59"/>
      <c r="KHN3" s="59"/>
      <c r="KHO3" s="59"/>
      <c r="KHP3" s="59"/>
      <c r="KHQ3" s="59"/>
      <c r="KHR3" s="59"/>
      <c r="KHS3" s="59"/>
      <c r="KHT3" s="59"/>
      <c r="KHU3" s="59"/>
      <c r="KHV3" s="59"/>
      <c r="KHW3" s="59"/>
      <c r="KHX3" s="59"/>
      <c r="KHY3" s="59"/>
      <c r="KHZ3" s="59"/>
      <c r="KIA3" s="59"/>
      <c r="KIB3" s="59"/>
      <c r="KIC3" s="59"/>
      <c r="KID3" s="59"/>
      <c r="KIE3" s="59"/>
      <c r="KIF3" s="59"/>
      <c r="KIG3" s="59"/>
      <c r="KIH3" s="59"/>
      <c r="KII3" s="59"/>
      <c r="KIJ3" s="59"/>
      <c r="KIK3" s="59"/>
      <c r="KIL3" s="59"/>
      <c r="KIM3" s="59"/>
      <c r="KIN3" s="59"/>
      <c r="KIO3" s="59"/>
      <c r="KIP3" s="59"/>
      <c r="KIQ3" s="59"/>
      <c r="KIR3" s="59"/>
      <c r="KIS3" s="59"/>
      <c r="KIT3" s="59"/>
      <c r="KIU3" s="59"/>
      <c r="KIV3" s="59"/>
      <c r="KIW3" s="59"/>
      <c r="KIX3" s="59"/>
      <c r="KIY3" s="59"/>
      <c r="KIZ3" s="59"/>
      <c r="KJA3" s="59"/>
      <c r="KJB3" s="59"/>
      <c r="KJC3" s="59"/>
      <c r="KJD3" s="59"/>
      <c r="KJE3" s="59"/>
      <c r="KJF3" s="59"/>
      <c r="KJG3" s="59"/>
      <c r="KJH3" s="59"/>
      <c r="KJI3" s="59"/>
      <c r="KJJ3" s="59"/>
      <c r="KJK3" s="59"/>
      <c r="KJL3" s="59"/>
      <c r="KJM3" s="59"/>
      <c r="KJN3" s="59"/>
      <c r="KJO3" s="59"/>
      <c r="KJP3" s="59"/>
      <c r="KJQ3" s="59"/>
      <c r="KJR3" s="59"/>
      <c r="KJS3" s="59"/>
      <c r="KJT3" s="59"/>
      <c r="KJU3" s="59"/>
      <c r="KJV3" s="59"/>
      <c r="KJW3" s="59"/>
      <c r="KJX3" s="59"/>
      <c r="KJY3" s="59"/>
      <c r="KJZ3" s="59"/>
      <c r="KKA3" s="59"/>
      <c r="KKB3" s="59"/>
      <c r="KKC3" s="59"/>
      <c r="KKD3" s="59"/>
      <c r="KKE3" s="59"/>
      <c r="KKF3" s="59"/>
      <c r="KKG3" s="59"/>
      <c r="KKH3" s="59"/>
      <c r="KKI3" s="59"/>
      <c r="KKJ3" s="59"/>
      <c r="KKK3" s="59"/>
      <c r="KKL3" s="59"/>
      <c r="KKM3" s="59"/>
      <c r="KKN3" s="59"/>
      <c r="KKO3" s="59"/>
      <c r="KKP3" s="59"/>
      <c r="KKQ3" s="59"/>
      <c r="KKR3" s="59"/>
      <c r="KKS3" s="59"/>
      <c r="KKT3" s="59"/>
      <c r="KKU3" s="59"/>
      <c r="KKV3" s="59"/>
      <c r="KKW3" s="59"/>
      <c r="KKX3" s="59"/>
      <c r="KKY3" s="59"/>
      <c r="KKZ3" s="59"/>
      <c r="KLA3" s="59"/>
      <c r="KLB3" s="59"/>
      <c r="KLC3" s="59"/>
      <c r="KLD3" s="59"/>
      <c r="KLE3" s="59"/>
      <c r="KLF3" s="59"/>
      <c r="KLG3" s="59"/>
      <c r="KLH3" s="59"/>
      <c r="KLI3" s="59"/>
      <c r="KLJ3" s="59"/>
      <c r="KLK3" s="59"/>
      <c r="KLL3" s="59"/>
      <c r="KLM3" s="59"/>
      <c r="KLN3" s="59"/>
      <c r="KLO3" s="59"/>
      <c r="KLP3" s="59"/>
      <c r="KLQ3" s="59"/>
      <c r="KLR3" s="59"/>
      <c r="KLS3" s="59"/>
      <c r="KLT3" s="59"/>
      <c r="KLU3" s="59"/>
      <c r="KLV3" s="59"/>
      <c r="KLW3" s="59"/>
      <c r="KLX3" s="59"/>
      <c r="KLY3" s="59"/>
      <c r="KLZ3" s="59"/>
      <c r="KMA3" s="59"/>
      <c r="KMB3" s="59"/>
      <c r="KMC3" s="59"/>
      <c r="KMD3" s="59"/>
      <c r="KME3" s="59"/>
      <c r="KMF3" s="59"/>
      <c r="KMG3" s="59"/>
      <c r="KMH3" s="59"/>
      <c r="KMI3" s="59"/>
      <c r="KMJ3" s="59"/>
      <c r="KMK3" s="59"/>
      <c r="KML3" s="59"/>
      <c r="KMM3" s="59"/>
      <c r="KMN3" s="59"/>
      <c r="KMO3" s="59"/>
      <c r="KMP3" s="59"/>
      <c r="KMQ3" s="59"/>
      <c r="KMR3" s="59"/>
      <c r="KMS3" s="59"/>
      <c r="KMT3" s="59"/>
      <c r="KMU3" s="59"/>
      <c r="KMV3" s="59"/>
      <c r="KMW3" s="59"/>
      <c r="KMX3" s="59"/>
      <c r="KMY3" s="59"/>
      <c r="KMZ3" s="59"/>
      <c r="KNA3" s="59"/>
      <c r="KNB3" s="59"/>
      <c r="KNC3" s="59"/>
      <c r="KND3" s="59"/>
      <c r="KNE3" s="59"/>
      <c r="KNF3" s="59"/>
      <c r="KNG3" s="59"/>
      <c r="KNH3" s="59"/>
      <c r="KNI3" s="59"/>
      <c r="KNJ3" s="59"/>
      <c r="KNK3" s="59"/>
      <c r="KNL3" s="59"/>
      <c r="KNM3" s="59"/>
      <c r="KNN3" s="59"/>
      <c r="KNO3" s="59"/>
      <c r="KNP3" s="59"/>
      <c r="KNQ3" s="59"/>
      <c r="KNR3" s="59"/>
      <c r="KNS3" s="59"/>
      <c r="KNT3" s="59"/>
      <c r="KNU3" s="59"/>
      <c r="KNV3" s="59"/>
      <c r="KNW3" s="59"/>
      <c r="KNX3" s="59"/>
      <c r="KNY3" s="59"/>
      <c r="KNZ3" s="59"/>
      <c r="KOA3" s="59"/>
      <c r="KOB3" s="59"/>
      <c r="KOC3" s="59"/>
      <c r="KOD3" s="59"/>
      <c r="KOE3" s="59"/>
      <c r="KOF3" s="59"/>
      <c r="KOG3" s="59"/>
      <c r="KOH3" s="59"/>
      <c r="KOI3" s="59"/>
      <c r="KOJ3" s="59"/>
      <c r="KOK3" s="59"/>
      <c r="KOL3" s="59"/>
      <c r="KOM3" s="59"/>
      <c r="KON3" s="59"/>
      <c r="KOO3" s="59"/>
      <c r="KOP3" s="59"/>
      <c r="KOQ3" s="59"/>
      <c r="KOR3" s="59"/>
      <c r="KOS3" s="59"/>
      <c r="KOT3" s="59"/>
      <c r="KOU3" s="59"/>
      <c r="KOV3" s="59"/>
      <c r="KOW3" s="59"/>
      <c r="KOX3" s="59"/>
      <c r="KOY3" s="59"/>
      <c r="KOZ3" s="59"/>
      <c r="KPA3" s="59"/>
      <c r="KPB3" s="59"/>
      <c r="KPC3" s="59"/>
      <c r="KPD3" s="59"/>
      <c r="KPE3" s="59"/>
      <c r="KPF3" s="59"/>
      <c r="KPG3" s="59"/>
      <c r="KPH3" s="59"/>
      <c r="KPI3" s="59"/>
      <c r="KPJ3" s="59"/>
      <c r="KPK3" s="59"/>
      <c r="KPL3" s="59"/>
      <c r="KPM3" s="59"/>
      <c r="KPN3" s="59"/>
      <c r="KPO3" s="59"/>
      <c r="KPP3" s="59"/>
      <c r="KPQ3" s="59"/>
      <c r="KPR3" s="59"/>
      <c r="KPS3" s="59"/>
      <c r="KPT3" s="59"/>
      <c r="KPU3" s="59"/>
      <c r="KPV3" s="59"/>
      <c r="KPW3" s="59"/>
      <c r="KPX3" s="59"/>
      <c r="KPY3" s="59"/>
      <c r="KPZ3" s="59"/>
      <c r="KQA3" s="59"/>
      <c r="KQB3" s="59"/>
      <c r="KQC3" s="59"/>
      <c r="KQD3" s="59"/>
      <c r="KQE3" s="59"/>
      <c r="KQF3" s="59"/>
      <c r="KQG3" s="59"/>
      <c r="KQH3" s="59"/>
      <c r="KQI3" s="59"/>
      <c r="KQJ3" s="59"/>
      <c r="KQK3" s="59"/>
      <c r="KQL3" s="59"/>
      <c r="KQM3" s="59"/>
      <c r="KQN3" s="59"/>
      <c r="KQO3" s="59"/>
      <c r="KQP3" s="59"/>
      <c r="KQQ3" s="59"/>
      <c r="KQR3" s="59"/>
      <c r="KQS3" s="59"/>
      <c r="KQT3" s="59"/>
      <c r="KQU3" s="59"/>
      <c r="KQV3" s="59"/>
      <c r="KQW3" s="59"/>
      <c r="KQX3" s="59"/>
      <c r="KQY3" s="59"/>
      <c r="KQZ3" s="59"/>
      <c r="KRA3" s="59"/>
      <c r="KRB3" s="59"/>
      <c r="KRC3" s="59"/>
      <c r="KRD3" s="59"/>
      <c r="KRE3" s="59"/>
      <c r="KRF3" s="59"/>
      <c r="KRG3" s="59"/>
      <c r="KRH3" s="59"/>
      <c r="KRI3" s="59"/>
      <c r="KRJ3" s="59"/>
      <c r="KRK3" s="59"/>
      <c r="KRL3" s="59"/>
      <c r="KRM3" s="59"/>
      <c r="KRN3" s="59"/>
      <c r="KRO3" s="59"/>
      <c r="KRP3" s="59"/>
      <c r="KRQ3" s="59"/>
      <c r="KRR3" s="59"/>
      <c r="KRS3" s="59"/>
      <c r="KRT3" s="59"/>
      <c r="KRU3" s="59"/>
      <c r="KRV3" s="59"/>
      <c r="KRW3" s="59"/>
      <c r="KRX3" s="59"/>
      <c r="KRY3" s="59"/>
      <c r="KRZ3" s="59"/>
      <c r="KSA3" s="59"/>
      <c r="KSB3" s="59"/>
      <c r="KSC3" s="59"/>
      <c r="KSD3" s="59"/>
      <c r="KSE3" s="59"/>
      <c r="KSF3" s="59"/>
      <c r="KSG3" s="59"/>
      <c r="KSH3" s="59"/>
      <c r="KSI3" s="59"/>
      <c r="KSJ3" s="59"/>
      <c r="KSK3" s="59"/>
      <c r="KSL3" s="59"/>
      <c r="KSM3" s="59"/>
      <c r="KSN3" s="59"/>
      <c r="KSO3" s="59"/>
      <c r="KSP3" s="59"/>
      <c r="KSQ3" s="59"/>
      <c r="KSR3" s="59"/>
      <c r="KSS3" s="59"/>
      <c r="KST3" s="59"/>
      <c r="KSU3" s="59"/>
      <c r="KSV3" s="59"/>
      <c r="KSW3" s="59"/>
      <c r="KSX3" s="59"/>
      <c r="KSY3" s="59"/>
      <c r="KSZ3" s="59"/>
      <c r="KTA3" s="59"/>
      <c r="KTB3" s="59"/>
      <c r="KTC3" s="59"/>
      <c r="KTD3" s="59"/>
      <c r="KTE3" s="59"/>
      <c r="KTF3" s="59"/>
      <c r="KTG3" s="59"/>
      <c r="KTH3" s="59"/>
      <c r="KTI3" s="59"/>
      <c r="KTJ3" s="59"/>
      <c r="KTK3" s="59"/>
      <c r="KTL3" s="59"/>
      <c r="KTM3" s="59"/>
      <c r="KTN3" s="59"/>
      <c r="KTO3" s="59"/>
      <c r="KTP3" s="59"/>
      <c r="KTQ3" s="59"/>
      <c r="KTR3" s="59"/>
      <c r="KTS3" s="59"/>
      <c r="KTT3" s="59"/>
      <c r="KTU3" s="59"/>
      <c r="KTV3" s="59"/>
      <c r="KTW3" s="59"/>
      <c r="KTX3" s="59"/>
      <c r="KTY3" s="59"/>
      <c r="KTZ3" s="59"/>
      <c r="KUA3" s="59"/>
      <c r="KUB3" s="59"/>
      <c r="KUC3" s="59"/>
      <c r="KUD3" s="59"/>
      <c r="KUE3" s="59"/>
      <c r="KUF3" s="59"/>
      <c r="KUG3" s="59"/>
      <c r="KUH3" s="59"/>
      <c r="KUI3" s="59"/>
      <c r="KUJ3" s="59"/>
      <c r="KUK3" s="59"/>
      <c r="KUL3" s="59"/>
      <c r="KUM3" s="59"/>
      <c r="KUN3" s="59"/>
      <c r="KUO3" s="59"/>
      <c r="KUP3" s="59"/>
      <c r="KUQ3" s="59"/>
      <c r="KUR3" s="59"/>
      <c r="KUS3" s="59"/>
      <c r="KUT3" s="59"/>
      <c r="KUU3" s="59"/>
      <c r="KUV3" s="59"/>
      <c r="KUW3" s="59"/>
      <c r="KUX3" s="59"/>
      <c r="KUY3" s="59"/>
      <c r="KUZ3" s="59"/>
      <c r="KVA3" s="59"/>
      <c r="KVB3" s="59"/>
      <c r="KVC3" s="59"/>
      <c r="KVD3" s="59"/>
      <c r="KVE3" s="59"/>
      <c r="KVF3" s="59"/>
      <c r="KVG3" s="59"/>
      <c r="KVH3" s="59"/>
      <c r="KVI3" s="59"/>
      <c r="KVJ3" s="59"/>
      <c r="KVK3" s="59"/>
      <c r="KVL3" s="59"/>
      <c r="KVM3" s="59"/>
      <c r="KVN3" s="59"/>
      <c r="KVO3" s="59"/>
      <c r="KVP3" s="59"/>
      <c r="KVQ3" s="59"/>
      <c r="KVR3" s="59"/>
      <c r="KVS3" s="59"/>
      <c r="KVT3" s="59"/>
      <c r="KVU3" s="59"/>
      <c r="KVV3" s="59"/>
      <c r="KVW3" s="59"/>
      <c r="KVX3" s="59"/>
      <c r="KVY3" s="59"/>
      <c r="KVZ3" s="59"/>
      <c r="KWA3" s="59"/>
      <c r="KWB3" s="59"/>
      <c r="KWC3" s="59"/>
      <c r="KWD3" s="59"/>
      <c r="KWE3" s="59"/>
      <c r="KWF3" s="59"/>
      <c r="KWG3" s="59"/>
      <c r="KWH3" s="59"/>
      <c r="KWI3" s="59"/>
      <c r="KWJ3" s="59"/>
      <c r="KWK3" s="59"/>
      <c r="KWL3" s="59"/>
      <c r="KWM3" s="59"/>
      <c r="KWN3" s="59"/>
      <c r="KWO3" s="59"/>
      <c r="KWP3" s="59"/>
      <c r="KWQ3" s="59"/>
      <c r="KWR3" s="59"/>
      <c r="KWS3" s="59"/>
      <c r="KWT3" s="59"/>
      <c r="KWU3" s="59"/>
      <c r="KWV3" s="59"/>
      <c r="KWW3" s="59"/>
      <c r="KWX3" s="59"/>
      <c r="KWY3" s="59"/>
      <c r="KWZ3" s="59"/>
      <c r="KXA3" s="59"/>
      <c r="KXB3" s="59"/>
      <c r="KXC3" s="59"/>
      <c r="KXD3" s="59"/>
      <c r="KXE3" s="59"/>
      <c r="KXF3" s="59"/>
      <c r="KXG3" s="59"/>
      <c r="KXH3" s="59"/>
      <c r="KXI3" s="59"/>
      <c r="KXJ3" s="59"/>
      <c r="KXK3" s="59"/>
      <c r="KXL3" s="59"/>
      <c r="KXM3" s="59"/>
      <c r="KXN3" s="59"/>
      <c r="KXO3" s="59"/>
      <c r="KXP3" s="59"/>
      <c r="KXQ3" s="59"/>
      <c r="KXR3" s="59"/>
      <c r="KXS3" s="59"/>
      <c r="KXT3" s="59"/>
      <c r="KXU3" s="59"/>
      <c r="KXV3" s="59"/>
      <c r="KXW3" s="59"/>
      <c r="KXX3" s="59"/>
      <c r="KXY3" s="59"/>
      <c r="KXZ3" s="59"/>
      <c r="KYA3" s="59"/>
      <c r="KYB3" s="59"/>
      <c r="KYC3" s="59"/>
      <c r="KYD3" s="59"/>
      <c r="KYE3" s="59"/>
      <c r="KYF3" s="59"/>
      <c r="KYG3" s="59"/>
      <c r="KYH3" s="59"/>
      <c r="KYI3" s="59"/>
      <c r="KYJ3" s="59"/>
      <c r="KYK3" s="59"/>
      <c r="KYL3" s="59"/>
      <c r="KYM3" s="59"/>
      <c r="KYN3" s="59"/>
      <c r="KYO3" s="59"/>
      <c r="KYP3" s="59"/>
      <c r="KYQ3" s="59"/>
      <c r="KYR3" s="59"/>
      <c r="KYS3" s="59"/>
      <c r="KYT3" s="59"/>
      <c r="KYU3" s="59"/>
      <c r="KYV3" s="59"/>
      <c r="KYW3" s="59"/>
      <c r="KYX3" s="59"/>
      <c r="KYY3" s="59"/>
      <c r="KYZ3" s="59"/>
      <c r="KZA3" s="59"/>
      <c r="KZB3" s="59"/>
      <c r="KZC3" s="59"/>
      <c r="KZD3" s="59"/>
      <c r="KZE3" s="59"/>
      <c r="KZF3" s="59"/>
      <c r="KZG3" s="59"/>
      <c r="KZH3" s="59"/>
      <c r="KZI3" s="59"/>
      <c r="KZJ3" s="59"/>
      <c r="KZK3" s="59"/>
      <c r="KZL3" s="59"/>
      <c r="KZM3" s="59"/>
      <c r="KZN3" s="59"/>
      <c r="KZO3" s="59"/>
      <c r="KZP3" s="59"/>
      <c r="KZQ3" s="59"/>
      <c r="KZR3" s="59"/>
      <c r="KZS3" s="59"/>
      <c r="KZT3" s="59"/>
      <c r="KZU3" s="59"/>
      <c r="KZV3" s="59"/>
      <c r="KZW3" s="59"/>
      <c r="KZX3" s="59"/>
      <c r="KZY3" s="59"/>
      <c r="KZZ3" s="59"/>
      <c r="LAA3" s="59"/>
      <c r="LAB3" s="59"/>
      <c r="LAC3" s="59"/>
      <c r="LAD3" s="59"/>
      <c r="LAE3" s="59"/>
      <c r="LAF3" s="59"/>
      <c r="LAG3" s="59"/>
      <c r="LAH3" s="59"/>
      <c r="LAI3" s="59"/>
      <c r="LAJ3" s="59"/>
      <c r="LAK3" s="59"/>
      <c r="LAL3" s="59"/>
      <c r="LAM3" s="59"/>
      <c r="LAN3" s="59"/>
      <c r="LAO3" s="59"/>
      <c r="LAP3" s="59"/>
      <c r="LAQ3" s="59"/>
      <c r="LAR3" s="59"/>
      <c r="LAS3" s="59"/>
      <c r="LAT3" s="59"/>
      <c r="LAU3" s="59"/>
      <c r="LAV3" s="59"/>
      <c r="LAW3" s="59"/>
      <c r="LAX3" s="59"/>
      <c r="LAY3" s="59"/>
      <c r="LAZ3" s="59"/>
      <c r="LBA3" s="59"/>
      <c r="LBB3" s="59"/>
      <c r="LBC3" s="59"/>
      <c r="LBD3" s="59"/>
      <c r="LBE3" s="59"/>
      <c r="LBF3" s="59"/>
      <c r="LBG3" s="59"/>
      <c r="LBH3" s="59"/>
      <c r="LBI3" s="59"/>
      <c r="LBJ3" s="59"/>
      <c r="LBK3" s="59"/>
      <c r="LBL3" s="59"/>
      <c r="LBM3" s="59"/>
      <c r="LBN3" s="59"/>
      <c r="LBO3" s="59"/>
      <c r="LBP3" s="59"/>
      <c r="LBQ3" s="59"/>
      <c r="LBR3" s="59"/>
      <c r="LBS3" s="59"/>
      <c r="LBT3" s="59"/>
      <c r="LBU3" s="59"/>
      <c r="LBV3" s="59"/>
      <c r="LBW3" s="59"/>
      <c r="LBX3" s="59"/>
      <c r="LBY3" s="59"/>
      <c r="LBZ3" s="59"/>
      <c r="LCA3" s="59"/>
      <c r="LCB3" s="59"/>
      <c r="LCC3" s="59"/>
      <c r="LCD3" s="59"/>
      <c r="LCE3" s="59"/>
      <c r="LCF3" s="59"/>
      <c r="LCG3" s="59"/>
      <c r="LCH3" s="59"/>
      <c r="LCI3" s="59"/>
      <c r="LCJ3" s="59"/>
      <c r="LCK3" s="59"/>
      <c r="LCL3" s="59"/>
      <c r="LCM3" s="59"/>
      <c r="LCN3" s="59"/>
      <c r="LCO3" s="59"/>
      <c r="LCP3" s="59"/>
      <c r="LCQ3" s="59"/>
      <c r="LCR3" s="59"/>
      <c r="LCS3" s="59"/>
      <c r="LCT3" s="59"/>
      <c r="LCU3" s="59"/>
      <c r="LCV3" s="59"/>
      <c r="LCW3" s="59"/>
      <c r="LCX3" s="59"/>
      <c r="LCY3" s="59"/>
      <c r="LCZ3" s="59"/>
      <c r="LDA3" s="59"/>
      <c r="LDB3" s="59"/>
      <c r="LDC3" s="59"/>
      <c r="LDD3" s="59"/>
      <c r="LDE3" s="59"/>
      <c r="LDF3" s="59"/>
      <c r="LDG3" s="59"/>
      <c r="LDH3" s="59"/>
      <c r="LDI3" s="59"/>
      <c r="LDJ3" s="59"/>
      <c r="LDK3" s="59"/>
      <c r="LDL3" s="59"/>
      <c r="LDM3" s="59"/>
      <c r="LDN3" s="59"/>
      <c r="LDO3" s="59"/>
      <c r="LDP3" s="59"/>
      <c r="LDQ3" s="59"/>
      <c r="LDR3" s="59"/>
      <c r="LDS3" s="59"/>
      <c r="LDT3" s="59"/>
      <c r="LDU3" s="59"/>
      <c r="LDV3" s="59"/>
      <c r="LDW3" s="59"/>
      <c r="LDX3" s="59"/>
      <c r="LDY3" s="59"/>
      <c r="LDZ3" s="59"/>
      <c r="LEA3" s="59"/>
      <c r="LEB3" s="59"/>
      <c r="LEC3" s="59"/>
      <c r="LED3" s="59"/>
      <c r="LEE3" s="59"/>
      <c r="LEF3" s="59"/>
      <c r="LEG3" s="59"/>
      <c r="LEH3" s="59"/>
      <c r="LEI3" s="59"/>
      <c r="LEJ3" s="59"/>
      <c r="LEK3" s="59"/>
      <c r="LEL3" s="59"/>
      <c r="LEM3" s="59"/>
      <c r="LEN3" s="59"/>
      <c r="LEO3" s="59"/>
      <c r="LEP3" s="59"/>
      <c r="LEQ3" s="59"/>
      <c r="LER3" s="59"/>
      <c r="LES3" s="59"/>
      <c r="LET3" s="59"/>
      <c r="LEU3" s="59"/>
      <c r="LEV3" s="59"/>
      <c r="LEW3" s="59"/>
      <c r="LEX3" s="59"/>
      <c r="LEY3" s="59"/>
      <c r="LEZ3" s="59"/>
      <c r="LFA3" s="59"/>
      <c r="LFB3" s="59"/>
      <c r="LFC3" s="59"/>
      <c r="LFD3" s="59"/>
      <c r="LFE3" s="59"/>
      <c r="LFF3" s="59"/>
      <c r="LFG3" s="59"/>
      <c r="LFH3" s="59"/>
      <c r="LFI3" s="59"/>
      <c r="LFJ3" s="59"/>
      <c r="LFK3" s="59"/>
      <c r="LFL3" s="59"/>
      <c r="LFM3" s="59"/>
      <c r="LFN3" s="59"/>
      <c r="LFO3" s="59"/>
      <c r="LFP3" s="59"/>
      <c r="LFQ3" s="59"/>
      <c r="LFR3" s="59"/>
      <c r="LFS3" s="59"/>
      <c r="LFT3" s="59"/>
      <c r="LFU3" s="59"/>
      <c r="LFV3" s="59"/>
      <c r="LFW3" s="59"/>
      <c r="LFX3" s="59"/>
      <c r="LFY3" s="59"/>
      <c r="LFZ3" s="59"/>
      <c r="LGA3" s="59"/>
      <c r="LGB3" s="59"/>
      <c r="LGC3" s="59"/>
      <c r="LGD3" s="59"/>
      <c r="LGE3" s="59"/>
      <c r="LGF3" s="59"/>
      <c r="LGG3" s="59"/>
      <c r="LGH3" s="59"/>
      <c r="LGI3" s="59"/>
      <c r="LGJ3" s="59"/>
      <c r="LGK3" s="59"/>
      <c r="LGL3" s="59"/>
      <c r="LGM3" s="59"/>
      <c r="LGN3" s="59"/>
      <c r="LGO3" s="59"/>
      <c r="LGP3" s="59"/>
      <c r="LGQ3" s="59"/>
      <c r="LGR3" s="59"/>
      <c r="LGS3" s="59"/>
      <c r="LGT3" s="59"/>
      <c r="LGU3" s="59"/>
      <c r="LGV3" s="59"/>
      <c r="LGW3" s="59"/>
      <c r="LGX3" s="59"/>
      <c r="LGY3" s="59"/>
      <c r="LGZ3" s="59"/>
      <c r="LHA3" s="59"/>
      <c r="LHB3" s="59"/>
      <c r="LHC3" s="59"/>
      <c r="LHD3" s="59"/>
      <c r="LHE3" s="59"/>
      <c r="LHF3" s="59"/>
      <c r="LHG3" s="59"/>
      <c r="LHH3" s="59"/>
      <c r="LHI3" s="59"/>
      <c r="LHJ3" s="59"/>
      <c r="LHK3" s="59"/>
      <c r="LHL3" s="59"/>
      <c r="LHM3" s="59"/>
      <c r="LHN3" s="59"/>
      <c r="LHO3" s="59"/>
      <c r="LHP3" s="59"/>
      <c r="LHQ3" s="59"/>
      <c r="LHR3" s="59"/>
      <c r="LHS3" s="59"/>
      <c r="LHT3" s="59"/>
      <c r="LHU3" s="59"/>
      <c r="LHV3" s="59"/>
      <c r="LHW3" s="59"/>
      <c r="LHX3" s="59"/>
      <c r="LHY3" s="59"/>
      <c r="LHZ3" s="59"/>
      <c r="LIA3" s="59"/>
      <c r="LIB3" s="59"/>
      <c r="LIC3" s="59"/>
      <c r="LID3" s="59"/>
      <c r="LIE3" s="59"/>
      <c r="LIF3" s="59"/>
      <c r="LIG3" s="59"/>
      <c r="LIH3" s="59"/>
      <c r="LII3" s="59"/>
      <c r="LIJ3" s="59"/>
      <c r="LIK3" s="59"/>
      <c r="LIL3" s="59"/>
      <c r="LIM3" s="59"/>
      <c r="LIN3" s="59"/>
      <c r="LIO3" s="59"/>
      <c r="LIP3" s="59"/>
      <c r="LIQ3" s="59"/>
      <c r="LIR3" s="59"/>
      <c r="LIS3" s="59"/>
      <c r="LIT3" s="59"/>
      <c r="LIU3" s="59"/>
      <c r="LIV3" s="59"/>
      <c r="LIW3" s="59"/>
      <c r="LIX3" s="59"/>
      <c r="LIY3" s="59"/>
      <c r="LIZ3" s="59"/>
      <c r="LJA3" s="59"/>
      <c r="LJB3" s="59"/>
      <c r="LJC3" s="59"/>
      <c r="LJD3" s="59"/>
      <c r="LJE3" s="59"/>
      <c r="LJF3" s="59"/>
      <c r="LJG3" s="59"/>
      <c r="LJH3" s="59"/>
      <c r="LJI3" s="59"/>
      <c r="LJJ3" s="59"/>
      <c r="LJK3" s="59"/>
      <c r="LJL3" s="59"/>
      <c r="LJM3" s="59"/>
      <c r="LJN3" s="59"/>
      <c r="LJO3" s="59"/>
      <c r="LJP3" s="59"/>
      <c r="LJQ3" s="59"/>
      <c r="LJR3" s="59"/>
      <c r="LJS3" s="59"/>
      <c r="LJT3" s="59"/>
      <c r="LJU3" s="59"/>
      <c r="LJV3" s="59"/>
      <c r="LJW3" s="59"/>
      <c r="LJX3" s="59"/>
      <c r="LJY3" s="59"/>
      <c r="LJZ3" s="59"/>
      <c r="LKA3" s="59"/>
      <c r="LKB3" s="59"/>
      <c r="LKC3" s="59"/>
      <c r="LKD3" s="59"/>
      <c r="LKE3" s="59"/>
      <c r="LKF3" s="59"/>
      <c r="LKG3" s="59"/>
      <c r="LKH3" s="59"/>
      <c r="LKI3" s="59"/>
      <c r="LKJ3" s="59"/>
      <c r="LKK3" s="59"/>
      <c r="LKL3" s="59"/>
      <c r="LKM3" s="59"/>
      <c r="LKN3" s="59"/>
      <c r="LKO3" s="59"/>
      <c r="LKP3" s="59"/>
      <c r="LKQ3" s="59"/>
      <c r="LKR3" s="59"/>
      <c r="LKS3" s="59"/>
      <c r="LKT3" s="59"/>
      <c r="LKU3" s="59"/>
      <c r="LKV3" s="59"/>
      <c r="LKW3" s="59"/>
      <c r="LKX3" s="59"/>
      <c r="LKY3" s="59"/>
      <c r="LKZ3" s="59"/>
      <c r="LLA3" s="59"/>
      <c r="LLB3" s="59"/>
      <c r="LLC3" s="59"/>
      <c r="LLD3" s="59"/>
      <c r="LLE3" s="59"/>
      <c r="LLF3" s="59"/>
      <c r="LLG3" s="59"/>
      <c r="LLH3" s="59"/>
      <c r="LLI3" s="59"/>
      <c r="LLJ3" s="59"/>
      <c r="LLK3" s="59"/>
      <c r="LLL3" s="59"/>
      <c r="LLM3" s="59"/>
      <c r="LLN3" s="59"/>
      <c r="LLO3" s="59"/>
      <c r="LLP3" s="59"/>
      <c r="LLQ3" s="59"/>
      <c r="LLR3" s="59"/>
      <c r="LLS3" s="59"/>
      <c r="LLT3" s="59"/>
      <c r="LLU3" s="59"/>
      <c r="LLV3" s="59"/>
      <c r="LLW3" s="59"/>
      <c r="LLX3" s="59"/>
      <c r="LLY3" s="59"/>
      <c r="LLZ3" s="59"/>
      <c r="LMA3" s="59"/>
      <c r="LMB3" s="59"/>
      <c r="LMC3" s="59"/>
      <c r="LMD3" s="59"/>
      <c r="LME3" s="59"/>
      <c r="LMF3" s="59"/>
      <c r="LMG3" s="59"/>
      <c r="LMH3" s="59"/>
      <c r="LMI3" s="59"/>
      <c r="LMJ3" s="59"/>
      <c r="LMK3" s="59"/>
      <c r="LML3" s="59"/>
      <c r="LMM3" s="59"/>
      <c r="LMN3" s="59"/>
      <c r="LMO3" s="59"/>
      <c r="LMP3" s="59"/>
      <c r="LMQ3" s="59"/>
      <c r="LMR3" s="59"/>
      <c r="LMS3" s="59"/>
      <c r="LMT3" s="59"/>
      <c r="LMU3" s="59"/>
      <c r="LMV3" s="59"/>
      <c r="LMW3" s="59"/>
      <c r="LMX3" s="59"/>
      <c r="LMY3" s="59"/>
      <c r="LMZ3" s="59"/>
      <c r="LNA3" s="59"/>
      <c r="LNB3" s="59"/>
      <c r="LNC3" s="59"/>
      <c r="LND3" s="59"/>
      <c r="LNE3" s="59"/>
      <c r="LNF3" s="59"/>
      <c r="LNG3" s="59"/>
      <c r="LNH3" s="59"/>
      <c r="LNI3" s="59"/>
      <c r="LNJ3" s="59"/>
      <c r="LNK3" s="59"/>
      <c r="LNL3" s="59"/>
      <c r="LNM3" s="59"/>
      <c r="LNN3" s="59"/>
      <c r="LNO3" s="59"/>
      <c r="LNP3" s="59"/>
      <c r="LNQ3" s="59"/>
      <c r="LNR3" s="59"/>
      <c r="LNS3" s="59"/>
      <c r="LNT3" s="59"/>
      <c r="LNU3" s="59"/>
      <c r="LNV3" s="59"/>
      <c r="LNW3" s="59"/>
      <c r="LNX3" s="59"/>
      <c r="LNY3" s="59"/>
      <c r="LNZ3" s="59"/>
      <c r="LOA3" s="59"/>
      <c r="LOB3" s="59"/>
      <c r="LOC3" s="59"/>
      <c r="LOD3" s="59"/>
      <c r="LOE3" s="59"/>
      <c r="LOF3" s="59"/>
      <c r="LOG3" s="59"/>
      <c r="LOH3" s="59"/>
      <c r="LOI3" s="59"/>
      <c r="LOJ3" s="59"/>
      <c r="LOK3" s="59"/>
      <c r="LOL3" s="59"/>
      <c r="LOM3" s="59"/>
      <c r="LON3" s="59"/>
      <c r="LOO3" s="59"/>
      <c r="LOP3" s="59"/>
      <c r="LOQ3" s="59"/>
      <c r="LOR3" s="59"/>
      <c r="LOS3" s="59"/>
      <c r="LOT3" s="59"/>
      <c r="LOU3" s="59"/>
      <c r="LOV3" s="59"/>
      <c r="LOW3" s="59"/>
      <c r="LOX3" s="59"/>
      <c r="LOY3" s="59"/>
      <c r="LOZ3" s="59"/>
      <c r="LPA3" s="59"/>
      <c r="LPB3" s="59"/>
      <c r="LPC3" s="59"/>
      <c r="LPD3" s="59"/>
      <c r="LPE3" s="59"/>
      <c r="LPF3" s="59"/>
      <c r="LPG3" s="59"/>
      <c r="LPH3" s="59"/>
      <c r="LPI3" s="59"/>
      <c r="LPJ3" s="59"/>
      <c r="LPK3" s="59"/>
      <c r="LPL3" s="59"/>
      <c r="LPM3" s="59"/>
      <c r="LPN3" s="59"/>
      <c r="LPO3" s="59"/>
      <c r="LPP3" s="59"/>
      <c r="LPQ3" s="59"/>
      <c r="LPR3" s="59"/>
      <c r="LPS3" s="59"/>
      <c r="LPT3" s="59"/>
      <c r="LPU3" s="59"/>
      <c r="LPV3" s="59"/>
      <c r="LPW3" s="59"/>
      <c r="LPX3" s="59"/>
      <c r="LPY3" s="59"/>
      <c r="LPZ3" s="59"/>
      <c r="LQA3" s="59"/>
      <c r="LQB3" s="59"/>
      <c r="LQC3" s="59"/>
      <c r="LQD3" s="59"/>
      <c r="LQE3" s="59"/>
      <c r="LQF3" s="59"/>
      <c r="LQG3" s="59"/>
      <c r="LQH3" s="59"/>
      <c r="LQI3" s="59"/>
      <c r="LQJ3" s="59"/>
      <c r="LQK3" s="59"/>
      <c r="LQL3" s="59"/>
      <c r="LQM3" s="59"/>
      <c r="LQN3" s="59"/>
      <c r="LQO3" s="59"/>
      <c r="LQP3" s="59"/>
      <c r="LQQ3" s="59"/>
      <c r="LQR3" s="59"/>
      <c r="LQS3" s="59"/>
      <c r="LQT3" s="59"/>
      <c r="LQU3" s="59"/>
      <c r="LQV3" s="59"/>
      <c r="LQW3" s="59"/>
      <c r="LQX3" s="59"/>
      <c r="LQY3" s="59"/>
      <c r="LQZ3" s="59"/>
      <c r="LRA3" s="59"/>
      <c r="LRB3" s="59"/>
      <c r="LRC3" s="59"/>
      <c r="LRD3" s="59"/>
      <c r="LRE3" s="59"/>
      <c r="LRF3" s="59"/>
      <c r="LRG3" s="59"/>
      <c r="LRH3" s="59"/>
      <c r="LRI3" s="59"/>
      <c r="LRJ3" s="59"/>
      <c r="LRK3" s="59"/>
      <c r="LRL3" s="59"/>
      <c r="LRM3" s="59"/>
      <c r="LRN3" s="59"/>
      <c r="LRO3" s="59"/>
      <c r="LRP3" s="59"/>
      <c r="LRQ3" s="59"/>
      <c r="LRR3" s="59"/>
      <c r="LRS3" s="59"/>
      <c r="LRT3" s="59"/>
      <c r="LRU3" s="59"/>
      <c r="LRV3" s="59"/>
      <c r="LRW3" s="59"/>
      <c r="LRX3" s="59"/>
      <c r="LRY3" s="59"/>
      <c r="LRZ3" s="59"/>
      <c r="LSA3" s="59"/>
      <c r="LSB3" s="59"/>
      <c r="LSC3" s="59"/>
      <c r="LSD3" s="59"/>
      <c r="LSE3" s="59"/>
      <c r="LSF3" s="59"/>
      <c r="LSG3" s="59"/>
      <c r="LSH3" s="59"/>
      <c r="LSI3" s="59"/>
      <c r="LSJ3" s="59"/>
      <c r="LSK3" s="59"/>
      <c r="LSL3" s="59"/>
      <c r="LSM3" s="59"/>
      <c r="LSN3" s="59"/>
      <c r="LSO3" s="59"/>
      <c r="LSP3" s="59"/>
      <c r="LSQ3" s="59"/>
      <c r="LSR3" s="59"/>
      <c r="LSS3" s="59"/>
      <c r="LST3" s="59"/>
      <c r="LSU3" s="59"/>
      <c r="LSV3" s="59"/>
      <c r="LSW3" s="59"/>
      <c r="LSX3" s="59"/>
      <c r="LSY3" s="59"/>
      <c r="LSZ3" s="59"/>
      <c r="LTA3" s="59"/>
      <c r="LTB3" s="59"/>
      <c r="LTC3" s="59"/>
      <c r="LTD3" s="59"/>
      <c r="LTE3" s="59"/>
      <c r="LTF3" s="59"/>
      <c r="LTG3" s="59"/>
      <c r="LTH3" s="59"/>
      <c r="LTI3" s="59"/>
      <c r="LTJ3" s="59"/>
      <c r="LTK3" s="59"/>
      <c r="LTL3" s="59"/>
      <c r="LTM3" s="59"/>
      <c r="LTN3" s="59"/>
      <c r="LTO3" s="59"/>
      <c r="LTP3" s="59"/>
      <c r="LTQ3" s="59"/>
      <c r="LTR3" s="59"/>
      <c r="LTS3" s="59"/>
      <c r="LTT3" s="59"/>
      <c r="LTU3" s="59"/>
      <c r="LTV3" s="59"/>
      <c r="LTW3" s="59"/>
      <c r="LTX3" s="59"/>
      <c r="LTY3" s="59"/>
      <c r="LTZ3" s="59"/>
      <c r="LUA3" s="59"/>
      <c r="LUB3" s="59"/>
      <c r="LUC3" s="59"/>
      <c r="LUD3" s="59"/>
      <c r="LUE3" s="59"/>
      <c r="LUF3" s="59"/>
      <c r="LUG3" s="59"/>
      <c r="LUH3" s="59"/>
      <c r="LUI3" s="59"/>
      <c r="LUJ3" s="59"/>
      <c r="LUK3" s="59"/>
      <c r="LUL3" s="59"/>
      <c r="LUM3" s="59"/>
      <c r="LUN3" s="59"/>
      <c r="LUO3" s="59"/>
      <c r="LUP3" s="59"/>
      <c r="LUQ3" s="59"/>
      <c r="LUR3" s="59"/>
      <c r="LUS3" s="59"/>
      <c r="LUT3" s="59"/>
      <c r="LUU3" s="59"/>
      <c r="LUV3" s="59"/>
      <c r="LUW3" s="59"/>
      <c r="LUX3" s="59"/>
      <c r="LUY3" s="59"/>
      <c r="LUZ3" s="59"/>
      <c r="LVA3" s="59"/>
      <c r="LVB3" s="59"/>
      <c r="LVC3" s="59"/>
      <c r="LVD3" s="59"/>
      <c r="LVE3" s="59"/>
      <c r="LVF3" s="59"/>
      <c r="LVG3" s="59"/>
      <c r="LVH3" s="59"/>
      <c r="LVI3" s="59"/>
      <c r="LVJ3" s="59"/>
      <c r="LVK3" s="59"/>
      <c r="LVL3" s="59"/>
      <c r="LVM3" s="59"/>
      <c r="LVN3" s="59"/>
      <c r="LVO3" s="59"/>
      <c r="LVP3" s="59"/>
      <c r="LVQ3" s="59"/>
      <c r="LVR3" s="59"/>
      <c r="LVS3" s="59"/>
      <c r="LVT3" s="59"/>
      <c r="LVU3" s="59"/>
      <c r="LVV3" s="59"/>
      <c r="LVW3" s="59"/>
      <c r="LVX3" s="59"/>
      <c r="LVY3" s="59"/>
      <c r="LVZ3" s="59"/>
      <c r="LWA3" s="59"/>
      <c r="LWB3" s="59"/>
      <c r="LWC3" s="59"/>
      <c r="LWD3" s="59"/>
      <c r="LWE3" s="59"/>
      <c r="LWF3" s="59"/>
      <c r="LWG3" s="59"/>
      <c r="LWH3" s="59"/>
      <c r="LWI3" s="59"/>
      <c r="LWJ3" s="59"/>
      <c r="LWK3" s="59"/>
      <c r="LWL3" s="59"/>
      <c r="LWM3" s="59"/>
      <c r="LWN3" s="59"/>
      <c r="LWO3" s="59"/>
      <c r="LWP3" s="59"/>
      <c r="LWQ3" s="59"/>
      <c r="LWR3" s="59"/>
      <c r="LWS3" s="59"/>
      <c r="LWT3" s="59"/>
      <c r="LWU3" s="59"/>
      <c r="LWV3" s="59"/>
      <c r="LWW3" s="59"/>
      <c r="LWX3" s="59"/>
      <c r="LWY3" s="59"/>
      <c r="LWZ3" s="59"/>
      <c r="LXA3" s="59"/>
      <c r="LXB3" s="59"/>
      <c r="LXC3" s="59"/>
      <c r="LXD3" s="59"/>
      <c r="LXE3" s="59"/>
      <c r="LXF3" s="59"/>
      <c r="LXG3" s="59"/>
      <c r="LXH3" s="59"/>
      <c r="LXI3" s="59"/>
      <c r="LXJ3" s="59"/>
      <c r="LXK3" s="59"/>
      <c r="LXL3" s="59"/>
      <c r="LXM3" s="59"/>
      <c r="LXN3" s="59"/>
      <c r="LXO3" s="59"/>
      <c r="LXP3" s="59"/>
      <c r="LXQ3" s="59"/>
      <c r="LXR3" s="59"/>
      <c r="LXS3" s="59"/>
      <c r="LXT3" s="59"/>
      <c r="LXU3" s="59"/>
      <c r="LXV3" s="59"/>
      <c r="LXW3" s="59"/>
      <c r="LXX3" s="59"/>
      <c r="LXY3" s="59"/>
      <c r="LXZ3" s="59"/>
      <c r="LYA3" s="59"/>
      <c r="LYB3" s="59"/>
      <c r="LYC3" s="59"/>
      <c r="LYD3" s="59"/>
      <c r="LYE3" s="59"/>
      <c r="LYF3" s="59"/>
      <c r="LYG3" s="59"/>
      <c r="LYH3" s="59"/>
      <c r="LYI3" s="59"/>
      <c r="LYJ3" s="59"/>
      <c r="LYK3" s="59"/>
      <c r="LYL3" s="59"/>
      <c r="LYM3" s="59"/>
      <c r="LYN3" s="59"/>
      <c r="LYO3" s="59"/>
      <c r="LYP3" s="59"/>
      <c r="LYQ3" s="59"/>
      <c r="LYR3" s="59"/>
      <c r="LYS3" s="59"/>
      <c r="LYT3" s="59"/>
      <c r="LYU3" s="59"/>
      <c r="LYV3" s="59"/>
      <c r="LYW3" s="59"/>
      <c r="LYX3" s="59"/>
      <c r="LYY3" s="59"/>
      <c r="LYZ3" s="59"/>
      <c r="LZA3" s="59"/>
      <c r="LZB3" s="59"/>
      <c r="LZC3" s="59"/>
      <c r="LZD3" s="59"/>
      <c r="LZE3" s="59"/>
      <c r="LZF3" s="59"/>
      <c r="LZG3" s="59"/>
      <c r="LZH3" s="59"/>
      <c r="LZI3" s="59"/>
      <c r="LZJ3" s="59"/>
      <c r="LZK3" s="59"/>
      <c r="LZL3" s="59"/>
      <c r="LZM3" s="59"/>
      <c r="LZN3" s="59"/>
      <c r="LZO3" s="59"/>
      <c r="LZP3" s="59"/>
      <c r="LZQ3" s="59"/>
      <c r="LZR3" s="59"/>
      <c r="LZS3" s="59"/>
      <c r="LZT3" s="59"/>
      <c r="LZU3" s="59"/>
      <c r="LZV3" s="59"/>
      <c r="LZW3" s="59"/>
      <c r="LZX3" s="59"/>
      <c r="LZY3" s="59"/>
      <c r="LZZ3" s="59"/>
      <c r="MAA3" s="59"/>
      <c r="MAB3" s="59"/>
      <c r="MAC3" s="59"/>
      <c r="MAD3" s="59"/>
      <c r="MAE3" s="59"/>
      <c r="MAF3" s="59"/>
      <c r="MAG3" s="59"/>
      <c r="MAH3" s="59"/>
      <c r="MAI3" s="59"/>
      <c r="MAJ3" s="59"/>
      <c r="MAK3" s="59"/>
      <c r="MAL3" s="59"/>
      <c r="MAM3" s="59"/>
      <c r="MAN3" s="59"/>
      <c r="MAO3" s="59"/>
      <c r="MAP3" s="59"/>
      <c r="MAQ3" s="59"/>
      <c r="MAR3" s="59"/>
      <c r="MAS3" s="59"/>
      <c r="MAT3" s="59"/>
      <c r="MAU3" s="59"/>
      <c r="MAV3" s="59"/>
      <c r="MAW3" s="59"/>
      <c r="MAX3" s="59"/>
      <c r="MAY3" s="59"/>
      <c r="MAZ3" s="59"/>
      <c r="MBA3" s="59"/>
      <c r="MBB3" s="59"/>
      <c r="MBC3" s="59"/>
      <c r="MBD3" s="59"/>
      <c r="MBE3" s="59"/>
      <c r="MBF3" s="59"/>
      <c r="MBG3" s="59"/>
      <c r="MBH3" s="59"/>
      <c r="MBI3" s="59"/>
      <c r="MBJ3" s="59"/>
      <c r="MBK3" s="59"/>
      <c r="MBL3" s="59"/>
      <c r="MBM3" s="59"/>
      <c r="MBN3" s="59"/>
      <c r="MBO3" s="59"/>
      <c r="MBP3" s="59"/>
      <c r="MBQ3" s="59"/>
      <c r="MBR3" s="59"/>
      <c r="MBS3" s="59"/>
      <c r="MBT3" s="59"/>
      <c r="MBU3" s="59"/>
      <c r="MBV3" s="59"/>
      <c r="MBW3" s="59"/>
      <c r="MBX3" s="59"/>
      <c r="MBY3" s="59"/>
      <c r="MBZ3" s="59"/>
      <c r="MCA3" s="59"/>
      <c r="MCB3" s="59"/>
      <c r="MCC3" s="59"/>
      <c r="MCD3" s="59"/>
      <c r="MCE3" s="59"/>
      <c r="MCF3" s="59"/>
      <c r="MCG3" s="59"/>
      <c r="MCH3" s="59"/>
      <c r="MCI3" s="59"/>
      <c r="MCJ3" s="59"/>
      <c r="MCK3" s="59"/>
      <c r="MCL3" s="59"/>
      <c r="MCM3" s="59"/>
      <c r="MCN3" s="59"/>
      <c r="MCO3" s="59"/>
      <c r="MCP3" s="59"/>
      <c r="MCQ3" s="59"/>
      <c r="MCR3" s="59"/>
      <c r="MCS3" s="59"/>
      <c r="MCT3" s="59"/>
      <c r="MCU3" s="59"/>
      <c r="MCV3" s="59"/>
      <c r="MCW3" s="59"/>
      <c r="MCX3" s="59"/>
      <c r="MCY3" s="59"/>
      <c r="MCZ3" s="59"/>
      <c r="MDA3" s="59"/>
      <c r="MDB3" s="59"/>
      <c r="MDC3" s="59"/>
      <c r="MDD3" s="59"/>
      <c r="MDE3" s="59"/>
      <c r="MDF3" s="59"/>
      <c r="MDG3" s="59"/>
      <c r="MDH3" s="59"/>
      <c r="MDI3" s="59"/>
      <c r="MDJ3" s="59"/>
      <c r="MDK3" s="59"/>
      <c r="MDL3" s="59"/>
      <c r="MDM3" s="59"/>
      <c r="MDN3" s="59"/>
      <c r="MDO3" s="59"/>
      <c r="MDP3" s="59"/>
      <c r="MDQ3" s="59"/>
      <c r="MDR3" s="59"/>
      <c r="MDS3" s="59"/>
      <c r="MDT3" s="59"/>
      <c r="MDU3" s="59"/>
      <c r="MDV3" s="59"/>
      <c r="MDW3" s="59"/>
      <c r="MDX3" s="59"/>
      <c r="MDY3" s="59"/>
      <c r="MDZ3" s="59"/>
      <c r="MEA3" s="59"/>
      <c r="MEB3" s="59"/>
      <c r="MEC3" s="59"/>
      <c r="MED3" s="59"/>
      <c r="MEE3" s="59"/>
      <c r="MEF3" s="59"/>
      <c r="MEG3" s="59"/>
      <c r="MEH3" s="59"/>
      <c r="MEI3" s="59"/>
      <c r="MEJ3" s="59"/>
      <c r="MEK3" s="59"/>
      <c r="MEL3" s="59"/>
      <c r="MEM3" s="59"/>
      <c r="MEN3" s="59"/>
      <c r="MEO3" s="59"/>
      <c r="MEP3" s="59"/>
      <c r="MEQ3" s="59"/>
      <c r="MER3" s="59"/>
      <c r="MES3" s="59"/>
      <c r="MET3" s="59"/>
      <c r="MEU3" s="59"/>
      <c r="MEV3" s="59"/>
      <c r="MEW3" s="59"/>
      <c r="MEX3" s="59"/>
      <c r="MEY3" s="59"/>
      <c r="MEZ3" s="59"/>
      <c r="MFA3" s="59"/>
      <c r="MFB3" s="59"/>
      <c r="MFC3" s="59"/>
      <c r="MFD3" s="59"/>
      <c r="MFE3" s="59"/>
      <c r="MFF3" s="59"/>
      <c r="MFG3" s="59"/>
      <c r="MFH3" s="59"/>
      <c r="MFI3" s="59"/>
      <c r="MFJ3" s="59"/>
      <c r="MFK3" s="59"/>
      <c r="MFL3" s="59"/>
      <c r="MFM3" s="59"/>
      <c r="MFN3" s="59"/>
      <c r="MFO3" s="59"/>
      <c r="MFP3" s="59"/>
      <c r="MFQ3" s="59"/>
      <c r="MFR3" s="59"/>
      <c r="MFS3" s="59"/>
      <c r="MFT3" s="59"/>
      <c r="MFU3" s="59"/>
      <c r="MFV3" s="59"/>
      <c r="MFW3" s="59"/>
      <c r="MFX3" s="59"/>
      <c r="MFY3" s="59"/>
      <c r="MFZ3" s="59"/>
      <c r="MGA3" s="59"/>
      <c r="MGB3" s="59"/>
      <c r="MGC3" s="59"/>
      <c r="MGD3" s="59"/>
      <c r="MGE3" s="59"/>
      <c r="MGF3" s="59"/>
      <c r="MGG3" s="59"/>
      <c r="MGH3" s="59"/>
      <c r="MGI3" s="59"/>
      <c r="MGJ3" s="59"/>
      <c r="MGK3" s="59"/>
      <c r="MGL3" s="59"/>
      <c r="MGM3" s="59"/>
      <c r="MGN3" s="59"/>
      <c r="MGO3" s="59"/>
      <c r="MGP3" s="59"/>
      <c r="MGQ3" s="59"/>
      <c r="MGR3" s="59"/>
      <c r="MGS3" s="59"/>
      <c r="MGT3" s="59"/>
      <c r="MGU3" s="59"/>
      <c r="MGV3" s="59"/>
      <c r="MGW3" s="59"/>
      <c r="MGX3" s="59"/>
      <c r="MGY3" s="59"/>
      <c r="MGZ3" s="59"/>
      <c r="MHA3" s="59"/>
      <c r="MHB3" s="59"/>
      <c r="MHC3" s="59"/>
      <c r="MHD3" s="59"/>
      <c r="MHE3" s="59"/>
      <c r="MHF3" s="59"/>
      <c r="MHG3" s="59"/>
      <c r="MHH3" s="59"/>
      <c r="MHI3" s="59"/>
      <c r="MHJ3" s="59"/>
      <c r="MHK3" s="59"/>
      <c r="MHL3" s="59"/>
      <c r="MHM3" s="59"/>
      <c r="MHN3" s="59"/>
      <c r="MHO3" s="59"/>
      <c r="MHP3" s="59"/>
      <c r="MHQ3" s="59"/>
      <c r="MHR3" s="59"/>
      <c r="MHS3" s="59"/>
      <c r="MHT3" s="59"/>
      <c r="MHU3" s="59"/>
      <c r="MHV3" s="59"/>
      <c r="MHW3" s="59"/>
      <c r="MHX3" s="59"/>
      <c r="MHY3" s="59"/>
      <c r="MHZ3" s="59"/>
      <c r="MIA3" s="59"/>
      <c r="MIB3" s="59"/>
      <c r="MIC3" s="59"/>
      <c r="MID3" s="59"/>
      <c r="MIE3" s="59"/>
      <c r="MIF3" s="59"/>
      <c r="MIG3" s="59"/>
      <c r="MIH3" s="59"/>
      <c r="MII3" s="59"/>
      <c r="MIJ3" s="59"/>
      <c r="MIK3" s="59"/>
      <c r="MIL3" s="59"/>
      <c r="MIM3" s="59"/>
      <c r="MIN3" s="59"/>
      <c r="MIO3" s="59"/>
      <c r="MIP3" s="59"/>
      <c r="MIQ3" s="59"/>
      <c r="MIR3" s="59"/>
      <c r="MIS3" s="59"/>
      <c r="MIT3" s="59"/>
      <c r="MIU3" s="59"/>
      <c r="MIV3" s="59"/>
      <c r="MIW3" s="59"/>
      <c r="MIX3" s="59"/>
      <c r="MIY3" s="59"/>
      <c r="MIZ3" s="59"/>
      <c r="MJA3" s="59"/>
      <c r="MJB3" s="59"/>
      <c r="MJC3" s="59"/>
      <c r="MJD3" s="59"/>
      <c r="MJE3" s="59"/>
      <c r="MJF3" s="59"/>
      <c r="MJG3" s="59"/>
      <c r="MJH3" s="59"/>
      <c r="MJI3" s="59"/>
      <c r="MJJ3" s="59"/>
      <c r="MJK3" s="59"/>
      <c r="MJL3" s="59"/>
      <c r="MJM3" s="59"/>
      <c r="MJN3" s="59"/>
      <c r="MJO3" s="59"/>
      <c r="MJP3" s="59"/>
      <c r="MJQ3" s="59"/>
      <c r="MJR3" s="59"/>
      <c r="MJS3" s="59"/>
      <c r="MJT3" s="59"/>
      <c r="MJU3" s="59"/>
      <c r="MJV3" s="59"/>
      <c r="MJW3" s="59"/>
      <c r="MJX3" s="59"/>
      <c r="MJY3" s="59"/>
      <c r="MJZ3" s="59"/>
      <c r="MKA3" s="59"/>
      <c r="MKB3" s="59"/>
      <c r="MKC3" s="59"/>
      <c r="MKD3" s="59"/>
      <c r="MKE3" s="59"/>
      <c r="MKF3" s="59"/>
      <c r="MKG3" s="59"/>
      <c r="MKH3" s="59"/>
      <c r="MKI3" s="59"/>
      <c r="MKJ3" s="59"/>
      <c r="MKK3" s="59"/>
      <c r="MKL3" s="59"/>
      <c r="MKM3" s="59"/>
      <c r="MKN3" s="59"/>
      <c r="MKO3" s="59"/>
      <c r="MKP3" s="59"/>
      <c r="MKQ3" s="59"/>
      <c r="MKR3" s="59"/>
      <c r="MKS3" s="59"/>
      <c r="MKT3" s="59"/>
      <c r="MKU3" s="59"/>
      <c r="MKV3" s="59"/>
      <c r="MKW3" s="59"/>
      <c r="MKX3" s="59"/>
      <c r="MKY3" s="59"/>
      <c r="MKZ3" s="59"/>
      <c r="MLA3" s="59"/>
      <c r="MLB3" s="59"/>
      <c r="MLC3" s="59"/>
      <c r="MLD3" s="59"/>
      <c r="MLE3" s="59"/>
      <c r="MLF3" s="59"/>
      <c r="MLG3" s="59"/>
      <c r="MLH3" s="59"/>
      <c r="MLI3" s="59"/>
      <c r="MLJ3" s="59"/>
      <c r="MLK3" s="59"/>
      <c r="MLL3" s="59"/>
      <c r="MLM3" s="59"/>
      <c r="MLN3" s="59"/>
      <c r="MLO3" s="59"/>
      <c r="MLP3" s="59"/>
      <c r="MLQ3" s="59"/>
      <c r="MLR3" s="59"/>
      <c r="MLS3" s="59"/>
      <c r="MLT3" s="59"/>
      <c r="MLU3" s="59"/>
      <c r="MLV3" s="59"/>
      <c r="MLW3" s="59"/>
      <c r="MLX3" s="59"/>
      <c r="MLY3" s="59"/>
      <c r="MLZ3" s="59"/>
      <c r="MMA3" s="59"/>
      <c r="MMB3" s="59"/>
      <c r="MMC3" s="59"/>
      <c r="MMD3" s="59"/>
      <c r="MME3" s="59"/>
      <c r="MMF3" s="59"/>
      <c r="MMG3" s="59"/>
      <c r="MMH3" s="59"/>
      <c r="MMI3" s="59"/>
      <c r="MMJ3" s="59"/>
      <c r="MMK3" s="59"/>
      <c r="MML3" s="59"/>
      <c r="MMM3" s="59"/>
      <c r="MMN3" s="59"/>
      <c r="MMO3" s="59"/>
      <c r="MMP3" s="59"/>
      <c r="MMQ3" s="59"/>
      <c r="MMR3" s="59"/>
      <c r="MMS3" s="59"/>
      <c r="MMT3" s="59"/>
      <c r="MMU3" s="59"/>
      <c r="MMV3" s="59"/>
      <c r="MMW3" s="59"/>
      <c r="MMX3" s="59"/>
      <c r="MMY3" s="59"/>
      <c r="MMZ3" s="59"/>
      <c r="MNA3" s="59"/>
      <c r="MNB3" s="59"/>
      <c r="MNC3" s="59"/>
      <c r="MND3" s="59"/>
      <c r="MNE3" s="59"/>
      <c r="MNF3" s="59"/>
      <c r="MNG3" s="59"/>
      <c r="MNH3" s="59"/>
      <c r="MNI3" s="59"/>
      <c r="MNJ3" s="59"/>
      <c r="MNK3" s="59"/>
      <c r="MNL3" s="59"/>
      <c r="MNM3" s="59"/>
      <c r="MNN3" s="59"/>
      <c r="MNO3" s="59"/>
      <c r="MNP3" s="59"/>
      <c r="MNQ3" s="59"/>
      <c r="MNR3" s="59"/>
      <c r="MNS3" s="59"/>
      <c r="MNT3" s="59"/>
      <c r="MNU3" s="59"/>
      <c r="MNV3" s="59"/>
      <c r="MNW3" s="59"/>
      <c r="MNX3" s="59"/>
      <c r="MNY3" s="59"/>
      <c r="MNZ3" s="59"/>
      <c r="MOA3" s="59"/>
      <c r="MOB3" s="59"/>
      <c r="MOC3" s="59"/>
      <c r="MOD3" s="59"/>
      <c r="MOE3" s="59"/>
      <c r="MOF3" s="59"/>
      <c r="MOG3" s="59"/>
      <c r="MOH3" s="59"/>
      <c r="MOI3" s="59"/>
      <c r="MOJ3" s="59"/>
      <c r="MOK3" s="59"/>
      <c r="MOL3" s="59"/>
      <c r="MOM3" s="59"/>
      <c r="MON3" s="59"/>
      <c r="MOO3" s="59"/>
      <c r="MOP3" s="59"/>
      <c r="MOQ3" s="59"/>
      <c r="MOR3" s="59"/>
      <c r="MOS3" s="59"/>
      <c r="MOT3" s="59"/>
      <c r="MOU3" s="59"/>
      <c r="MOV3" s="59"/>
      <c r="MOW3" s="59"/>
      <c r="MOX3" s="59"/>
      <c r="MOY3" s="59"/>
      <c r="MOZ3" s="59"/>
      <c r="MPA3" s="59"/>
      <c r="MPB3" s="59"/>
      <c r="MPC3" s="59"/>
      <c r="MPD3" s="59"/>
      <c r="MPE3" s="59"/>
      <c r="MPF3" s="59"/>
      <c r="MPG3" s="59"/>
      <c r="MPH3" s="59"/>
      <c r="MPI3" s="59"/>
      <c r="MPJ3" s="59"/>
      <c r="MPK3" s="59"/>
      <c r="MPL3" s="59"/>
      <c r="MPM3" s="59"/>
      <c r="MPN3" s="59"/>
      <c r="MPO3" s="59"/>
      <c r="MPP3" s="59"/>
      <c r="MPQ3" s="59"/>
      <c r="MPR3" s="59"/>
      <c r="MPS3" s="59"/>
      <c r="MPT3" s="59"/>
      <c r="MPU3" s="59"/>
      <c r="MPV3" s="59"/>
      <c r="MPW3" s="59"/>
      <c r="MPX3" s="59"/>
      <c r="MPY3" s="59"/>
      <c r="MPZ3" s="59"/>
      <c r="MQA3" s="59"/>
      <c r="MQB3" s="59"/>
      <c r="MQC3" s="59"/>
      <c r="MQD3" s="59"/>
      <c r="MQE3" s="59"/>
      <c r="MQF3" s="59"/>
      <c r="MQG3" s="59"/>
      <c r="MQH3" s="59"/>
      <c r="MQI3" s="59"/>
      <c r="MQJ3" s="59"/>
      <c r="MQK3" s="59"/>
      <c r="MQL3" s="59"/>
      <c r="MQM3" s="59"/>
      <c r="MQN3" s="59"/>
      <c r="MQO3" s="59"/>
      <c r="MQP3" s="59"/>
      <c r="MQQ3" s="59"/>
      <c r="MQR3" s="59"/>
      <c r="MQS3" s="59"/>
      <c r="MQT3" s="59"/>
      <c r="MQU3" s="59"/>
      <c r="MQV3" s="59"/>
      <c r="MQW3" s="59"/>
      <c r="MQX3" s="59"/>
      <c r="MQY3" s="59"/>
      <c r="MQZ3" s="59"/>
      <c r="MRA3" s="59"/>
      <c r="MRB3" s="59"/>
      <c r="MRC3" s="59"/>
      <c r="MRD3" s="59"/>
      <c r="MRE3" s="59"/>
      <c r="MRF3" s="59"/>
      <c r="MRG3" s="59"/>
      <c r="MRH3" s="59"/>
      <c r="MRI3" s="59"/>
      <c r="MRJ3" s="59"/>
      <c r="MRK3" s="59"/>
      <c r="MRL3" s="59"/>
      <c r="MRM3" s="59"/>
      <c r="MRN3" s="59"/>
      <c r="MRO3" s="59"/>
      <c r="MRP3" s="59"/>
      <c r="MRQ3" s="59"/>
      <c r="MRR3" s="59"/>
      <c r="MRS3" s="59"/>
      <c r="MRT3" s="59"/>
      <c r="MRU3" s="59"/>
      <c r="MRV3" s="59"/>
      <c r="MRW3" s="59"/>
      <c r="MRX3" s="59"/>
      <c r="MRY3" s="59"/>
      <c r="MRZ3" s="59"/>
      <c r="MSA3" s="59"/>
      <c r="MSB3" s="59"/>
      <c r="MSC3" s="59"/>
      <c r="MSD3" s="59"/>
      <c r="MSE3" s="59"/>
      <c r="MSF3" s="59"/>
      <c r="MSG3" s="59"/>
      <c r="MSH3" s="59"/>
      <c r="MSI3" s="59"/>
      <c r="MSJ3" s="59"/>
      <c r="MSK3" s="59"/>
      <c r="MSL3" s="59"/>
      <c r="MSM3" s="59"/>
      <c r="MSN3" s="59"/>
      <c r="MSO3" s="59"/>
      <c r="MSP3" s="59"/>
      <c r="MSQ3" s="59"/>
      <c r="MSR3" s="59"/>
      <c r="MSS3" s="59"/>
      <c r="MST3" s="59"/>
      <c r="MSU3" s="59"/>
      <c r="MSV3" s="59"/>
      <c r="MSW3" s="59"/>
      <c r="MSX3" s="59"/>
      <c r="MSY3" s="59"/>
      <c r="MSZ3" s="59"/>
      <c r="MTA3" s="59"/>
      <c r="MTB3" s="59"/>
      <c r="MTC3" s="59"/>
      <c r="MTD3" s="59"/>
      <c r="MTE3" s="59"/>
      <c r="MTF3" s="59"/>
      <c r="MTG3" s="59"/>
      <c r="MTH3" s="59"/>
      <c r="MTI3" s="59"/>
      <c r="MTJ3" s="59"/>
      <c r="MTK3" s="59"/>
      <c r="MTL3" s="59"/>
      <c r="MTM3" s="59"/>
      <c r="MTN3" s="59"/>
      <c r="MTO3" s="59"/>
      <c r="MTP3" s="59"/>
      <c r="MTQ3" s="59"/>
      <c r="MTR3" s="59"/>
      <c r="MTS3" s="59"/>
      <c r="MTT3" s="59"/>
      <c r="MTU3" s="59"/>
      <c r="MTV3" s="59"/>
      <c r="MTW3" s="59"/>
      <c r="MTX3" s="59"/>
      <c r="MTY3" s="59"/>
      <c r="MTZ3" s="59"/>
      <c r="MUA3" s="59"/>
      <c r="MUB3" s="59"/>
      <c r="MUC3" s="59"/>
      <c r="MUD3" s="59"/>
      <c r="MUE3" s="59"/>
      <c r="MUF3" s="59"/>
      <c r="MUG3" s="59"/>
      <c r="MUH3" s="59"/>
      <c r="MUI3" s="59"/>
      <c r="MUJ3" s="59"/>
      <c r="MUK3" s="59"/>
      <c r="MUL3" s="59"/>
      <c r="MUM3" s="59"/>
      <c r="MUN3" s="59"/>
      <c r="MUO3" s="59"/>
      <c r="MUP3" s="59"/>
      <c r="MUQ3" s="59"/>
      <c r="MUR3" s="59"/>
      <c r="MUS3" s="59"/>
      <c r="MUT3" s="59"/>
      <c r="MUU3" s="59"/>
      <c r="MUV3" s="59"/>
      <c r="MUW3" s="59"/>
      <c r="MUX3" s="59"/>
      <c r="MUY3" s="59"/>
      <c r="MUZ3" s="59"/>
      <c r="MVA3" s="59"/>
      <c r="MVB3" s="59"/>
      <c r="MVC3" s="59"/>
      <c r="MVD3" s="59"/>
      <c r="MVE3" s="59"/>
      <c r="MVF3" s="59"/>
      <c r="MVG3" s="59"/>
      <c r="MVH3" s="59"/>
      <c r="MVI3" s="59"/>
      <c r="MVJ3" s="59"/>
      <c r="MVK3" s="59"/>
      <c r="MVL3" s="59"/>
      <c r="MVM3" s="59"/>
      <c r="MVN3" s="59"/>
      <c r="MVO3" s="59"/>
      <c r="MVP3" s="59"/>
      <c r="MVQ3" s="59"/>
      <c r="MVR3" s="59"/>
      <c r="MVS3" s="59"/>
      <c r="MVT3" s="59"/>
      <c r="MVU3" s="59"/>
      <c r="MVV3" s="59"/>
      <c r="MVW3" s="59"/>
      <c r="MVX3" s="59"/>
      <c r="MVY3" s="59"/>
      <c r="MVZ3" s="59"/>
      <c r="MWA3" s="59"/>
      <c r="MWB3" s="59"/>
      <c r="MWC3" s="59"/>
      <c r="MWD3" s="59"/>
      <c r="MWE3" s="59"/>
      <c r="MWF3" s="59"/>
      <c r="MWG3" s="59"/>
      <c r="MWH3" s="59"/>
      <c r="MWI3" s="59"/>
      <c r="MWJ3" s="59"/>
      <c r="MWK3" s="59"/>
      <c r="MWL3" s="59"/>
      <c r="MWM3" s="59"/>
      <c r="MWN3" s="59"/>
      <c r="MWO3" s="59"/>
      <c r="MWP3" s="59"/>
      <c r="MWQ3" s="59"/>
      <c r="MWR3" s="59"/>
      <c r="MWS3" s="59"/>
      <c r="MWT3" s="59"/>
      <c r="MWU3" s="59"/>
      <c r="MWV3" s="59"/>
      <c r="MWW3" s="59"/>
      <c r="MWX3" s="59"/>
      <c r="MWY3" s="59"/>
      <c r="MWZ3" s="59"/>
      <c r="MXA3" s="59"/>
      <c r="MXB3" s="59"/>
      <c r="MXC3" s="59"/>
      <c r="MXD3" s="59"/>
      <c r="MXE3" s="59"/>
      <c r="MXF3" s="59"/>
      <c r="MXG3" s="59"/>
      <c r="MXH3" s="59"/>
      <c r="MXI3" s="59"/>
      <c r="MXJ3" s="59"/>
      <c r="MXK3" s="59"/>
      <c r="MXL3" s="59"/>
      <c r="MXM3" s="59"/>
      <c r="MXN3" s="59"/>
      <c r="MXO3" s="59"/>
      <c r="MXP3" s="59"/>
      <c r="MXQ3" s="59"/>
      <c r="MXR3" s="59"/>
      <c r="MXS3" s="59"/>
      <c r="MXT3" s="59"/>
      <c r="MXU3" s="59"/>
      <c r="MXV3" s="59"/>
      <c r="MXW3" s="59"/>
      <c r="MXX3" s="59"/>
      <c r="MXY3" s="59"/>
      <c r="MXZ3" s="59"/>
      <c r="MYA3" s="59"/>
      <c r="MYB3" s="59"/>
      <c r="MYC3" s="59"/>
      <c r="MYD3" s="59"/>
      <c r="MYE3" s="59"/>
      <c r="MYF3" s="59"/>
      <c r="MYG3" s="59"/>
      <c r="MYH3" s="59"/>
      <c r="MYI3" s="59"/>
      <c r="MYJ3" s="59"/>
      <c r="MYK3" s="59"/>
      <c r="MYL3" s="59"/>
      <c r="MYM3" s="59"/>
      <c r="MYN3" s="59"/>
      <c r="MYO3" s="59"/>
      <c r="MYP3" s="59"/>
      <c r="MYQ3" s="59"/>
      <c r="MYR3" s="59"/>
      <c r="MYS3" s="59"/>
      <c r="MYT3" s="59"/>
      <c r="MYU3" s="59"/>
      <c r="MYV3" s="59"/>
      <c r="MYW3" s="59"/>
      <c r="MYX3" s="59"/>
      <c r="MYY3" s="59"/>
      <c r="MYZ3" s="59"/>
      <c r="MZA3" s="59"/>
      <c r="MZB3" s="59"/>
      <c r="MZC3" s="59"/>
      <c r="MZD3" s="59"/>
      <c r="MZE3" s="59"/>
      <c r="MZF3" s="59"/>
      <c r="MZG3" s="59"/>
      <c r="MZH3" s="59"/>
      <c r="MZI3" s="59"/>
      <c r="MZJ3" s="59"/>
      <c r="MZK3" s="59"/>
      <c r="MZL3" s="59"/>
      <c r="MZM3" s="59"/>
      <c r="MZN3" s="59"/>
      <c r="MZO3" s="59"/>
      <c r="MZP3" s="59"/>
      <c r="MZQ3" s="59"/>
      <c r="MZR3" s="59"/>
      <c r="MZS3" s="59"/>
      <c r="MZT3" s="59"/>
      <c r="MZU3" s="59"/>
      <c r="MZV3" s="59"/>
      <c r="MZW3" s="59"/>
      <c r="MZX3" s="59"/>
      <c r="MZY3" s="59"/>
      <c r="MZZ3" s="59"/>
      <c r="NAA3" s="59"/>
      <c r="NAB3" s="59"/>
      <c r="NAC3" s="59"/>
      <c r="NAD3" s="59"/>
      <c r="NAE3" s="59"/>
      <c r="NAF3" s="59"/>
      <c r="NAG3" s="59"/>
      <c r="NAH3" s="59"/>
      <c r="NAI3" s="59"/>
      <c r="NAJ3" s="59"/>
      <c r="NAK3" s="59"/>
      <c r="NAL3" s="59"/>
      <c r="NAM3" s="59"/>
      <c r="NAN3" s="59"/>
      <c r="NAO3" s="59"/>
      <c r="NAP3" s="59"/>
      <c r="NAQ3" s="59"/>
      <c r="NAR3" s="59"/>
      <c r="NAS3" s="59"/>
      <c r="NAT3" s="59"/>
      <c r="NAU3" s="59"/>
      <c r="NAV3" s="59"/>
      <c r="NAW3" s="59"/>
      <c r="NAX3" s="59"/>
      <c r="NAY3" s="59"/>
      <c r="NAZ3" s="59"/>
      <c r="NBA3" s="59"/>
      <c r="NBB3" s="59"/>
      <c r="NBC3" s="59"/>
      <c r="NBD3" s="59"/>
      <c r="NBE3" s="59"/>
      <c r="NBF3" s="59"/>
      <c r="NBG3" s="59"/>
      <c r="NBH3" s="59"/>
      <c r="NBI3" s="59"/>
      <c r="NBJ3" s="59"/>
      <c r="NBK3" s="59"/>
      <c r="NBL3" s="59"/>
      <c r="NBM3" s="59"/>
      <c r="NBN3" s="59"/>
      <c r="NBO3" s="59"/>
      <c r="NBP3" s="59"/>
      <c r="NBQ3" s="59"/>
      <c r="NBR3" s="59"/>
      <c r="NBS3" s="59"/>
      <c r="NBT3" s="59"/>
      <c r="NBU3" s="59"/>
      <c r="NBV3" s="59"/>
      <c r="NBW3" s="59"/>
      <c r="NBX3" s="59"/>
      <c r="NBY3" s="59"/>
      <c r="NBZ3" s="59"/>
      <c r="NCA3" s="59"/>
      <c r="NCB3" s="59"/>
      <c r="NCC3" s="59"/>
      <c r="NCD3" s="59"/>
      <c r="NCE3" s="59"/>
      <c r="NCF3" s="59"/>
      <c r="NCG3" s="59"/>
      <c r="NCH3" s="59"/>
      <c r="NCI3" s="59"/>
      <c r="NCJ3" s="59"/>
      <c r="NCK3" s="59"/>
      <c r="NCL3" s="59"/>
      <c r="NCM3" s="59"/>
      <c r="NCN3" s="59"/>
      <c r="NCO3" s="59"/>
      <c r="NCP3" s="59"/>
      <c r="NCQ3" s="59"/>
      <c r="NCR3" s="59"/>
      <c r="NCS3" s="59"/>
      <c r="NCT3" s="59"/>
      <c r="NCU3" s="59"/>
      <c r="NCV3" s="59"/>
      <c r="NCW3" s="59"/>
      <c r="NCX3" s="59"/>
      <c r="NCY3" s="59"/>
      <c r="NCZ3" s="59"/>
      <c r="NDA3" s="59"/>
      <c r="NDB3" s="59"/>
      <c r="NDC3" s="59"/>
      <c r="NDD3" s="59"/>
      <c r="NDE3" s="59"/>
      <c r="NDF3" s="59"/>
      <c r="NDG3" s="59"/>
      <c r="NDH3" s="59"/>
      <c r="NDI3" s="59"/>
      <c r="NDJ3" s="59"/>
      <c r="NDK3" s="59"/>
      <c r="NDL3" s="59"/>
      <c r="NDM3" s="59"/>
      <c r="NDN3" s="59"/>
      <c r="NDO3" s="59"/>
      <c r="NDP3" s="59"/>
      <c r="NDQ3" s="59"/>
      <c r="NDR3" s="59"/>
      <c r="NDS3" s="59"/>
      <c r="NDT3" s="59"/>
      <c r="NDU3" s="59"/>
      <c r="NDV3" s="59"/>
      <c r="NDW3" s="59"/>
      <c r="NDX3" s="59"/>
      <c r="NDY3" s="59"/>
      <c r="NDZ3" s="59"/>
      <c r="NEA3" s="59"/>
      <c r="NEB3" s="59"/>
      <c r="NEC3" s="59"/>
      <c r="NED3" s="59"/>
      <c r="NEE3" s="59"/>
      <c r="NEF3" s="59"/>
      <c r="NEG3" s="59"/>
      <c r="NEH3" s="59"/>
      <c r="NEI3" s="59"/>
      <c r="NEJ3" s="59"/>
      <c r="NEK3" s="59"/>
      <c r="NEL3" s="59"/>
      <c r="NEM3" s="59"/>
      <c r="NEN3" s="59"/>
      <c r="NEO3" s="59"/>
      <c r="NEP3" s="59"/>
      <c r="NEQ3" s="59"/>
      <c r="NER3" s="59"/>
      <c r="NES3" s="59"/>
      <c r="NET3" s="59"/>
      <c r="NEU3" s="59"/>
      <c r="NEV3" s="59"/>
      <c r="NEW3" s="59"/>
      <c r="NEX3" s="59"/>
      <c r="NEY3" s="59"/>
      <c r="NEZ3" s="59"/>
      <c r="NFA3" s="59"/>
      <c r="NFB3" s="59"/>
      <c r="NFC3" s="59"/>
      <c r="NFD3" s="59"/>
      <c r="NFE3" s="59"/>
      <c r="NFF3" s="59"/>
      <c r="NFG3" s="59"/>
      <c r="NFH3" s="59"/>
      <c r="NFI3" s="59"/>
      <c r="NFJ3" s="59"/>
      <c r="NFK3" s="59"/>
      <c r="NFL3" s="59"/>
      <c r="NFM3" s="59"/>
      <c r="NFN3" s="59"/>
      <c r="NFO3" s="59"/>
      <c r="NFP3" s="59"/>
      <c r="NFQ3" s="59"/>
      <c r="NFR3" s="59"/>
      <c r="NFS3" s="59"/>
      <c r="NFT3" s="59"/>
      <c r="NFU3" s="59"/>
      <c r="NFV3" s="59"/>
      <c r="NFW3" s="59"/>
      <c r="NFX3" s="59"/>
      <c r="NFY3" s="59"/>
      <c r="NFZ3" s="59"/>
      <c r="NGA3" s="59"/>
      <c r="NGB3" s="59"/>
      <c r="NGC3" s="59"/>
      <c r="NGD3" s="59"/>
      <c r="NGE3" s="59"/>
      <c r="NGF3" s="59"/>
      <c r="NGG3" s="59"/>
      <c r="NGH3" s="59"/>
      <c r="NGI3" s="59"/>
      <c r="NGJ3" s="59"/>
      <c r="NGK3" s="59"/>
      <c r="NGL3" s="59"/>
      <c r="NGM3" s="59"/>
      <c r="NGN3" s="59"/>
      <c r="NGO3" s="59"/>
      <c r="NGP3" s="59"/>
      <c r="NGQ3" s="59"/>
      <c r="NGR3" s="59"/>
      <c r="NGS3" s="59"/>
      <c r="NGT3" s="59"/>
      <c r="NGU3" s="59"/>
      <c r="NGV3" s="59"/>
      <c r="NGW3" s="59"/>
      <c r="NGX3" s="59"/>
      <c r="NGY3" s="59"/>
      <c r="NGZ3" s="59"/>
      <c r="NHA3" s="59"/>
      <c r="NHB3" s="59"/>
      <c r="NHC3" s="59"/>
      <c r="NHD3" s="59"/>
      <c r="NHE3" s="59"/>
      <c r="NHF3" s="59"/>
      <c r="NHG3" s="59"/>
      <c r="NHH3" s="59"/>
      <c r="NHI3" s="59"/>
      <c r="NHJ3" s="59"/>
      <c r="NHK3" s="59"/>
      <c r="NHL3" s="59"/>
      <c r="NHM3" s="59"/>
      <c r="NHN3" s="59"/>
      <c r="NHO3" s="59"/>
      <c r="NHP3" s="59"/>
      <c r="NHQ3" s="59"/>
      <c r="NHR3" s="59"/>
      <c r="NHS3" s="59"/>
      <c r="NHT3" s="59"/>
      <c r="NHU3" s="59"/>
      <c r="NHV3" s="59"/>
      <c r="NHW3" s="59"/>
      <c r="NHX3" s="59"/>
      <c r="NHY3" s="59"/>
      <c r="NHZ3" s="59"/>
      <c r="NIA3" s="59"/>
      <c r="NIB3" s="59"/>
      <c r="NIC3" s="59"/>
      <c r="NID3" s="59"/>
      <c r="NIE3" s="59"/>
      <c r="NIF3" s="59"/>
      <c r="NIG3" s="59"/>
      <c r="NIH3" s="59"/>
      <c r="NII3" s="59"/>
      <c r="NIJ3" s="59"/>
      <c r="NIK3" s="59"/>
      <c r="NIL3" s="59"/>
      <c r="NIM3" s="59"/>
      <c r="NIN3" s="59"/>
      <c r="NIO3" s="59"/>
      <c r="NIP3" s="59"/>
      <c r="NIQ3" s="59"/>
      <c r="NIR3" s="59"/>
      <c r="NIS3" s="59"/>
      <c r="NIT3" s="59"/>
      <c r="NIU3" s="59"/>
      <c r="NIV3" s="59"/>
      <c r="NIW3" s="59"/>
      <c r="NIX3" s="59"/>
      <c r="NIY3" s="59"/>
      <c r="NIZ3" s="59"/>
      <c r="NJA3" s="59"/>
      <c r="NJB3" s="59"/>
      <c r="NJC3" s="59"/>
      <c r="NJD3" s="59"/>
      <c r="NJE3" s="59"/>
      <c r="NJF3" s="59"/>
      <c r="NJG3" s="59"/>
      <c r="NJH3" s="59"/>
      <c r="NJI3" s="59"/>
      <c r="NJJ3" s="59"/>
      <c r="NJK3" s="59"/>
      <c r="NJL3" s="59"/>
      <c r="NJM3" s="59"/>
      <c r="NJN3" s="59"/>
      <c r="NJO3" s="59"/>
      <c r="NJP3" s="59"/>
      <c r="NJQ3" s="59"/>
      <c r="NJR3" s="59"/>
      <c r="NJS3" s="59"/>
      <c r="NJT3" s="59"/>
      <c r="NJU3" s="59"/>
      <c r="NJV3" s="59"/>
      <c r="NJW3" s="59"/>
      <c r="NJX3" s="59"/>
      <c r="NJY3" s="59"/>
      <c r="NJZ3" s="59"/>
      <c r="NKA3" s="59"/>
      <c r="NKB3" s="59"/>
      <c r="NKC3" s="59"/>
      <c r="NKD3" s="59"/>
      <c r="NKE3" s="59"/>
      <c r="NKF3" s="59"/>
      <c r="NKG3" s="59"/>
      <c r="NKH3" s="59"/>
      <c r="NKI3" s="59"/>
      <c r="NKJ3" s="59"/>
      <c r="NKK3" s="59"/>
      <c r="NKL3" s="59"/>
      <c r="NKM3" s="59"/>
      <c r="NKN3" s="59"/>
      <c r="NKO3" s="59"/>
      <c r="NKP3" s="59"/>
      <c r="NKQ3" s="59"/>
      <c r="NKR3" s="59"/>
      <c r="NKS3" s="59"/>
      <c r="NKT3" s="59"/>
      <c r="NKU3" s="59"/>
      <c r="NKV3" s="59"/>
      <c r="NKW3" s="59"/>
      <c r="NKX3" s="59"/>
      <c r="NKY3" s="59"/>
      <c r="NKZ3" s="59"/>
      <c r="NLA3" s="59"/>
      <c r="NLB3" s="59"/>
      <c r="NLC3" s="59"/>
      <c r="NLD3" s="59"/>
      <c r="NLE3" s="59"/>
      <c r="NLF3" s="59"/>
      <c r="NLG3" s="59"/>
      <c r="NLH3" s="59"/>
      <c r="NLI3" s="59"/>
      <c r="NLJ3" s="59"/>
      <c r="NLK3" s="59"/>
      <c r="NLL3" s="59"/>
      <c r="NLM3" s="59"/>
      <c r="NLN3" s="59"/>
      <c r="NLO3" s="59"/>
      <c r="NLP3" s="59"/>
      <c r="NLQ3" s="59"/>
      <c r="NLR3" s="59"/>
      <c r="NLS3" s="59"/>
      <c r="NLT3" s="59"/>
      <c r="NLU3" s="59"/>
      <c r="NLV3" s="59"/>
      <c r="NLW3" s="59"/>
      <c r="NLX3" s="59"/>
      <c r="NLY3" s="59"/>
      <c r="NLZ3" s="59"/>
      <c r="NMA3" s="59"/>
      <c r="NMB3" s="59"/>
      <c r="NMC3" s="59"/>
      <c r="NMD3" s="59"/>
      <c r="NME3" s="59"/>
      <c r="NMF3" s="59"/>
      <c r="NMG3" s="59"/>
      <c r="NMH3" s="59"/>
      <c r="NMI3" s="59"/>
      <c r="NMJ3" s="59"/>
      <c r="NMK3" s="59"/>
      <c r="NML3" s="59"/>
      <c r="NMM3" s="59"/>
      <c r="NMN3" s="59"/>
      <c r="NMO3" s="59"/>
      <c r="NMP3" s="59"/>
      <c r="NMQ3" s="59"/>
      <c r="NMR3" s="59"/>
      <c r="NMS3" s="59"/>
      <c r="NMT3" s="59"/>
      <c r="NMU3" s="59"/>
      <c r="NMV3" s="59"/>
      <c r="NMW3" s="59"/>
      <c r="NMX3" s="59"/>
      <c r="NMY3" s="59"/>
      <c r="NMZ3" s="59"/>
      <c r="NNA3" s="59"/>
      <c r="NNB3" s="59"/>
      <c r="NNC3" s="59"/>
      <c r="NND3" s="59"/>
      <c r="NNE3" s="59"/>
      <c r="NNF3" s="59"/>
      <c r="NNG3" s="59"/>
      <c r="NNH3" s="59"/>
      <c r="NNI3" s="59"/>
      <c r="NNJ3" s="59"/>
      <c r="NNK3" s="59"/>
      <c r="NNL3" s="59"/>
      <c r="NNM3" s="59"/>
      <c r="NNN3" s="59"/>
      <c r="NNO3" s="59"/>
      <c r="NNP3" s="59"/>
      <c r="NNQ3" s="59"/>
      <c r="NNR3" s="59"/>
      <c r="NNS3" s="59"/>
      <c r="NNT3" s="59"/>
      <c r="NNU3" s="59"/>
      <c r="NNV3" s="59"/>
      <c r="NNW3" s="59"/>
      <c r="NNX3" s="59"/>
      <c r="NNY3" s="59"/>
      <c r="NNZ3" s="59"/>
      <c r="NOA3" s="59"/>
      <c r="NOB3" s="59"/>
      <c r="NOC3" s="59"/>
      <c r="NOD3" s="59"/>
      <c r="NOE3" s="59"/>
      <c r="NOF3" s="59"/>
      <c r="NOG3" s="59"/>
      <c r="NOH3" s="59"/>
      <c r="NOI3" s="59"/>
      <c r="NOJ3" s="59"/>
      <c r="NOK3" s="59"/>
      <c r="NOL3" s="59"/>
      <c r="NOM3" s="59"/>
      <c r="NON3" s="59"/>
      <c r="NOO3" s="59"/>
      <c r="NOP3" s="59"/>
      <c r="NOQ3" s="59"/>
      <c r="NOR3" s="59"/>
      <c r="NOS3" s="59"/>
      <c r="NOT3" s="59"/>
      <c r="NOU3" s="59"/>
      <c r="NOV3" s="59"/>
      <c r="NOW3" s="59"/>
      <c r="NOX3" s="59"/>
      <c r="NOY3" s="59"/>
      <c r="NOZ3" s="59"/>
      <c r="NPA3" s="59"/>
      <c r="NPB3" s="59"/>
      <c r="NPC3" s="59"/>
      <c r="NPD3" s="59"/>
      <c r="NPE3" s="59"/>
      <c r="NPF3" s="59"/>
      <c r="NPG3" s="59"/>
      <c r="NPH3" s="59"/>
      <c r="NPI3" s="59"/>
      <c r="NPJ3" s="59"/>
      <c r="NPK3" s="59"/>
      <c r="NPL3" s="59"/>
      <c r="NPM3" s="59"/>
      <c r="NPN3" s="59"/>
      <c r="NPO3" s="59"/>
      <c r="NPP3" s="59"/>
      <c r="NPQ3" s="59"/>
      <c r="NPR3" s="59"/>
      <c r="NPS3" s="59"/>
      <c r="NPT3" s="59"/>
      <c r="NPU3" s="59"/>
      <c r="NPV3" s="59"/>
      <c r="NPW3" s="59"/>
      <c r="NPX3" s="59"/>
      <c r="NPY3" s="59"/>
      <c r="NPZ3" s="59"/>
      <c r="NQA3" s="59"/>
      <c r="NQB3" s="59"/>
      <c r="NQC3" s="59"/>
      <c r="NQD3" s="59"/>
      <c r="NQE3" s="59"/>
      <c r="NQF3" s="59"/>
      <c r="NQG3" s="59"/>
      <c r="NQH3" s="59"/>
      <c r="NQI3" s="59"/>
      <c r="NQJ3" s="59"/>
      <c r="NQK3" s="59"/>
      <c r="NQL3" s="59"/>
      <c r="NQM3" s="59"/>
      <c r="NQN3" s="59"/>
      <c r="NQO3" s="59"/>
      <c r="NQP3" s="59"/>
      <c r="NQQ3" s="59"/>
      <c r="NQR3" s="59"/>
      <c r="NQS3" s="59"/>
      <c r="NQT3" s="59"/>
      <c r="NQU3" s="59"/>
      <c r="NQV3" s="59"/>
      <c r="NQW3" s="59"/>
      <c r="NQX3" s="59"/>
      <c r="NQY3" s="59"/>
      <c r="NQZ3" s="59"/>
      <c r="NRA3" s="59"/>
      <c r="NRB3" s="59"/>
      <c r="NRC3" s="59"/>
      <c r="NRD3" s="59"/>
      <c r="NRE3" s="59"/>
      <c r="NRF3" s="59"/>
      <c r="NRG3" s="59"/>
      <c r="NRH3" s="59"/>
      <c r="NRI3" s="59"/>
      <c r="NRJ3" s="59"/>
      <c r="NRK3" s="59"/>
      <c r="NRL3" s="59"/>
      <c r="NRM3" s="59"/>
      <c r="NRN3" s="59"/>
      <c r="NRO3" s="59"/>
      <c r="NRP3" s="59"/>
      <c r="NRQ3" s="59"/>
      <c r="NRR3" s="59"/>
      <c r="NRS3" s="59"/>
      <c r="NRT3" s="59"/>
      <c r="NRU3" s="59"/>
      <c r="NRV3" s="59"/>
      <c r="NRW3" s="59"/>
      <c r="NRX3" s="59"/>
      <c r="NRY3" s="59"/>
      <c r="NRZ3" s="59"/>
      <c r="NSA3" s="59"/>
      <c r="NSB3" s="59"/>
      <c r="NSC3" s="59"/>
      <c r="NSD3" s="59"/>
      <c r="NSE3" s="59"/>
      <c r="NSF3" s="59"/>
      <c r="NSG3" s="59"/>
      <c r="NSH3" s="59"/>
      <c r="NSI3" s="59"/>
      <c r="NSJ3" s="59"/>
      <c r="NSK3" s="59"/>
      <c r="NSL3" s="59"/>
      <c r="NSM3" s="59"/>
      <c r="NSN3" s="59"/>
      <c r="NSO3" s="59"/>
      <c r="NSP3" s="59"/>
      <c r="NSQ3" s="59"/>
      <c r="NSR3" s="59"/>
      <c r="NSS3" s="59"/>
      <c r="NST3" s="59"/>
      <c r="NSU3" s="59"/>
      <c r="NSV3" s="59"/>
      <c r="NSW3" s="59"/>
      <c r="NSX3" s="59"/>
      <c r="NSY3" s="59"/>
      <c r="NSZ3" s="59"/>
      <c r="NTA3" s="59"/>
      <c r="NTB3" s="59"/>
      <c r="NTC3" s="59"/>
      <c r="NTD3" s="59"/>
      <c r="NTE3" s="59"/>
      <c r="NTF3" s="59"/>
      <c r="NTG3" s="59"/>
      <c r="NTH3" s="59"/>
      <c r="NTI3" s="59"/>
      <c r="NTJ3" s="59"/>
      <c r="NTK3" s="59"/>
      <c r="NTL3" s="59"/>
      <c r="NTM3" s="59"/>
      <c r="NTN3" s="59"/>
      <c r="NTO3" s="59"/>
      <c r="NTP3" s="59"/>
      <c r="NTQ3" s="59"/>
      <c r="NTR3" s="59"/>
      <c r="NTS3" s="59"/>
      <c r="NTT3" s="59"/>
      <c r="NTU3" s="59"/>
      <c r="NTV3" s="59"/>
      <c r="NTW3" s="59"/>
      <c r="NTX3" s="59"/>
      <c r="NTY3" s="59"/>
      <c r="NTZ3" s="59"/>
      <c r="NUA3" s="59"/>
      <c r="NUB3" s="59"/>
      <c r="NUC3" s="59"/>
      <c r="NUD3" s="59"/>
      <c r="NUE3" s="59"/>
      <c r="NUF3" s="59"/>
      <c r="NUG3" s="59"/>
      <c r="NUH3" s="59"/>
      <c r="NUI3" s="59"/>
      <c r="NUJ3" s="59"/>
      <c r="NUK3" s="59"/>
      <c r="NUL3" s="59"/>
      <c r="NUM3" s="59"/>
      <c r="NUN3" s="59"/>
      <c r="NUO3" s="59"/>
      <c r="NUP3" s="59"/>
      <c r="NUQ3" s="59"/>
      <c r="NUR3" s="59"/>
      <c r="NUS3" s="59"/>
      <c r="NUT3" s="59"/>
      <c r="NUU3" s="59"/>
      <c r="NUV3" s="59"/>
      <c r="NUW3" s="59"/>
      <c r="NUX3" s="59"/>
      <c r="NUY3" s="59"/>
      <c r="NUZ3" s="59"/>
      <c r="NVA3" s="59"/>
      <c r="NVB3" s="59"/>
      <c r="NVC3" s="59"/>
      <c r="NVD3" s="59"/>
      <c r="NVE3" s="59"/>
      <c r="NVF3" s="59"/>
      <c r="NVG3" s="59"/>
      <c r="NVH3" s="59"/>
      <c r="NVI3" s="59"/>
      <c r="NVJ3" s="59"/>
      <c r="NVK3" s="59"/>
      <c r="NVL3" s="59"/>
      <c r="NVM3" s="59"/>
      <c r="NVN3" s="59"/>
      <c r="NVO3" s="59"/>
      <c r="NVP3" s="59"/>
      <c r="NVQ3" s="59"/>
      <c r="NVR3" s="59"/>
      <c r="NVS3" s="59"/>
      <c r="NVT3" s="59"/>
      <c r="NVU3" s="59"/>
      <c r="NVV3" s="59"/>
      <c r="NVW3" s="59"/>
      <c r="NVX3" s="59"/>
      <c r="NVY3" s="59"/>
      <c r="NVZ3" s="59"/>
      <c r="NWA3" s="59"/>
      <c r="NWB3" s="59"/>
      <c r="NWC3" s="59"/>
      <c r="NWD3" s="59"/>
      <c r="NWE3" s="59"/>
      <c r="NWF3" s="59"/>
      <c r="NWG3" s="59"/>
      <c r="NWH3" s="59"/>
      <c r="NWI3" s="59"/>
      <c r="NWJ3" s="59"/>
      <c r="NWK3" s="59"/>
      <c r="NWL3" s="59"/>
      <c r="NWM3" s="59"/>
      <c r="NWN3" s="59"/>
      <c r="NWO3" s="59"/>
      <c r="NWP3" s="59"/>
      <c r="NWQ3" s="59"/>
      <c r="NWR3" s="59"/>
      <c r="NWS3" s="59"/>
      <c r="NWT3" s="59"/>
      <c r="NWU3" s="59"/>
      <c r="NWV3" s="59"/>
      <c r="NWW3" s="59"/>
      <c r="NWX3" s="59"/>
      <c r="NWY3" s="59"/>
      <c r="NWZ3" s="59"/>
      <c r="NXA3" s="59"/>
      <c r="NXB3" s="59"/>
      <c r="NXC3" s="59"/>
      <c r="NXD3" s="59"/>
      <c r="NXE3" s="59"/>
      <c r="NXF3" s="59"/>
      <c r="NXG3" s="59"/>
      <c r="NXH3" s="59"/>
      <c r="NXI3" s="59"/>
      <c r="NXJ3" s="59"/>
      <c r="NXK3" s="59"/>
      <c r="NXL3" s="59"/>
      <c r="NXM3" s="59"/>
      <c r="NXN3" s="59"/>
      <c r="NXO3" s="59"/>
      <c r="NXP3" s="59"/>
      <c r="NXQ3" s="59"/>
      <c r="NXR3" s="59"/>
      <c r="NXS3" s="59"/>
      <c r="NXT3" s="59"/>
      <c r="NXU3" s="59"/>
      <c r="NXV3" s="59"/>
      <c r="NXW3" s="59"/>
      <c r="NXX3" s="59"/>
      <c r="NXY3" s="59"/>
      <c r="NXZ3" s="59"/>
      <c r="NYA3" s="59"/>
      <c r="NYB3" s="59"/>
      <c r="NYC3" s="59"/>
      <c r="NYD3" s="59"/>
      <c r="NYE3" s="59"/>
      <c r="NYF3" s="59"/>
      <c r="NYG3" s="59"/>
      <c r="NYH3" s="59"/>
      <c r="NYI3" s="59"/>
      <c r="NYJ3" s="59"/>
      <c r="NYK3" s="59"/>
      <c r="NYL3" s="59"/>
      <c r="NYM3" s="59"/>
      <c r="NYN3" s="59"/>
      <c r="NYO3" s="59"/>
      <c r="NYP3" s="59"/>
      <c r="NYQ3" s="59"/>
      <c r="NYR3" s="59"/>
      <c r="NYS3" s="59"/>
      <c r="NYT3" s="59"/>
      <c r="NYU3" s="59"/>
      <c r="NYV3" s="59"/>
      <c r="NYW3" s="59"/>
      <c r="NYX3" s="59"/>
      <c r="NYY3" s="59"/>
      <c r="NYZ3" s="59"/>
      <c r="NZA3" s="59"/>
      <c r="NZB3" s="59"/>
      <c r="NZC3" s="59"/>
      <c r="NZD3" s="59"/>
      <c r="NZE3" s="59"/>
      <c r="NZF3" s="59"/>
      <c r="NZG3" s="59"/>
      <c r="NZH3" s="59"/>
      <c r="NZI3" s="59"/>
      <c r="NZJ3" s="59"/>
      <c r="NZK3" s="59"/>
      <c r="NZL3" s="59"/>
      <c r="NZM3" s="59"/>
      <c r="NZN3" s="59"/>
      <c r="NZO3" s="59"/>
      <c r="NZP3" s="59"/>
      <c r="NZQ3" s="59"/>
      <c r="NZR3" s="59"/>
      <c r="NZS3" s="59"/>
      <c r="NZT3" s="59"/>
      <c r="NZU3" s="59"/>
      <c r="NZV3" s="59"/>
      <c r="NZW3" s="59"/>
      <c r="NZX3" s="59"/>
      <c r="NZY3" s="59"/>
      <c r="NZZ3" s="59"/>
      <c r="OAA3" s="59"/>
      <c r="OAB3" s="59"/>
      <c r="OAC3" s="59"/>
      <c r="OAD3" s="59"/>
      <c r="OAE3" s="59"/>
      <c r="OAF3" s="59"/>
      <c r="OAG3" s="59"/>
      <c r="OAH3" s="59"/>
      <c r="OAI3" s="59"/>
      <c r="OAJ3" s="59"/>
      <c r="OAK3" s="59"/>
      <c r="OAL3" s="59"/>
      <c r="OAM3" s="59"/>
      <c r="OAN3" s="59"/>
      <c r="OAO3" s="59"/>
      <c r="OAP3" s="59"/>
      <c r="OAQ3" s="59"/>
      <c r="OAR3" s="59"/>
      <c r="OAS3" s="59"/>
      <c r="OAT3" s="59"/>
      <c r="OAU3" s="59"/>
      <c r="OAV3" s="59"/>
      <c r="OAW3" s="59"/>
      <c r="OAX3" s="59"/>
      <c r="OAY3" s="59"/>
      <c r="OAZ3" s="59"/>
      <c r="OBA3" s="59"/>
      <c r="OBB3" s="59"/>
      <c r="OBC3" s="59"/>
      <c r="OBD3" s="59"/>
      <c r="OBE3" s="59"/>
      <c r="OBF3" s="59"/>
      <c r="OBG3" s="59"/>
      <c r="OBH3" s="59"/>
      <c r="OBI3" s="59"/>
      <c r="OBJ3" s="59"/>
      <c r="OBK3" s="59"/>
      <c r="OBL3" s="59"/>
      <c r="OBM3" s="59"/>
      <c r="OBN3" s="59"/>
      <c r="OBO3" s="59"/>
      <c r="OBP3" s="59"/>
      <c r="OBQ3" s="59"/>
      <c r="OBR3" s="59"/>
      <c r="OBS3" s="59"/>
      <c r="OBT3" s="59"/>
      <c r="OBU3" s="59"/>
      <c r="OBV3" s="59"/>
      <c r="OBW3" s="59"/>
      <c r="OBX3" s="59"/>
      <c r="OBY3" s="59"/>
      <c r="OBZ3" s="59"/>
      <c r="OCA3" s="59"/>
      <c r="OCB3" s="59"/>
      <c r="OCC3" s="59"/>
      <c r="OCD3" s="59"/>
      <c r="OCE3" s="59"/>
      <c r="OCF3" s="59"/>
      <c r="OCG3" s="59"/>
      <c r="OCH3" s="59"/>
      <c r="OCI3" s="59"/>
      <c r="OCJ3" s="59"/>
      <c r="OCK3" s="59"/>
      <c r="OCL3" s="59"/>
      <c r="OCM3" s="59"/>
      <c r="OCN3" s="59"/>
      <c r="OCO3" s="59"/>
      <c r="OCP3" s="59"/>
      <c r="OCQ3" s="59"/>
      <c r="OCR3" s="59"/>
      <c r="OCS3" s="59"/>
      <c r="OCT3" s="59"/>
      <c r="OCU3" s="59"/>
      <c r="OCV3" s="59"/>
      <c r="OCW3" s="59"/>
      <c r="OCX3" s="59"/>
      <c r="OCY3" s="59"/>
      <c r="OCZ3" s="59"/>
      <c r="ODA3" s="59"/>
      <c r="ODB3" s="59"/>
      <c r="ODC3" s="59"/>
      <c r="ODD3" s="59"/>
      <c r="ODE3" s="59"/>
      <c r="ODF3" s="59"/>
      <c r="ODG3" s="59"/>
      <c r="ODH3" s="59"/>
      <c r="ODI3" s="59"/>
      <c r="ODJ3" s="59"/>
      <c r="ODK3" s="59"/>
      <c r="ODL3" s="59"/>
      <c r="ODM3" s="59"/>
      <c r="ODN3" s="59"/>
      <c r="ODO3" s="59"/>
      <c r="ODP3" s="59"/>
      <c r="ODQ3" s="59"/>
      <c r="ODR3" s="59"/>
      <c r="ODS3" s="59"/>
      <c r="ODT3" s="59"/>
      <c r="ODU3" s="59"/>
      <c r="ODV3" s="59"/>
      <c r="ODW3" s="59"/>
      <c r="ODX3" s="59"/>
      <c r="ODY3" s="59"/>
      <c r="ODZ3" s="59"/>
      <c r="OEA3" s="59"/>
      <c r="OEB3" s="59"/>
      <c r="OEC3" s="59"/>
      <c r="OED3" s="59"/>
      <c r="OEE3" s="59"/>
      <c r="OEF3" s="59"/>
      <c r="OEG3" s="59"/>
      <c r="OEH3" s="59"/>
      <c r="OEI3" s="59"/>
      <c r="OEJ3" s="59"/>
      <c r="OEK3" s="59"/>
      <c r="OEL3" s="59"/>
      <c r="OEM3" s="59"/>
      <c r="OEN3" s="59"/>
      <c r="OEO3" s="59"/>
      <c r="OEP3" s="59"/>
      <c r="OEQ3" s="59"/>
      <c r="OER3" s="59"/>
      <c r="OES3" s="59"/>
      <c r="OET3" s="59"/>
      <c r="OEU3" s="59"/>
      <c r="OEV3" s="59"/>
      <c r="OEW3" s="59"/>
      <c r="OEX3" s="59"/>
      <c r="OEY3" s="59"/>
      <c r="OEZ3" s="59"/>
      <c r="OFA3" s="59"/>
      <c r="OFB3" s="59"/>
      <c r="OFC3" s="59"/>
      <c r="OFD3" s="59"/>
      <c r="OFE3" s="59"/>
      <c r="OFF3" s="59"/>
      <c r="OFG3" s="59"/>
      <c r="OFH3" s="59"/>
      <c r="OFI3" s="59"/>
      <c r="OFJ3" s="59"/>
      <c r="OFK3" s="59"/>
      <c r="OFL3" s="59"/>
      <c r="OFM3" s="59"/>
      <c r="OFN3" s="59"/>
      <c r="OFO3" s="59"/>
      <c r="OFP3" s="59"/>
      <c r="OFQ3" s="59"/>
      <c r="OFR3" s="59"/>
      <c r="OFS3" s="59"/>
      <c r="OFT3" s="59"/>
      <c r="OFU3" s="59"/>
      <c r="OFV3" s="59"/>
      <c r="OFW3" s="59"/>
      <c r="OFX3" s="59"/>
      <c r="OFY3" s="59"/>
      <c r="OFZ3" s="59"/>
      <c r="OGA3" s="59"/>
      <c r="OGB3" s="59"/>
      <c r="OGC3" s="59"/>
      <c r="OGD3" s="59"/>
      <c r="OGE3" s="59"/>
      <c r="OGF3" s="59"/>
      <c r="OGG3" s="59"/>
      <c r="OGH3" s="59"/>
      <c r="OGI3" s="59"/>
      <c r="OGJ3" s="59"/>
      <c r="OGK3" s="59"/>
      <c r="OGL3" s="59"/>
      <c r="OGM3" s="59"/>
      <c r="OGN3" s="59"/>
      <c r="OGO3" s="59"/>
      <c r="OGP3" s="59"/>
      <c r="OGQ3" s="59"/>
      <c r="OGR3" s="59"/>
      <c r="OGS3" s="59"/>
      <c r="OGT3" s="59"/>
      <c r="OGU3" s="59"/>
      <c r="OGV3" s="59"/>
      <c r="OGW3" s="59"/>
      <c r="OGX3" s="59"/>
      <c r="OGY3" s="59"/>
      <c r="OGZ3" s="59"/>
      <c r="OHA3" s="59"/>
      <c r="OHB3" s="59"/>
      <c r="OHC3" s="59"/>
      <c r="OHD3" s="59"/>
      <c r="OHE3" s="59"/>
      <c r="OHF3" s="59"/>
      <c r="OHG3" s="59"/>
      <c r="OHH3" s="59"/>
      <c r="OHI3" s="59"/>
      <c r="OHJ3" s="59"/>
      <c r="OHK3" s="59"/>
      <c r="OHL3" s="59"/>
      <c r="OHM3" s="59"/>
      <c r="OHN3" s="59"/>
      <c r="OHO3" s="59"/>
      <c r="OHP3" s="59"/>
      <c r="OHQ3" s="59"/>
      <c r="OHR3" s="59"/>
      <c r="OHS3" s="59"/>
      <c r="OHT3" s="59"/>
      <c r="OHU3" s="59"/>
      <c r="OHV3" s="59"/>
      <c r="OHW3" s="59"/>
      <c r="OHX3" s="59"/>
      <c r="OHY3" s="59"/>
      <c r="OHZ3" s="59"/>
      <c r="OIA3" s="59"/>
      <c r="OIB3" s="59"/>
      <c r="OIC3" s="59"/>
      <c r="OID3" s="59"/>
      <c r="OIE3" s="59"/>
      <c r="OIF3" s="59"/>
      <c r="OIG3" s="59"/>
      <c r="OIH3" s="59"/>
      <c r="OII3" s="59"/>
      <c r="OIJ3" s="59"/>
      <c r="OIK3" s="59"/>
      <c r="OIL3" s="59"/>
      <c r="OIM3" s="59"/>
      <c r="OIN3" s="59"/>
      <c r="OIO3" s="59"/>
      <c r="OIP3" s="59"/>
      <c r="OIQ3" s="59"/>
      <c r="OIR3" s="59"/>
      <c r="OIS3" s="59"/>
      <c r="OIT3" s="59"/>
      <c r="OIU3" s="59"/>
      <c r="OIV3" s="59"/>
      <c r="OIW3" s="59"/>
      <c r="OIX3" s="59"/>
      <c r="OIY3" s="59"/>
      <c r="OIZ3" s="59"/>
      <c r="OJA3" s="59"/>
      <c r="OJB3" s="59"/>
      <c r="OJC3" s="59"/>
      <c r="OJD3" s="59"/>
      <c r="OJE3" s="59"/>
      <c r="OJF3" s="59"/>
      <c r="OJG3" s="59"/>
      <c r="OJH3" s="59"/>
      <c r="OJI3" s="59"/>
      <c r="OJJ3" s="59"/>
      <c r="OJK3" s="59"/>
      <c r="OJL3" s="59"/>
      <c r="OJM3" s="59"/>
      <c r="OJN3" s="59"/>
      <c r="OJO3" s="59"/>
      <c r="OJP3" s="59"/>
      <c r="OJQ3" s="59"/>
      <c r="OJR3" s="59"/>
      <c r="OJS3" s="59"/>
      <c r="OJT3" s="59"/>
      <c r="OJU3" s="59"/>
      <c r="OJV3" s="59"/>
      <c r="OJW3" s="59"/>
      <c r="OJX3" s="59"/>
      <c r="OJY3" s="59"/>
      <c r="OJZ3" s="59"/>
      <c r="OKA3" s="59"/>
      <c r="OKB3" s="59"/>
      <c r="OKC3" s="59"/>
      <c r="OKD3" s="59"/>
      <c r="OKE3" s="59"/>
      <c r="OKF3" s="59"/>
      <c r="OKG3" s="59"/>
      <c r="OKH3" s="59"/>
      <c r="OKI3" s="59"/>
      <c r="OKJ3" s="59"/>
      <c r="OKK3" s="59"/>
      <c r="OKL3" s="59"/>
      <c r="OKM3" s="59"/>
      <c r="OKN3" s="59"/>
      <c r="OKO3" s="59"/>
      <c r="OKP3" s="59"/>
      <c r="OKQ3" s="59"/>
      <c r="OKR3" s="59"/>
      <c r="OKS3" s="59"/>
      <c r="OKT3" s="59"/>
      <c r="OKU3" s="59"/>
      <c r="OKV3" s="59"/>
      <c r="OKW3" s="59"/>
      <c r="OKX3" s="59"/>
      <c r="OKY3" s="59"/>
      <c r="OKZ3" s="59"/>
      <c r="OLA3" s="59"/>
      <c r="OLB3" s="59"/>
      <c r="OLC3" s="59"/>
      <c r="OLD3" s="59"/>
      <c r="OLE3" s="59"/>
      <c r="OLF3" s="59"/>
      <c r="OLG3" s="59"/>
      <c r="OLH3" s="59"/>
      <c r="OLI3" s="59"/>
      <c r="OLJ3" s="59"/>
      <c r="OLK3" s="59"/>
      <c r="OLL3" s="59"/>
      <c r="OLM3" s="59"/>
      <c r="OLN3" s="59"/>
      <c r="OLO3" s="59"/>
      <c r="OLP3" s="59"/>
      <c r="OLQ3" s="59"/>
      <c r="OLR3" s="59"/>
      <c r="OLS3" s="59"/>
      <c r="OLT3" s="59"/>
      <c r="OLU3" s="59"/>
      <c r="OLV3" s="59"/>
      <c r="OLW3" s="59"/>
      <c r="OLX3" s="59"/>
      <c r="OLY3" s="59"/>
      <c r="OLZ3" s="59"/>
      <c r="OMA3" s="59"/>
      <c r="OMB3" s="59"/>
      <c r="OMC3" s="59"/>
      <c r="OMD3" s="59"/>
      <c r="OME3" s="59"/>
      <c r="OMF3" s="59"/>
      <c r="OMG3" s="59"/>
      <c r="OMH3" s="59"/>
      <c r="OMI3" s="59"/>
      <c r="OMJ3" s="59"/>
      <c r="OMK3" s="59"/>
      <c r="OML3" s="59"/>
      <c r="OMM3" s="59"/>
      <c r="OMN3" s="59"/>
      <c r="OMO3" s="59"/>
      <c r="OMP3" s="59"/>
      <c r="OMQ3" s="59"/>
      <c r="OMR3" s="59"/>
      <c r="OMS3" s="59"/>
      <c r="OMT3" s="59"/>
      <c r="OMU3" s="59"/>
      <c r="OMV3" s="59"/>
      <c r="OMW3" s="59"/>
      <c r="OMX3" s="59"/>
      <c r="OMY3" s="59"/>
      <c r="OMZ3" s="59"/>
      <c r="ONA3" s="59"/>
      <c r="ONB3" s="59"/>
      <c r="ONC3" s="59"/>
      <c r="OND3" s="59"/>
      <c r="ONE3" s="59"/>
      <c r="ONF3" s="59"/>
      <c r="ONG3" s="59"/>
      <c r="ONH3" s="59"/>
      <c r="ONI3" s="59"/>
      <c r="ONJ3" s="59"/>
      <c r="ONK3" s="59"/>
      <c r="ONL3" s="59"/>
      <c r="ONM3" s="59"/>
      <c r="ONN3" s="59"/>
      <c r="ONO3" s="59"/>
      <c r="ONP3" s="59"/>
      <c r="ONQ3" s="59"/>
      <c r="ONR3" s="59"/>
      <c r="ONS3" s="59"/>
      <c r="ONT3" s="59"/>
      <c r="ONU3" s="59"/>
      <c r="ONV3" s="59"/>
      <c r="ONW3" s="59"/>
      <c r="ONX3" s="59"/>
      <c r="ONY3" s="59"/>
      <c r="ONZ3" s="59"/>
      <c r="OOA3" s="59"/>
      <c r="OOB3" s="59"/>
      <c r="OOC3" s="59"/>
      <c r="OOD3" s="59"/>
      <c r="OOE3" s="59"/>
      <c r="OOF3" s="59"/>
      <c r="OOG3" s="59"/>
      <c r="OOH3" s="59"/>
      <c r="OOI3" s="59"/>
      <c r="OOJ3" s="59"/>
      <c r="OOK3" s="59"/>
      <c r="OOL3" s="59"/>
      <c r="OOM3" s="59"/>
      <c r="OON3" s="59"/>
      <c r="OOO3" s="59"/>
      <c r="OOP3" s="59"/>
      <c r="OOQ3" s="59"/>
      <c r="OOR3" s="59"/>
      <c r="OOS3" s="59"/>
      <c r="OOT3" s="59"/>
      <c r="OOU3" s="59"/>
      <c r="OOV3" s="59"/>
      <c r="OOW3" s="59"/>
      <c r="OOX3" s="59"/>
      <c r="OOY3" s="59"/>
      <c r="OOZ3" s="59"/>
      <c r="OPA3" s="59"/>
      <c r="OPB3" s="59"/>
      <c r="OPC3" s="59"/>
      <c r="OPD3" s="59"/>
      <c r="OPE3" s="59"/>
      <c r="OPF3" s="59"/>
      <c r="OPG3" s="59"/>
      <c r="OPH3" s="59"/>
      <c r="OPI3" s="59"/>
      <c r="OPJ3" s="59"/>
      <c r="OPK3" s="59"/>
      <c r="OPL3" s="59"/>
      <c r="OPM3" s="59"/>
      <c r="OPN3" s="59"/>
      <c r="OPO3" s="59"/>
      <c r="OPP3" s="59"/>
      <c r="OPQ3" s="59"/>
      <c r="OPR3" s="59"/>
      <c r="OPS3" s="59"/>
      <c r="OPT3" s="59"/>
      <c r="OPU3" s="59"/>
      <c r="OPV3" s="59"/>
      <c r="OPW3" s="59"/>
      <c r="OPX3" s="59"/>
      <c r="OPY3" s="59"/>
      <c r="OPZ3" s="59"/>
      <c r="OQA3" s="59"/>
      <c r="OQB3" s="59"/>
      <c r="OQC3" s="59"/>
      <c r="OQD3" s="59"/>
      <c r="OQE3" s="59"/>
      <c r="OQF3" s="59"/>
      <c r="OQG3" s="59"/>
      <c r="OQH3" s="59"/>
      <c r="OQI3" s="59"/>
      <c r="OQJ3" s="59"/>
      <c r="OQK3" s="59"/>
      <c r="OQL3" s="59"/>
      <c r="OQM3" s="59"/>
      <c r="OQN3" s="59"/>
      <c r="OQO3" s="59"/>
      <c r="OQP3" s="59"/>
      <c r="OQQ3" s="59"/>
      <c r="OQR3" s="59"/>
      <c r="OQS3" s="59"/>
      <c r="OQT3" s="59"/>
      <c r="OQU3" s="59"/>
      <c r="OQV3" s="59"/>
      <c r="OQW3" s="59"/>
      <c r="OQX3" s="59"/>
      <c r="OQY3" s="59"/>
      <c r="OQZ3" s="59"/>
      <c r="ORA3" s="59"/>
      <c r="ORB3" s="59"/>
      <c r="ORC3" s="59"/>
      <c r="ORD3" s="59"/>
      <c r="ORE3" s="59"/>
      <c r="ORF3" s="59"/>
      <c r="ORG3" s="59"/>
      <c r="ORH3" s="59"/>
      <c r="ORI3" s="59"/>
      <c r="ORJ3" s="59"/>
      <c r="ORK3" s="59"/>
      <c r="ORL3" s="59"/>
      <c r="ORM3" s="59"/>
      <c r="ORN3" s="59"/>
      <c r="ORO3" s="59"/>
      <c r="ORP3" s="59"/>
      <c r="ORQ3" s="59"/>
      <c r="ORR3" s="59"/>
      <c r="ORS3" s="59"/>
      <c r="ORT3" s="59"/>
      <c r="ORU3" s="59"/>
      <c r="ORV3" s="59"/>
      <c r="ORW3" s="59"/>
      <c r="ORX3" s="59"/>
      <c r="ORY3" s="59"/>
      <c r="ORZ3" s="59"/>
      <c r="OSA3" s="59"/>
      <c r="OSB3" s="59"/>
      <c r="OSC3" s="59"/>
      <c r="OSD3" s="59"/>
      <c r="OSE3" s="59"/>
      <c r="OSF3" s="59"/>
      <c r="OSG3" s="59"/>
      <c r="OSH3" s="59"/>
      <c r="OSI3" s="59"/>
      <c r="OSJ3" s="59"/>
      <c r="OSK3" s="59"/>
      <c r="OSL3" s="59"/>
      <c r="OSM3" s="59"/>
      <c r="OSN3" s="59"/>
      <c r="OSO3" s="59"/>
      <c r="OSP3" s="59"/>
      <c r="OSQ3" s="59"/>
      <c r="OSR3" s="59"/>
      <c r="OSS3" s="59"/>
      <c r="OST3" s="59"/>
      <c r="OSU3" s="59"/>
      <c r="OSV3" s="59"/>
      <c r="OSW3" s="59"/>
      <c r="OSX3" s="59"/>
      <c r="OSY3" s="59"/>
      <c r="OSZ3" s="59"/>
      <c r="OTA3" s="59"/>
      <c r="OTB3" s="59"/>
      <c r="OTC3" s="59"/>
      <c r="OTD3" s="59"/>
      <c r="OTE3" s="59"/>
      <c r="OTF3" s="59"/>
      <c r="OTG3" s="59"/>
      <c r="OTH3" s="59"/>
      <c r="OTI3" s="59"/>
      <c r="OTJ3" s="59"/>
      <c r="OTK3" s="59"/>
      <c r="OTL3" s="59"/>
      <c r="OTM3" s="59"/>
      <c r="OTN3" s="59"/>
      <c r="OTO3" s="59"/>
      <c r="OTP3" s="59"/>
      <c r="OTQ3" s="59"/>
      <c r="OTR3" s="59"/>
      <c r="OTS3" s="59"/>
      <c r="OTT3" s="59"/>
      <c r="OTU3" s="59"/>
      <c r="OTV3" s="59"/>
      <c r="OTW3" s="59"/>
      <c r="OTX3" s="59"/>
      <c r="OTY3" s="59"/>
      <c r="OTZ3" s="59"/>
      <c r="OUA3" s="59"/>
      <c r="OUB3" s="59"/>
      <c r="OUC3" s="59"/>
      <c r="OUD3" s="59"/>
      <c r="OUE3" s="59"/>
      <c r="OUF3" s="59"/>
      <c r="OUG3" s="59"/>
      <c r="OUH3" s="59"/>
      <c r="OUI3" s="59"/>
      <c r="OUJ3" s="59"/>
      <c r="OUK3" s="59"/>
      <c r="OUL3" s="59"/>
      <c r="OUM3" s="59"/>
      <c r="OUN3" s="59"/>
      <c r="OUO3" s="59"/>
      <c r="OUP3" s="59"/>
      <c r="OUQ3" s="59"/>
      <c r="OUR3" s="59"/>
      <c r="OUS3" s="59"/>
      <c r="OUT3" s="59"/>
      <c r="OUU3" s="59"/>
      <c r="OUV3" s="59"/>
      <c r="OUW3" s="59"/>
      <c r="OUX3" s="59"/>
      <c r="OUY3" s="59"/>
      <c r="OUZ3" s="59"/>
      <c r="OVA3" s="59"/>
      <c r="OVB3" s="59"/>
      <c r="OVC3" s="59"/>
      <c r="OVD3" s="59"/>
      <c r="OVE3" s="59"/>
      <c r="OVF3" s="59"/>
      <c r="OVG3" s="59"/>
      <c r="OVH3" s="59"/>
      <c r="OVI3" s="59"/>
      <c r="OVJ3" s="59"/>
      <c r="OVK3" s="59"/>
      <c r="OVL3" s="59"/>
      <c r="OVM3" s="59"/>
      <c r="OVN3" s="59"/>
      <c r="OVO3" s="59"/>
      <c r="OVP3" s="59"/>
      <c r="OVQ3" s="59"/>
      <c r="OVR3" s="59"/>
      <c r="OVS3" s="59"/>
      <c r="OVT3" s="59"/>
      <c r="OVU3" s="59"/>
      <c r="OVV3" s="59"/>
      <c r="OVW3" s="59"/>
      <c r="OVX3" s="59"/>
      <c r="OVY3" s="59"/>
      <c r="OVZ3" s="59"/>
      <c r="OWA3" s="59"/>
      <c r="OWB3" s="59"/>
      <c r="OWC3" s="59"/>
      <c r="OWD3" s="59"/>
      <c r="OWE3" s="59"/>
      <c r="OWF3" s="59"/>
      <c r="OWG3" s="59"/>
      <c r="OWH3" s="59"/>
      <c r="OWI3" s="59"/>
      <c r="OWJ3" s="59"/>
      <c r="OWK3" s="59"/>
      <c r="OWL3" s="59"/>
      <c r="OWM3" s="59"/>
      <c r="OWN3" s="59"/>
      <c r="OWO3" s="59"/>
      <c r="OWP3" s="59"/>
      <c r="OWQ3" s="59"/>
      <c r="OWR3" s="59"/>
      <c r="OWS3" s="59"/>
      <c r="OWT3" s="59"/>
      <c r="OWU3" s="59"/>
      <c r="OWV3" s="59"/>
      <c r="OWW3" s="59"/>
      <c r="OWX3" s="59"/>
      <c r="OWY3" s="59"/>
      <c r="OWZ3" s="59"/>
      <c r="OXA3" s="59"/>
      <c r="OXB3" s="59"/>
      <c r="OXC3" s="59"/>
      <c r="OXD3" s="59"/>
      <c r="OXE3" s="59"/>
      <c r="OXF3" s="59"/>
      <c r="OXG3" s="59"/>
      <c r="OXH3" s="59"/>
      <c r="OXI3" s="59"/>
      <c r="OXJ3" s="59"/>
      <c r="OXK3" s="59"/>
      <c r="OXL3" s="59"/>
      <c r="OXM3" s="59"/>
      <c r="OXN3" s="59"/>
      <c r="OXO3" s="59"/>
      <c r="OXP3" s="59"/>
      <c r="OXQ3" s="59"/>
      <c r="OXR3" s="59"/>
      <c r="OXS3" s="59"/>
      <c r="OXT3" s="59"/>
      <c r="OXU3" s="59"/>
      <c r="OXV3" s="59"/>
      <c r="OXW3" s="59"/>
      <c r="OXX3" s="59"/>
      <c r="OXY3" s="59"/>
      <c r="OXZ3" s="59"/>
      <c r="OYA3" s="59"/>
      <c r="OYB3" s="59"/>
      <c r="OYC3" s="59"/>
      <c r="OYD3" s="59"/>
      <c r="OYE3" s="59"/>
      <c r="OYF3" s="59"/>
      <c r="OYG3" s="59"/>
      <c r="OYH3" s="59"/>
      <c r="OYI3" s="59"/>
      <c r="OYJ3" s="59"/>
      <c r="OYK3" s="59"/>
      <c r="OYL3" s="59"/>
      <c r="OYM3" s="59"/>
      <c r="OYN3" s="59"/>
      <c r="OYO3" s="59"/>
      <c r="OYP3" s="59"/>
      <c r="OYQ3" s="59"/>
      <c r="OYR3" s="59"/>
      <c r="OYS3" s="59"/>
      <c r="OYT3" s="59"/>
      <c r="OYU3" s="59"/>
      <c r="OYV3" s="59"/>
      <c r="OYW3" s="59"/>
      <c r="OYX3" s="59"/>
      <c r="OYY3" s="59"/>
      <c r="OYZ3" s="59"/>
      <c r="OZA3" s="59"/>
      <c r="OZB3" s="59"/>
      <c r="OZC3" s="59"/>
      <c r="OZD3" s="59"/>
      <c r="OZE3" s="59"/>
      <c r="OZF3" s="59"/>
      <c r="OZG3" s="59"/>
      <c r="OZH3" s="59"/>
      <c r="OZI3" s="59"/>
      <c r="OZJ3" s="59"/>
      <c r="OZK3" s="59"/>
      <c r="OZL3" s="59"/>
      <c r="OZM3" s="59"/>
      <c r="OZN3" s="59"/>
      <c r="OZO3" s="59"/>
      <c r="OZP3" s="59"/>
      <c r="OZQ3" s="59"/>
      <c r="OZR3" s="59"/>
      <c r="OZS3" s="59"/>
      <c r="OZT3" s="59"/>
      <c r="OZU3" s="59"/>
      <c r="OZV3" s="59"/>
      <c r="OZW3" s="59"/>
      <c r="OZX3" s="59"/>
      <c r="OZY3" s="59"/>
      <c r="OZZ3" s="59"/>
      <c r="PAA3" s="59"/>
      <c r="PAB3" s="59"/>
      <c r="PAC3" s="59"/>
      <c r="PAD3" s="59"/>
      <c r="PAE3" s="59"/>
      <c r="PAF3" s="59"/>
      <c r="PAG3" s="59"/>
      <c r="PAH3" s="59"/>
      <c r="PAI3" s="59"/>
      <c r="PAJ3" s="59"/>
      <c r="PAK3" s="59"/>
      <c r="PAL3" s="59"/>
      <c r="PAM3" s="59"/>
      <c r="PAN3" s="59"/>
      <c r="PAO3" s="59"/>
      <c r="PAP3" s="59"/>
      <c r="PAQ3" s="59"/>
      <c r="PAR3" s="59"/>
      <c r="PAS3" s="59"/>
      <c r="PAT3" s="59"/>
      <c r="PAU3" s="59"/>
      <c r="PAV3" s="59"/>
      <c r="PAW3" s="59"/>
      <c r="PAX3" s="59"/>
      <c r="PAY3" s="59"/>
      <c r="PAZ3" s="59"/>
      <c r="PBA3" s="59"/>
      <c r="PBB3" s="59"/>
      <c r="PBC3" s="59"/>
      <c r="PBD3" s="59"/>
      <c r="PBE3" s="59"/>
      <c r="PBF3" s="59"/>
      <c r="PBG3" s="59"/>
      <c r="PBH3" s="59"/>
      <c r="PBI3" s="59"/>
      <c r="PBJ3" s="59"/>
      <c r="PBK3" s="59"/>
      <c r="PBL3" s="59"/>
      <c r="PBM3" s="59"/>
      <c r="PBN3" s="59"/>
      <c r="PBO3" s="59"/>
      <c r="PBP3" s="59"/>
      <c r="PBQ3" s="59"/>
      <c r="PBR3" s="59"/>
      <c r="PBS3" s="59"/>
      <c r="PBT3" s="59"/>
      <c r="PBU3" s="59"/>
      <c r="PBV3" s="59"/>
      <c r="PBW3" s="59"/>
      <c r="PBX3" s="59"/>
      <c r="PBY3" s="59"/>
      <c r="PBZ3" s="59"/>
      <c r="PCA3" s="59"/>
      <c r="PCB3" s="59"/>
      <c r="PCC3" s="59"/>
      <c r="PCD3" s="59"/>
      <c r="PCE3" s="59"/>
      <c r="PCF3" s="59"/>
      <c r="PCG3" s="59"/>
      <c r="PCH3" s="59"/>
      <c r="PCI3" s="59"/>
      <c r="PCJ3" s="59"/>
      <c r="PCK3" s="59"/>
      <c r="PCL3" s="59"/>
      <c r="PCM3" s="59"/>
      <c r="PCN3" s="59"/>
      <c r="PCO3" s="59"/>
      <c r="PCP3" s="59"/>
      <c r="PCQ3" s="59"/>
      <c r="PCR3" s="59"/>
      <c r="PCS3" s="59"/>
      <c r="PCT3" s="59"/>
      <c r="PCU3" s="59"/>
      <c r="PCV3" s="59"/>
      <c r="PCW3" s="59"/>
      <c r="PCX3" s="59"/>
      <c r="PCY3" s="59"/>
      <c r="PCZ3" s="59"/>
      <c r="PDA3" s="59"/>
      <c r="PDB3" s="59"/>
      <c r="PDC3" s="59"/>
      <c r="PDD3" s="59"/>
      <c r="PDE3" s="59"/>
      <c r="PDF3" s="59"/>
      <c r="PDG3" s="59"/>
      <c r="PDH3" s="59"/>
      <c r="PDI3" s="59"/>
      <c r="PDJ3" s="59"/>
      <c r="PDK3" s="59"/>
      <c r="PDL3" s="59"/>
      <c r="PDM3" s="59"/>
      <c r="PDN3" s="59"/>
      <c r="PDO3" s="59"/>
      <c r="PDP3" s="59"/>
      <c r="PDQ3" s="59"/>
      <c r="PDR3" s="59"/>
      <c r="PDS3" s="59"/>
      <c r="PDT3" s="59"/>
      <c r="PDU3" s="59"/>
      <c r="PDV3" s="59"/>
      <c r="PDW3" s="59"/>
      <c r="PDX3" s="59"/>
      <c r="PDY3" s="59"/>
      <c r="PDZ3" s="59"/>
      <c r="PEA3" s="59"/>
      <c r="PEB3" s="59"/>
      <c r="PEC3" s="59"/>
      <c r="PED3" s="59"/>
      <c r="PEE3" s="59"/>
      <c r="PEF3" s="59"/>
      <c r="PEG3" s="59"/>
      <c r="PEH3" s="59"/>
      <c r="PEI3" s="59"/>
      <c r="PEJ3" s="59"/>
      <c r="PEK3" s="59"/>
      <c r="PEL3" s="59"/>
      <c r="PEM3" s="59"/>
      <c r="PEN3" s="59"/>
      <c r="PEO3" s="59"/>
      <c r="PEP3" s="59"/>
      <c r="PEQ3" s="59"/>
      <c r="PER3" s="59"/>
      <c r="PES3" s="59"/>
      <c r="PET3" s="59"/>
      <c r="PEU3" s="59"/>
      <c r="PEV3" s="59"/>
      <c r="PEW3" s="59"/>
      <c r="PEX3" s="59"/>
      <c r="PEY3" s="59"/>
      <c r="PEZ3" s="59"/>
      <c r="PFA3" s="59"/>
      <c r="PFB3" s="59"/>
      <c r="PFC3" s="59"/>
      <c r="PFD3" s="59"/>
      <c r="PFE3" s="59"/>
      <c r="PFF3" s="59"/>
      <c r="PFG3" s="59"/>
      <c r="PFH3" s="59"/>
      <c r="PFI3" s="59"/>
      <c r="PFJ3" s="59"/>
      <c r="PFK3" s="59"/>
      <c r="PFL3" s="59"/>
      <c r="PFM3" s="59"/>
      <c r="PFN3" s="59"/>
      <c r="PFO3" s="59"/>
      <c r="PFP3" s="59"/>
      <c r="PFQ3" s="59"/>
      <c r="PFR3" s="59"/>
      <c r="PFS3" s="59"/>
      <c r="PFT3" s="59"/>
      <c r="PFU3" s="59"/>
      <c r="PFV3" s="59"/>
      <c r="PFW3" s="59"/>
      <c r="PFX3" s="59"/>
      <c r="PFY3" s="59"/>
      <c r="PFZ3" s="59"/>
      <c r="PGA3" s="59"/>
      <c r="PGB3" s="59"/>
      <c r="PGC3" s="59"/>
      <c r="PGD3" s="59"/>
      <c r="PGE3" s="59"/>
      <c r="PGF3" s="59"/>
      <c r="PGG3" s="59"/>
      <c r="PGH3" s="59"/>
      <c r="PGI3" s="59"/>
      <c r="PGJ3" s="59"/>
      <c r="PGK3" s="59"/>
      <c r="PGL3" s="59"/>
      <c r="PGM3" s="59"/>
      <c r="PGN3" s="59"/>
      <c r="PGO3" s="59"/>
      <c r="PGP3" s="59"/>
      <c r="PGQ3" s="59"/>
      <c r="PGR3" s="59"/>
      <c r="PGS3" s="59"/>
      <c r="PGT3" s="59"/>
      <c r="PGU3" s="59"/>
      <c r="PGV3" s="59"/>
      <c r="PGW3" s="59"/>
      <c r="PGX3" s="59"/>
      <c r="PGY3" s="59"/>
      <c r="PGZ3" s="59"/>
      <c r="PHA3" s="59"/>
      <c r="PHB3" s="59"/>
      <c r="PHC3" s="59"/>
      <c r="PHD3" s="59"/>
      <c r="PHE3" s="59"/>
      <c r="PHF3" s="59"/>
      <c r="PHG3" s="59"/>
      <c r="PHH3" s="59"/>
      <c r="PHI3" s="59"/>
      <c r="PHJ3" s="59"/>
      <c r="PHK3" s="59"/>
      <c r="PHL3" s="59"/>
      <c r="PHM3" s="59"/>
      <c r="PHN3" s="59"/>
      <c r="PHO3" s="59"/>
      <c r="PHP3" s="59"/>
      <c r="PHQ3" s="59"/>
      <c r="PHR3" s="59"/>
      <c r="PHS3" s="59"/>
      <c r="PHT3" s="59"/>
      <c r="PHU3" s="59"/>
      <c r="PHV3" s="59"/>
      <c r="PHW3" s="59"/>
      <c r="PHX3" s="59"/>
      <c r="PHY3" s="59"/>
      <c r="PHZ3" s="59"/>
      <c r="PIA3" s="59"/>
      <c r="PIB3" s="59"/>
      <c r="PIC3" s="59"/>
      <c r="PID3" s="59"/>
      <c r="PIE3" s="59"/>
      <c r="PIF3" s="59"/>
      <c r="PIG3" s="59"/>
      <c r="PIH3" s="59"/>
      <c r="PII3" s="59"/>
      <c r="PIJ3" s="59"/>
      <c r="PIK3" s="59"/>
      <c r="PIL3" s="59"/>
      <c r="PIM3" s="59"/>
      <c r="PIN3" s="59"/>
      <c r="PIO3" s="59"/>
      <c r="PIP3" s="59"/>
      <c r="PIQ3" s="59"/>
      <c r="PIR3" s="59"/>
      <c r="PIS3" s="59"/>
      <c r="PIT3" s="59"/>
      <c r="PIU3" s="59"/>
      <c r="PIV3" s="59"/>
      <c r="PIW3" s="59"/>
      <c r="PIX3" s="59"/>
      <c r="PIY3" s="59"/>
      <c r="PIZ3" s="59"/>
      <c r="PJA3" s="59"/>
      <c r="PJB3" s="59"/>
      <c r="PJC3" s="59"/>
      <c r="PJD3" s="59"/>
      <c r="PJE3" s="59"/>
      <c r="PJF3" s="59"/>
      <c r="PJG3" s="59"/>
      <c r="PJH3" s="59"/>
      <c r="PJI3" s="59"/>
      <c r="PJJ3" s="59"/>
      <c r="PJK3" s="59"/>
      <c r="PJL3" s="59"/>
      <c r="PJM3" s="59"/>
      <c r="PJN3" s="59"/>
      <c r="PJO3" s="59"/>
      <c r="PJP3" s="59"/>
      <c r="PJQ3" s="59"/>
      <c r="PJR3" s="59"/>
      <c r="PJS3" s="59"/>
      <c r="PJT3" s="59"/>
      <c r="PJU3" s="59"/>
      <c r="PJV3" s="59"/>
      <c r="PJW3" s="59"/>
      <c r="PJX3" s="59"/>
      <c r="PJY3" s="59"/>
      <c r="PJZ3" s="59"/>
      <c r="PKA3" s="59"/>
      <c r="PKB3" s="59"/>
      <c r="PKC3" s="59"/>
      <c r="PKD3" s="59"/>
      <c r="PKE3" s="59"/>
      <c r="PKF3" s="59"/>
      <c r="PKG3" s="59"/>
      <c r="PKH3" s="59"/>
      <c r="PKI3" s="59"/>
      <c r="PKJ3" s="59"/>
      <c r="PKK3" s="59"/>
      <c r="PKL3" s="59"/>
      <c r="PKM3" s="59"/>
      <c r="PKN3" s="59"/>
      <c r="PKO3" s="59"/>
      <c r="PKP3" s="59"/>
      <c r="PKQ3" s="59"/>
      <c r="PKR3" s="59"/>
      <c r="PKS3" s="59"/>
      <c r="PKT3" s="59"/>
      <c r="PKU3" s="59"/>
      <c r="PKV3" s="59"/>
      <c r="PKW3" s="59"/>
      <c r="PKX3" s="59"/>
      <c r="PKY3" s="59"/>
      <c r="PKZ3" s="59"/>
      <c r="PLA3" s="59"/>
      <c r="PLB3" s="59"/>
      <c r="PLC3" s="59"/>
      <c r="PLD3" s="59"/>
      <c r="PLE3" s="59"/>
      <c r="PLF3" s="59"/>
      <c r="PLG3" s="59"/>
      <c r="PLH3" s="59"/>
      <c r="PLI3" s="59"/>
      <c r="PLJ3" s="59"/>
      <c r="PLK3" s="59"/>
      <c r="PLL3" s="59"/>
      <c r="PLM3" s="59"/>
      <c r="PLN3" s="59"/>
      <c r="PLO3" s="59"/>
      <c r="PLP3" s="59"/>
      <c r="PLQ3" s="59"/>
      <c r="PLR3" s="59"/>
      <c r="PLS3" s="59"/>
      <c r="PLT3" s="59"/>
      <c r="PLU3" s="59"/>
      <c r="PLV3" s="59"/>
      <c r="PLW3" s="59"/>
      <c r="PLX3" s="59"/>
      <c r="PLY3" s="59"/>
      <c r="PLZ3" s="59"/>
      <c r="PMA3" s="59"/>
      <c r="PMB3" s="59"/>
      <c r="PMC3" s="59"/>
      <c r="PMD3" s="59"/>
      <c r="PME3" s="59"/>
      <c r="PMF3" s="59"/>
      <c r="PMG3" s="59"/>
      <c r="PMH3" s="59"/>
      <c r="PMI3" s="59"/>
      <c r="PMJ3" s="59"/>
      <c r="PMK3" s="59"/>
      <c r="PML3" s="59"/>
      <c r="PMM3" s="59"/>
      <c r="PMN3" s="59"/>
      <c r="PMO3" s="59"/>
      <c r="PMP3" s="59"/>
      <c r="PMQ3" s="59"/>
      <c r="PMR3" s="59"/>
      <c r="PMS3" s="59"/>
      <c r="PMT3" s="59"/>
      <c r="PMU3" s="59"/>
      <c r="PMV3" s="59"/>
      <c r="PMW3" s="59"/>
      <c r="PMX3" s="59"/>
      <c r="PMY3" s="59"/>
      <c r="PMZ3" s="59"/>
      <c r="PNA3" s="59"/>
      <c r="PNB3" s="59"/>
      <c r="PNC3" s="59"/>
      <c r="PND3" s="59"/>
      <c r="PNE3" s="59"/>
      <c r="PNF3" s="59"/>
      <c r="PNG3" s="59"/>
      <c r="PNH3" s="59"/>
      <c r="PNI3" s="59"/>
      <c r="PNJ3" s="59"/>
      <c r="PNK3" s="59"/>
      <c r="PNL3" s="59"/>
      <c r="PNM3" s="59"/>
      <c r="PNN3" s="59"/>
      <c r="PNO3" s="59"/>
      <c r="PNP3" s="59"/>
      <c r="PNQ3" s="59"/>
      <c r="PNR3" s="59"/>
      <c r="PNS3" s="59"/>
      <c r="PNT3" s="59"/>
      <c r="PNU3" s="59"/>
      <c r="PNV3" s="59"/>
      <c r="PNW3" s="59"/>
      <c r="PNX3" s="59"/>
      <c r="PNY3" s="59"/>
      <c r="PNZ3" s="59"/>
      <c r="POA3" s="59"/>
      <c r="POB3" s="59"/>
      <c r="POC3" s="59"/>
      <c r="POD3" s="59"/>
      <c r="POE3" s="59"/>
      <c r="POF3" s="59"/>
      <c r="POG3" s="59"/>
      <c r="POH3" s="59"/>
      <c r="POI3" s="59"/>
      <c r="POJ3" s="59"/>
      <c r="POK3" s="59"/>
      <c r="POL3" s="59"/>
      <c r="POM3" s="59"/>
      <c r="PON3" s="59"/>
      <c r="POO3" s="59"/>
      <c r="POP3" s="59"/>
      <c r="POQ3" s="59"/>
      <c r="POR3" s="59"/>
      <c r="POS3" s="59"/>
      <c r="POT3" s="59"/>
      <c r="POU3" s="59"/>
      <c r="POV3" s="59"/>
      <c r="POW3" s="59"/>
      <c r="POX3" s="59"/>
      <c r="POY3" s="59"/>
      <c r="POZ3" s="59"/>
      <c r="PPA3" s="59"/>
      <c r="PPB3" s="59"/>
      <c r="PPC3" s="59"/>
      <c r="PPD3" s="59"/>
      <c r="PPE3" s="59"/>
      <c r="PPF3" s="59"/>
      <c r="PPG3" s="59"/>
      <c r="PPH3" s="59"/>
      <c r="PPI3" s="59"/>
      <c r="PPJ3" s="59"/>
      <c r="PPK3" s="59"/>
      <c r="PPL3" s="59"/>
      <c r="PPM3" s="59"/>
      <c r="PPN3" s="59"/>
      <c r="PPO3" s="59"/>
      <c r="PPP3" s="59"/>
      <c r="PPQ3" s="59"/>
      <c r="PPR3" s="59"/>
      <c r="PPS3" s="59"/>
      <c r="PPT3" s="59"/>
      <c r="PPU3" s="59"/>
      <c r="PPV3" s="59"/>
      <c r="PPW3" s="59"/>
      <c r="PPX3" s="59"/>
      <c r="PPY3" s="59"/>
      <c r="PPZ3" s="59"/>
      <c r="PQA3" s="59"/>
      <c r="PQB3" s="59"/>
      <c r="PQC3" s="59"/>
      <c r="PQD3" s="59"/>
      <c r="PQE3" s="59"/>
      <c r="PQF3" s="59"/>
      <c r="PQG3" s="59"/>
      <c r="PQH3" s="59"/>
      <c r="PQI3" s="59"/>
      <c r="PQJ3" s="59"/>
      <c r="PQK3" s="59"/>
      <c r="PQL3" s="59"/>
      <c r="PQM3" s="59"/>
      <c r="PQN3" s="59"/>
      <c r="PQO3" s="59"/>
      <c r="PQP3" s="59"/>
      <c r="PQQ3" s="59"/>
      <c r="PQR3" s="59"/>
      <c r="PQS3" s="59"/>
      <c r="PQT3" s="59"/>
      <c r="PQU3" s="59"/>
      <c r="PQV3" s="59"/>
      <c r="PQW3" s="59"/>
      <c r="PQX3" s="59"/>
      <c r="PQY3" s="59"/>
      <c r="PQZ3" s="59"/>
      <c r="PRA3" s="59"/>
      <c r="PRB3" s="59"/>
      <c r="PRC3" s="59"/>
      <c r="PRD3" s="59"/>
      <c r="PRE3" s="59"/>
      <c r="PRF3" s="59"/>
      <c r="PRG3" s="59"/>
      <c r="PRH3" s="59"/>
      <c r="PRI3" s="59"/>
      <c r="PRJ3" s="59"/>
      <c r="PRK3" s="59"/>
      <c r="PRL3" s="59"/>
      <c r="PRM3" s="59"/>
      <c r="PRN3" s="59"/>
      <c r="PRO3" s="59"/>
      <c r="PRP3" s="59"/>
      <c r="PRQ3" s="59"/>
      <c r="PRR3" s="59"/>
      <c r="PRS3" s="59"/>
      <c r="PRT3" s="59"/>
      <c r="PRU3" s="59"/>
      <c r="PRV3" s="59"/>
      <c r="PRW3" s="59"/>
      <c r="PRX3" s="59"/>
      <c r="PRY3" s="59"/>
      <c r="PRZ3" s="59"/>
      <c r="PSA3" s="59"/>
      <c r="PSB3" s="59"/>
      <c r="PSC3" s="59"/>
      <c r="PSD3" s="59"/>
      <c r="PSE3" s="59"/>
      <c r="PSF3" s="59"/>
      <c r="PSG3" s="59"/>
      <c r="PSH3" s="59"/>
      <c r="PSI3" s="59"/>
      <c r="PSJ3" s="59"/>
      <c r="PSK3" s="59"/>
      <c r="PSL3" s="59"/>
      <c r="PSM3" s="59"/>
      <c r="PSN3" s="59"/>
      <c r="PSO3" s="59"/>
      <c r="PSP3" s="59"/>
      <c r="PSQ3" s="59"/>
      <c r="PSR3" s="59"/>
      <c r="PSS3" s="59"/>
      <c r="PST3" s="59"/>
      <c r="PSU3" s="59"/>
      <c r="PSV3" s="59"/>
      <c r="PSW3" s="59"/>
      <c r="PSX3" s="59"/>
      <c r="PSY3" s="59"/>
      <c r="PSZ3" s="59"/>
      <c r="PTA3" s="59"/>
      <c r="PTB3" s="59"/>
      <c r="PTC3" s="59"/>
      <c r="PTD3" s="59"/>
      <c r="PTE3" s="59"/>
      <c r="PTF3" s="59"/>
      <c r="PTG3" s="59"/>
      <c r="PTH3" s="59"/>
      <c r="PTI3" s="59"/>
      <c r="PTJ3" s="59"/>
      <c r="PTK3" s="59"/>
      <c r="PTL3" s="59"/>
      <c r="PTM3" s="59"/>
      <c r="PTN3" s="59"/>
      <c r="PTO3" s="59"/>
      <c r="PTP3" s="59"/>
      <c r="PTQ3" s="59"/>
      <c r="PTR3" s="59"/>
      <c r="PTS3" s="59"/>
      <c r="PTT3" s="59"/>
      <c r="PTU3" s="59"/>
      <c r="PTV3" s="59"/>
      <c r="PTW3" s="59"/>
      <c r="PTX3" s="59"/>
      <c r="PTY3" s="59"/>
      <c r="PTZ3" s="59"/>
      <c r="PUA3" s="59"/>
      <c r="PUB3" s="59"/>
      <c r="PUC3" s="59"/>
      <c r="PUD3" s="59"/>
      <c r="PUE3" s="59"/>
      <c r="PUF3" s="59"/>
      <c r="PUG3" s="59"/>
      <c r="PUH3" s="59"/>
      <c r="PUI3" s="59"/>
      <c r="PUJ3" s="59"/>
      <c r="PUK3" s="59"/>
      <c r="PUL3" s="59"/>
      <c r="PUM3" s="59"/>
      <c r="PUN3" s="59"/>
      <c r="PUO3" s="59"/>
      <c r="PUP3" s="59"/>
      <c r="PUQ3" s="59"/>
      <c r="PUR3" s="59"/>
      <c r="PUS3" s="59"/>
      <c r="PUT3" s="59"/>
      <c r="PUU3" s="59"/>
      <c r="PUV3" s="59"/>
      <c r="PUW3" s="59"/>
      <c r="PUX3" s="59"/>
      <c r="PUY3" s="59"/>
      <c r="PUZ3" s="59"/>
      <c r="PVA3" s="59"/>
      <c r="PVB3" s="59"/>
      <c r="PVC3" s="59"/>
      <c r="PVD3" s="59"/>
      <c r="PVE3" s="59"/>
      <c r="PVF3" s="59"/>
      <c r="PVG3" s="59"/>
      <c r="PVH3" s="59"/>
      <c r="PVI3" s="59"/>
      <c r="PVJ3" s="59"/>
      <c r="PVK3" s="59"/>
      <c r="PVL3" s="59"/>
      <c r="PVM3" s="59"/>
      <c r="PVN3" s="59"/>
      <c r="PVO3" s="59"/>
      <c r="PVP3" s="59"/>
      <c r="PVQ3" s="59"/>
      <c r="PVR3" s="59"/>
      <c r="PVS3" s="59"/>
      <c r="PVT3" s="59"/>
      <c r="PVU3" s="59"/>
      <c r="PVV3" s="59"/>
      <c r="PVW3" s="59"/>
      <c r="PVX3" s="59"/>
      <c r="PVY3" s="59"/>
      <c r="PVZ3" s="59"/>
      <c r="PWA3" s="59"/>
      <c r="PWB3" s="59"/>
      <c r="PWC3" s="59"/>
      <c r="PWD3" s="59"/>
      <c r="PWE3" s="59"/>
      <c r="PWF3" s="59"/>
      <c r="PWG3" s="59"/>
      <c r="PWH3" s="59"/>
      <c r="PWI3" s="59"/>
      <c r="PWJ3" s="59"/>
      <c r="PWK3" s="59"/>
      <c r="PWL3" s="59"/>
      <c r="PWM3" s="59"/>
      <c r="PWN3" s="59"/>
      <c r="PWO3" s="59"/>
      <c r="PWP3" s="59"/>
      <c r="PWQ3" s="59"/>
      <c r="PWR3" s="59"/>
      <c r="PWS3" s="59"/>
      <c r="PWT3" s="59"/>
      <c r="PWU3" s="59"/>
      <c r="PWV3" s="59"/>
      <c r="PWW3" s="59"/>
      <c r="PWX3" s="59"/>
      <c r="PWY3" s="59"/>
      <c r="PWZ3" s="59"/>
      <c r="PXA3" s="59"/>
      <c r="PXB3" s="59"/>
      <c r="PXC3" s="59"/>
      <c r="PXD3" s="59"/>
      <c r="PXE3" s="59"/>
      <c r="PXF3" s="59"/>
      <c r="PXG3" s="59"/>
      <c r="PXH3" s="59"/>
      <c r="PXI3" s="59"/>
      <c r="PXJ3" s="59"/>
      <c r="PXK3" s="59"/>
      <c r="PXL3" s="59"/>
      <c r="PXM3" s="59"/>
      <c r="PXN3" s="59"/>
      <c r="PXO3" s="59"/>
      <c r="PXP3" s="59"/>
      <c r="PXQ3" s="59"/>
      <c r="PXR3" s="59"/>
      <c r="PXS3" s="59"/>
      <c r="PXT3" s="59"/>
      <c r="PXU3" s="59"/>
      <c r="PXV3" s="59"/>
      <c r="PXW3" s="59"/>
      <c r="PXX3" s="59"/>
      <c r="PXY3" s="59"/>
      <c r="PXZ3" s="59"/>
      <c r="PYA3" s="59"/>
      <c r="PYB3" s="59"/>
      <c r="PYC3" s="59"/>
      <c r="PYD3" s="59"/>
      <c r="PYE3" s="59"/>
      <c r="PYF3" s="59"/>
      <c r="PYG3" s="59"/>
      <c r="PYH3" s="59"/>
      <c r="PYI3" s="59"/>
      <c r="PYJ3" s="59"/>
      <c r="PYK3" s="59"/>
      <c r="PYL3" s="59"/>
      <c r="PYM3" s="59"/>
      <c r="PYN3" s="59"/>
      <c r="PYO3" s="59"/>
      <c r="PYP3" s="59"/>
      <c r="PYQ3" s="59"/>
      <c r="PYR3" s="59"/>
      <c r="PYS3" s="59"/>
      <c r="PYT3" s="59"/>
      <c r="PYU3" s="59"/>
      <c r="PYV3" s="59"/>
      <c r="PYW3" s="59"/>
      <c r="PYX3" s="59"/>
      <c r="PYY3" s="59"/>
      <c r="PYZ3" s="59"/>
      <c r="PZA3" s="59"/>
      <c r="PZB3" s="59"/>
      <c r="PZC3" s="59"/>
      <c r="PZD3" s="59"/>
      <c r="PZE3" s="59"/>
      <c r="PZF3" s="59"/>
      <c r="PZG3" s="59"/>
      <c r="PZH3" s="59"/>
      <c r="PZI3" s="59"/>
      <c r="PZJ3" s="59"/>
      <c r="PZK3" s="59"/>
      <c r="PZL3" s="59"/>
      <c r="PZM3" s="59"/>
      <c r="PZN3" s="59"/>
      <c r="PZO3" s="59"/>
      <c r="PZP3" s="59"/>
      <c r="PZQ3" s="59"/>
      <c r="PZR3" s="59"/>
      <c r="PZS3" s="59"/>
      <c r="PZT3" s="59"/>
      <c r="PZU3" s="59"/>
      <c r="PZV3" s="59"/>
      <c r="PZW3" s="59"/>
      <c r="PZX3" s="59"/>
      <c r="PZY3" s="59"/>
      <c r="PZZ3" s="59"/>
      <c r="QAA3" s="59"/>
      <c r="QAB3" s="59"/>
      <c r="QAC3" s="59"/>
      <c r="QAD3" s="59"/>
      <c r="QAE3" s="59"/>
      <c r="QAF3" s="59"/>
      <c r="QAG3" s="59"/>
      <c r="QAH3" s="59"/>
      <c r="QAI3" s="59"/>
      <c r="QAJ3" s="59"/>
      <c r="QAK3" s="59"/>
      <c r="QAL3" s="59"/>
      <c r="QAM3" s="59"/>
      <c r="QAN3" s="59"/>
      <c r="QAO3" s="59"/>
      <c r="QAP3" s="59"/>
      <c r="QAQ3" s="59"/>
      <c r="QAR3" s="59"/>
      <c r="QAS3" s="59"/>
      <c r="QAT3" s="59"/>
      <c r="QAU3" s="59"/>
      <c r="QAV3" s="59"/>
      <c r="QAW3" s="59"/>
      <c r="QAX3" s="59"/>
      <c r="QAY3" s="59"/>
      <c r="QAZ3" s="59"/>
      <c r="QBA3" s="59"/>
      <c r="QBB3" s="59"/>
      <c r="QBC3" s="59"/>
      <c r="QBD3" s="59"/>
      <c r="QBE3" s="59"/>
      <c r="QBF3" s="59"/>
      <c r="QBG3" s="59"/>
      <c r="QBH3" s="59"/>
      <c r="QBI3" s="59"/>
      <c r="QBJ3" s="59"/>
      <c r="QBK3" s="59"/>
      <c r="QBL3" s="59"/>
      <c r="QBM3" s="59"/>
      <c r="QBN3" s="59"/>
      <c r="QBO3" s="59"/>
      <c r="QBP3" s="59"/>
      <c r="QBQ3" s="59"/>
      <c r="QBR3" s="59"/>
      <c r="QBS3" s="59"/>
      <c r="QBT3" s="59"/>
      <c r="QBU3" s="59"/>
      <c r="QBV3" s="59"/>
      <c r="QBW3" s="59"/>
      <c r="QBX3" s="59"/>
      <c r="QBY3" s="59"/>
      <c r="QBZ3" s="59"/>
      <c r="QCA3" s="59"/>
      <c r="QCB3" s="59"/>
      <c r="QCC3" s="59"/>
      <c r="QCD3" s="59"/>
      <c r="QCE3" s="59"/>
      <c r="QCF3" s="59"/>
      <c r="QCG3" s="59"/>
      <c r="QCH3" s="59"/>
      <c r="QCI3" s="59"/>
      <c r="QCJ3" s="59"/>
      <c r="QCK3" s="59"/>
      <c r="QCL3" s="59"/>
      <c r="QCM3" s="59"/>
      <c r="QCN3" s="59"/>
      <c r="QCO3" s="59"/>
      <c r="QCP3" s="59"/>
      <c r="QCQ3" s="59"/>
      <c r="QCR3" s="59"/>
      <c r="QCS3" s="59"/>
      <c r="QCT3" s="59"/>
      <c r="QCU3" s="59"/>
      <c r="QCV3" s="59"/>
      <c r="QCW3" s="59"/>
      <c r="QCX3" s="59"/>
      <c r="QCY3" s="59"/>
      <c r="QCZ3" s="59"/>
      <c r="QDA3" s="59"/>
      <c r="QDB3" s="59"/>
      <c r="QDC3" s="59"/>
      <c r="QDD3" s="59"/>
      <c r="QDE3" s="59"/>
      <c r="QDF3" s="59"/>
      <c r="QDG3" s="59"/>
      <c r="QDH3" s="59"/>
      <c r="QDI3" s="59"/>
      <c r="QDJ3" s="59"/>
      <c r="QDK3" s="59"/>
      <c r="QDL3" s="59"/>
      <c r="QDM3" s="59"/>
      <c r="QDN3" s="59"/>
      <c r="QDO3" s="59"/>
      <c r="QDP3" s="59"/>
      <c r="QDQ3" s="59"/>
      <c r="QDR3" s="59"/>
      <c r="QDS3" s="59"/>
      <c r="QDT3" s="59"/>
      <c r="QDU3" s="59"/>
      <c r="QDV3" s="59"/>
      <c r="QDW3" s="59"/>
      <c r="QDX3" s="59"/>
      <c r="QDY3" s="59"/>
      <c r="QDZ3" s="59"/>
      <c r="QEA3" s="59"/>
      <c r="QEB3" s="59"/>
      <c r="QEC3" s="59"/>
      <c r="QED3" s="59"/>
      <c r="QEE3" s="59"/>
      <c r="QEF3" s="59"/>
      <c r="QEG3" s="59"/>
      <c r="QEH3" s="59"/>
      <c r="QEI3" s="59"/>
      <c r="QEJ3" s="59"/>
      <c r="QEK3" s="59"/>
      <c r="QEL3" s="59"/>
      <c r="QEM3" s="59"/>
      <c r="QEN3" s="59"/>
      <c r="QEO3" s="59"/>
      <c r="QEP3" s="59"/>
      <c r="QEQ3" s="59"/>
      <c r="QER3" s="59"/>
      <c r="QES3" s="59"/>
      <c r="QET3" s="59"/>
      <c r="QEU3" s="59"/>
      <c r="QEV3" s="59"/>
      <c r="QEW3" s="59"/>
      <c r="QEX3" s="59"/>
      <c r="QEY3" s="59"/>
      <c r="QEZ3" s="59"/>
      <c r="QFA3" s="59"/>
      <c r="QFB3" s="59"/>
      <c r="QFC3" s="59"/>
      <c r="QFD3" s="59"/>
      <c r="QFE3" s="59"/>
      <c r="QFF3" s="59"/>
      <c r="QFG3" s="59"/>
      <c r="QFH3" s="59"/>
      <c r="QFI3" s="59"/>
      <c r="QFJ3" s="59"/>
      <c r="QFK3" s="59"/>
      <c r="QFL3" s="59"/>
      <c r="QFM3" s="59"/>
      <c r="QFN3" s="59"/>
      <c r="QFO3" s="59"/>
      <c r="QFP3" s="59"/>
      <c r="QFQ3" s="59"/>
      <c r="QFR3" s="59"/>
      <c r="QFS3" s="59"/>
      <c r="QFT3" s="59"/>
      <c r="QFU3" s="59"/>
      <c r="QFV3" s="59"/>
      <c r="QFW3" s="59"/>
      <c r="QFX3" s="59"/>
      <c r="QFY3" s="59"/>
      <c r="QFZ3" s="59"/>
      <c r="QGA3" s="59"/>
      <c r="QGB3" s="59"/>
      <c r="QGC3" s="59"/>
      <c r="QGD3" s="59"/>
      <c r="QGE3" s="59"/>
      <c r="QGF3" s="59"/>
      <c r="QGG3" s="59"/>
      <c r="QGH3" s="59"/>
      <c r="QGI3" s="59"/>
      <c r="QGJ3" s="59"/>
      <c r="QGK3" s="59"/>
      <c r="QGL3" s="59"/>
      <c r="QGM3" s="59"/>
      <c r="QGN3" s="59"/>
      <c r="QGO3" s="59"/>
      <c r="QGP3" s="59"/>
      <c r="QGQ3" s="59"/>
      <c r="QGR3" s="59"/>
      <c r="QGS3" s="59"/>
      <c r="QGT3" s="59"/>
      <c r="QGU3" s="59"/>
      <c r="QGV3" s="59"/>
      <c r="QGW3" s="59"/>
      <c r="QGX3" s="59"/>
      <c r="QGY3" s="59"/>
      <c r="QGZ3" s="59"/>
      <c r="QHA3" s="59"/>
      <c r="QHB3" s="59"/>
      <c r="QHC3" s="59"/>
      <c r="QHD3" s="59"/>
      <c r="QHE3" s="59"/>
      <c r="QHF3" s="59"/>
      <c r="QHG3" s="59"/>
      <c r="QHH3" s="59"/>
      <c r="QHI3" s="59"/>
      <c r="QHJ3" s="59"/>
      <c r="QHK3" s="59"/>
      <c r="QHL3" s="59"/>
      <c r="QHM3" s="59"/>
      <c r="QHN3" s="59"/>
      <c r="QHO3" s="59"/>
      <c r="QHP3" s="59"/>
      <c r="QHQ3" s="59"/>
      <c r="QHR3" s="59"/>
      <c r="QHS3" s="59"/>
      <c r="QHT3" s="59"/>
      <c r="QHU3" s="59"/>
      <c r="QHV3" s="59"/>
      <c r="QHW3" s="59"/>
      <c r="QHX3" s="59"/>
      <c r="QHY3" s="59"/>
      <c r="QHZ3" s="59"/>
      <c r="QIA3" s="59"/>
      <c r="QIB3" s="59"/>
      <c r="QIC3" s="59"/>
      <c r="QID3" s="59"/>
      <c r="QIE3" s="59"/>
      <c r="QIF3" s="59"/>
      <c r="QIG3" s="59"/>
      <c r="QIH3" s="59"/>
      <c r="QII3" s="59"/>
      <c r="QIJ3" s="59"/>
      <c r="QIK3" s="59"/>
      <c r="QIL3" s="59"/>
      <c r="QIM3" s="59"/>
      <c r="QIN3" s="59"/>
      <c r="QIO3" s="59"/>
      <c r="QIP3" s="59"/>
      <c r="QIQ3" s="59"/>
      <c r="QIR3" s="59"/>
      <c r="QIS3" s="59"/>
      <c r="QIT3" s="59"/>
      <c r="QIU3" s="59"/>
      <c r="QIV3" s="59"/>
      <c r="QIW3" s="59"/>
      <c r="QIX3" s="59"/>
      <c r="QIY3" s="59"/>
      <c r="QIZ3" s="59"/>
      <c r="QJA3" s="59"/>
      <c r="QJB3" s="59"/>
      <c r="QJC3" s="59"/>
      <c r="QJD3" s="59"/>
      <c r="QJE3" s="59"/>
      <c r="QJF3" s="59"/>
      <c r="QJG3" s="59"/>
      <c r="QJH3" s="59"/>
      <c r="QJI3" s="59"/>
      <c r="QJJ3" s="59"/>
      <c r="QJK3" s="59"/>
      <c r="QJL3" s="59"/>
      <c r="QJM3" s="59"/>
      <c r="QJN3" s="59"/>
      <c r="QJO3" s="59"/>
      <c r="QJP3" s="59"/>
      <c r="QJQ3" s="59"/>
      <c r="QJR3" s="59"/>
      <c r="QJS3" s="59"/>
      <c r="QJT3" s="59"/>
      <c r="QJU3" s="59"/>
      <c r="QJV3" s="59"/>
      <c r="QJW3" s="59"/>
      <c r="QJX3" s="59"/>
      <c r="QJY3" s="59"/>
      <c r="QJZ3" s="59"/>
      <c r="QKA3" s="59"/>
      <c r="QKB3" s="59"/>
      <c r="QKC3" s="59"/>
      <c r="QKD3" s="59"/>
      <c r="QKE3" s="59"/>
      <c r="QKF3" s="59"/>
      <c r="QKG3" s="59"/>
      <c r="QKH3" s="59"/>
      <c r="QKI3" s="59"/>
      <c r="QKJ3" s="59"/>
      <c r="QKK3" s="59"/>
      <c r="QKL3" s="59"/>
      <c r="QKM3" s="59"/>
      <c r="QKN3" s="59"/>
      <c r="QKO3" s="59"/>
      <c r="QKP3" s="59"/>
      <c r="QKQ3" s="59"/>
      <c r="QKR3" s="59"/>
      <c r="QKS3" s="59"/>
      <c r="QKT3" s="59"/>
      <c r="QKU3" s="59"/>
      <c r="QKV3" s="59"/>
      <c r="QKW3" s="59"/>
      <c r="QKX3" s="59"/>
      <c r="QKY3" s="59"/>
      <c r="QKZ3" s="59"/>
      <c r="QLA3" s="59"/>
      <c r="QLB3" s="59"/>
      <c r="QLC3" s="59"/>
      <c r="QLD3" s="59"/>
      <c r="QLE3" s="59"/>
      <c r="QLF3" s="59"/>
      <c r="QLG3" s="59"/>
      <c r="QLH3" s="59"/>
      <c r="QLI3" s="59"/>
      <c r="QLJ3" s="59"/>
      <c r="QLK3" s="59"/>
      <c r="QLL3" s="59"/>
      <c r="QLM3" s="59"/>
      <c r="QLN3" s="59"/>
      <c r="QLO3" s="59"/>
      <c r="QLP3" s="59"/>
      <c r="QLQ3" s="59"/>
      <c r="QLR3" s="59"/>
      <c r="QLS3" s="59"/>
      <c r="QLT3" s="59"/>
      <c r="QLU3" s="59"/>
      <c r="QLV3" s="59"/>
      <c r="QLW3" s="59"/>
      <c r="QLX3" s="59"/>
      <c r="QLY3" s="59"/>
      <c r="QLZ3" s="59"/>
      <c r="QMA3" s="59"/>
      <c r="QMB3" s="59"/>
      <c r="QMC3" s="59"/>
      <c r="QMD3" s="59"/>
      <c r="QME3" s="59"/>
      <c r="QMF3" s="59"/>
      <c r="QMG3" s="59"/>
      <c r="QMH3" s="59"/>
      <c r="QMI3" s="59"/>
      <c r="QMJ3" s="59"/>
      <c r="QMK3" s="59"/>
      <c r="QML3" s="59"/>
      <c r="QMM3" s="59"/>
      <c r="QMN3" s="59"/>
      <c r="QMO3" s="59"/>
      <c r="QMP3" s="59"/>
      <c r="QMQ3" s="59"/>
      <c r="QMR3" s="59"/>
      <c r="QMS3" s="59"/>
      <c r="QMT3" s="59"/>
      <c r="QMU3" s="59"/>
      <c r="QMV3" s="59"/>
      <c r="QMW3" s="59"/>
      <c r="QMX3" s="59"/>
      <c r="QMY3" s="59"/>
      <c r="QMZ3" s="59"/>
      <c r="QNA3" s="59"/>
      <c r="QNB3" s="59"/>
      <c r="QNC3" s="59"/>
      <c r="QND3" s="59"/>
      <c r="QNE3" s="59"/>
      <c r="QNF3" s="59"/>
      <c r="QNG3" s="59"/>
      <c r="QNH3" s="59"/>
      <c r="QNI3" s="59"/>
      <c r="QNJ3" s="59"/>
      <c r="QNK3" s="59"/>
      <c r="QNL3" s="59"/>
      <c r="QNM3" s="59"/>
      <c r="QNN3" s="59"/>
      <c r="QNO3" s="59"/>
      <c r="QNP3" s="59"/>
      <c r="QNQ3" s="59"/>
      <c r="QNR3" s="59"/>
      <c r="QNS3" s="59"/>
      <c r="QNT3" s="59"/>
      <c r="QNU3" s="59"/>
      <c r="QNV3" s="59"/>
      <c r="QNW3" s="59"/>
      <c r="QNX3" s="59"/>
      <c r="QNY3" s="59"/>
      <c r="QNZ3" s="59"/>
      <c r="QOA3" s="59"/>
      <c r="QOB3" s="59"/>
      <c r="QOC3" s="59"/>
      <c r="QOD3" s="59"/>
      <c r="QOE3" s="59"/>
      <c r="QOF3" s="59"/>
      <c r="QOG3" s="59"/>
      <c r="QOH3" s="59"/>
      <c r="QOI3" s="59"/>
      <c r="QOJ3" s="59"/>
      <c r="QOK3" s="59"/>
      <c r="QOL3" s="59"/>
      <c r="QOM3" s="59"/>
      <c r="QON3" s="59"/>
      <c r="QOO3" s="59"/>
      <c r="QOP3" s="59"/>
      <c r="QOQ3" s="59"/>
      <c r="QOR3" s="59"/>
      <c r="QOS3" s="59"/>
      <c r="QOT3" s="59"/>
      <c r="QOU3" s="59"/>
      <c r="QOV3" s="59"/>
      <c r="QOW3" s="59"/>
      <c r="QOX3" s="59"/>
      <c r="QOY3" s="59"/>
      <c r="QOZ3" s="59"/>
      <c r="QPA3" s="59"/>
      <c r="QPB3" s="59"/>
      <c r="QPC3" s="59"/>
      <c r="QPD3" s="59"/>
      <c r="QPE3" s="59"/>
      <c r="QPF3" s="59"/>
      <c r="QPG3" s="59"/>
      <c r="QPH3" s="59"/>
      <c r="QPI3" s="59"/>
      <c r="QPJ3" s="59"/>
      <c r="QPK3" s="59"/>
      <c r="QPL3" s="59"/>
      <c r="QPM3" s="59"/>
      <c r="QPN3" s="59"/>
      <c r="QPO3" s="59"/>
      <c r="QPP3" s="59"/>
      <c r="QPQ3" s="59"/>
      <c r="QPR3" s="59"/>
      <c r="QPS3" s="59"/>
      <c r="QPT3" s="59"/>
      <c r="QPU3" s="59"/>
      <c r="QPV3" s="59"/>
      <c r="QPW3" s="59"/>
      <c r="QPX3" s="59"/>
      <c r="QPY3" s="59"/>
      <c r="QPZ3" s="59"/>
      <c r="QQA3" s="59"/>
      <c r="QQB3" s="59"/>
      <c r="QQC3" s="59"/>
      <c r="QQD3" s="59"/>
      <c r="QQE3" s="59"/>
      <c r="QQF3" s="59"/>
      <c r="QQG3" s="59"/>
      <c r="QQH3" s="59"/>
      <c r="QQI3" s="59"/>
      <c r="QQJ3" s="59"/>
      <c r="QQK3" s="59"/>
      <c r="QQL3" s="59"/>
      <c r="QQM3" s="59"/>
      <c r="QQN3" s="59"/>
      <c r="QQO3" s="59"/>
      <c r="QQP3" s="59"/>
      <c r="QQQ3" s="59"/>
      <c r="QQR3" s="59"/>
      <c r="QQS3" s="59"/>
      <c r="QQT3" s="59"/>
      <c r="QQU3" s="59"/>
      <c r="QQV3" s="59"/>
      <c r="QQW3" s="59"/>
      <c r="QQX3" s="59"/>
      <c r="QQY3" s="59"/>
      <c r="QQZ3" s="59"/>
      <c r="QRA3" s="59"/>
      <c r="QRB3" s="59"/>
      <c r="QRC3" s="59"/>
      <c r="QRD3" s="59"/>
      <c r="QRE3" s="59"/>
      <c r="QRF3" s="59"/>
      <c r="QRG3" s="59"/>
      <c r="QRH3" s="59"/>
      <c r="QRI3" s="59"/>
      <c r="QRJ3" s="59"/>
      <c r="QRK3" s="59"/>
      <c r="QRL3" s="59"/>
      <c r="QRM3" s="59"/>
      <c r="QRN3" s="59"/>
      <c r="QRO3" s="59"/>
      <c r="QRP3" s="59"/>
      <c r="QRQ3" s="59"/>
      <c r="QRR3" s="59"/>
      <c r="QRS3" s="59"/>
      <c r="QRT3" s="59"/>
      <c r="QRU3" s="59"/>
      <c r="QRV3" s="59"/>
      <c r="QRW3" s="59"/>
      <c r="QRX3" s="59"/>
      <c r="QRY3" s="59"/>
      <c r="QRZ3" s="59"/>
      <c r="QSA3" s="59"/>
      <c r="QSB3" s="59"/>
      <c r="QSC3" s="59"/>
      <c r="QSD3" s="59"/>
      <c r="QSE3" s="59"/>
      <c r="QSF3" s="59"/>
      <c r="QSG3" s="59"/>
      <c r="QSH3" s="59"/>
      <c r="QSI3" s="59"/>
      <c r="QSJ3" s="59"/>
      <c r="QSK3" s="59"/>
      <c r="QSL3" s="59"/>
      <c r="QSM3" s="59"/>
      <c r="QSN3" s="59"/>
      <c r="QSO3" s="59"/>
      <c r="QSP3" s="59"/>
      <c r="QSQ3" s="59"/>
      <c r="QSR3" s="59"/>
      <c r="QSS3" s="59"/>
      <c r="QST3" s="59"/>
      <c r="QSU3" s="59"/>
      <c r="QSV3" s="59"/>
      <c r="QSW3" s="59"/>
      <c r="QSX3" s="59"/>
      <c r="QSY3" s="59"/>
      <c r="QSZ3" s="59"/>
      <c r="QTA3" s="59"/>
      <c r="QTB3" s="59"/>
      <c r="QTC3" s="59"/>
      <c r="QTD3" s="59"/>
      <c r="QTE3" s="59"/>
      <c r="QTF3" s="59"/>
      <c r="QTG3" s="59"/>
      <c r="QTH3" s="59"/>
      <c r="QTI3" s="59"/>
      <c r="QTJ3" s="59"/>
      <c r="QTK3" s="59"/>
      <c r="QTL3" s="59"/>
      <c r="QTM3" s="59"/>
      <c r="QTN3" s="59"/>
      <c r="QTO3" s="59"/>
      <c r="QTP3" s="59"/>
      <c r="QTQ3" s="59"/>
      <c r="QTR3" s="59"/>
      <c r="QTS3" s="59"/>
      <c r="QTT3" s="59"/>
      <c r="QTU3" s="59"/>
      <c r="QTV3" s="59"/>
      <c r="QTW3" s="59"/>
      <c r="QTX3" s="59"/>
      <c r="QTY3" s="59"/>
      <c r="QTZ3" s="59"/>
      <c r="QUA3" s="59"/>
      <c r="QUB3" s="59"/>
      <c r="QUC3" s="59"/>
      <c r="QUD3" s="59"/>
      <c r="QUE3" s="59"/>
      <c r="QUF3" s="59"/>
      <c r="QUG3" s="59"/>
      <c r="QUH3" s="59"/>
      <c r="QUI3" s="59"/>
      <c r="QUJ3" s="59"/>
      <c r="QUK3" s="59"/>
      <c r="QUL3" s="59"/>
      <c r="QUM3" s="59"/>
      <c r="QUN3" s="59"/>
      <c r="QUO3" s="59"/>
      <c r="QUP3" s="59"/>
      <c r="QUQ3" s="59"/>
      <c r="QUR3" s="59"/>
      <c r="QUS3" s="59"/>
      <c r="QUT3" s="59"/>
      <c r="QUU3" s="59"/>
      <c r="QUV3" s="59"/>
      <c r="QUW3" s="59"/>
      <c r="QUX3" s="59"/>
      <c r="QUY3" s="59"/>
      <c r="QUZ3" s="59"/>
      <c r="QVA3" s="59"/>
      <c r="QVB3" s="59"/>
      <c r="QVC3" s="59"/>
      <c r="QVD3" s="59"/>
      <c r="QVE3" s="59"/>
      <c r="QVF3" s="59"/>
      <c r="QVG3" s="59"/>
      <c r="QVH3" s="59"/>
      <c r="QVI3" s="59"/>
      <c r="QVJ3" s="59"/>
      <c r="QVK3" s="59"/>
      <c r="QVL3" s="59"/>
      <c r="QVM3" s="59"/>
      <c r="QVN3" s="59"/>
      <c r="QVO3" s="59"/>
      <c r="QVP3" s="59"/>
      <c r="QVQ3" s="59"/>
      <c r="QVR3" s="59"/>
      <c r="QVS3" s="59"/>
      <c r="QVT3" s="59"/>
      <c r="QVU3" s="59"/>
      <c r="QVV3" s="59"/>
      <c r="QVW3" s="59"/>
      <c r="QVX3" s="59"/>
      <c r="QVY3" s="59"/>
      <c r="QVZ3" s="59"/>
      <c r="QWA3" s="59"/>
      <c r="QWB3" s="59"/>
      <c r="QWC3" s="59"/>
      <c r="QWD3" s="59"/>
      <c r="QWE3" s="59"/>
      <c r="QWF3" s="59"/>
      <c r="QWG3" s="59"/>
      <c r="QWH3" s="59"/>
      <c r="QWI3" s="59"/>
      <c r="QWJ3" s="59"/>
      <c r="QWK3" s="59"/>
      <c r="QWL3" s="59"/>
      <c r="QWM3" s="59"/>
      <c r="QWN3" s="59"/>
      <c r="QWO3" s="59"/>
      <c r="QWP3" s="59"/>
      <c r="QWQ3" s="59"/>
      <c r="QWR3" s="59"/>
      <c r="QWS3" s="59"/>
      <c r="QWT3" s="59"/>
      <c r="QWU3" s="59"/>
      <c r="QWV3" s="59"/>
      <c r="QWW3" s="59"/>
      <c r="QWX3" s="59"/>
      <c r="QWY3" s="59"/>
      <c r="QWZ3" s="59"/>
      <c r="QXA3" s="59"/>
      <c r="QXB3" s="59"/>
      <c r="QXC3" s="59"/>
      <c r="QXD3" s="59"/>
      <c r="QXE3" s="59"/>
      <c r="QXF3" s="59"/>
      <c r="QXG3" s="59"/>
      <c r="QXH3" s="59"/>
      <c r="QXI3" s="59"/>
      <c r="QXJ3" s="59"/>
      <c r="QXK3" s="59"/>
      <c r="QXL3" s="59"/>
      <c r="QXM3" s="59"/>
      <c r="QXN3" s="59"/>
      <c r="QXO3" s="59"/>
      <c r="QXP3" s="59"/>
      <c r="QXQ3" s="59"/>
      <c r="QXR3" s="59"/>
      <c r="QXS3" s="59"/>
      <c r="QXT3" s="59"/>
      <c r="QXU3" s="59"/>
      <c r="QXV3" s="59"/>
      <c r="QXW3" s="59"/>
      <c r="QXX3" s="59"/>
      <c r="QXY3" s="59"/>
      <c r="QXZ3" s="59"/>
      <c r="QYA3" s="59"/>
      <c r="QYB3" s="59"/>
      <c r="QYC3" s="59"/>
      <c r="QYD3" s="59"/>
      <c r="QYE3" s="59"/>
      <c r="QYF3" s="59"/>
      <c r="QYG3" s="59"/>
      <c r="QYH3" s="59"/>
      <c r="QYI3" s="59"/>
      <c r="QYJ3" s="59"/>
      <c r="QYK3" s="59"/>
      <c r="QYL3" s="59"/>
      <c r="QYM3" s="59"/>
      <c r="QYN3" s="59"/>
      <c r="QYO3" s="59"/>
      <c r="QYP3" s="59"/>
      <c r="QYQ3" s="59"/>
      <c r="QYR3" s="59"/>
      <c r="QYS3" s="59"/>
      <c r="QYT3" s="59"/>
      <c r="QYU3" s="59"/>
      <c r="QYV3" s="59"/>
      <c r="QYW3" s="59"/>
      <c r="QYX3" s="59"/>
      <c r="QYY3" s="59"/>
      <c r="QYZ3" s="59"/>
      <c r="QZA3" s="59"/>
      <c r="QZB3" s="59"/>
      <c r="QZC3" s="59"/>
      <c r="QZD3" s="59"/>
      <c r="QZE3" s="59"/>
      <c r="QZF3" s="59"/>
      <c r="QZG3" s="59"/>
      <c r="QZH3" s="59"/>
      <c r="QZI3" s="59"/>
      <c r="QZJ3" s="59"/>
      <c r="QZK3" s="59"/>
      <c r="QZL3" s="59"/>
      <c r="QZM3" s="59"/>
      <c r="QZN3" s="59"/>
      <c r="QZO3" s="59"/>
      <c r="QZP3" s="59"/>
      <c r="QZQ3" s="59"/>
      <c r="QZR3" s="59"/>
      <c r="QZS3" s="59"/>
      <c r="QZT3" s="59"/>
      <c r="QZU3" s="59"/>
      <c r="QZV3" s="59"/>
      <c r="QZW3" s="59"/>
      <c r="QZX3" s="59"/>
      <c r="QZY3" s="59"/>
      <c r="QZZ3" s="59"/>
      <c r="RAA3" s="59"/>
      <c r="RAB3" s="59"/>
      <c r="RAC3" s="59"/>
      <c r="RAD3" s="59"/>
      <c r="RAE3" s="59"/>
      <c r="RAF3" s="59"/>
      <c r="RAG3" s="59"/>
      <c r="RAH3" s="59"/>
      <c r="RAI3" s="59"/>
      <c r="RAJ3" s="59"/>
      <c r="RAK3" s="59"/>
      <c r="RAL3" s="59"/>
      <c r="RAM3" s="59"/>
      <c r="RAN3" s="59"/>
      <c r="RAO3" s="59"/>
      <c r="RAP3" s="59"/>
      <c r="RAQ3" s="59"/>
      <c r="RAR3" s="59"/>
      <c r="RAS3" s="59"/>
      <c r="RAT3" s="59"/>
      <c r="RAU3" s="59"/>
      <c r="RAV3" s="59"/>
      <c r="RAW3" s="59"/>
      <c r="RAX3" s="59"/>
      <c r="RAY3" s="59"/>
      <c r="RAZ3" s="59"/>
      <c r="RBA3" s="59"/>
      <c r="RBB3" s="59"/>
      <c r="RBC3" s="59"/>
      <c r="RBD3" s="59"/>
      <c r="RBE3" s="59"/>
      <c r="RBF3" s="59"/>
      <c r="RBG3" s="59"/>
      <c r="RBH3" s="59"/>
      <c r="RBI3" s="59"/>
      <c r="RBJ3" s="59"/>
      <c r="RBK3" s="59"/>
      <c r="RBL3" s="59"/>
      <c r="RBM3" s="59"/>
      <c r="RBN3" s="59"/>
      <c r="RBO3" s="59"/>
      <c r="RBP3" s="59"/>
      <c r="RBQ3" s="59"/>
      <c r="RBR3" s="59"/>
      <c r="RBS3" s="59"/>
      <c r="RBT3" s="59"/>
      <c r="RBU3" s="59"/>
      <c r="RBV3" s="59"/>
      <c r="RBW3" s="59"/>
      <c r="RBX3" s="59"/>
      <c r="RBY3" s="59"/>
      <c r="RBZ3" s="59"/>
      <c r="RCA3" s="59"/>
      <c r="RCB3" s="59"/>
      <c r="RCC3" s="59"/>
      <c r="RCD3" s="59"/>
      <c r="RCE3" s="59"/>
      <c r="RCF3" s="59"/>
      <c r="RCG3" s="59"/>
      <c r="RCH3" s="59"/>
      <c r="RCI3" s="59"/>
      <c r="RCJ3" s="59"/>
      <c r="RCK3" s="59"/>
      <c r="RCL3" s="59"/>
      <c r="RCM3" s="59"/>
      <c r="RCN3" s="59"/>
      <c r="RCO3" s="59"/>
      <c r="RCP3" s="59"/>
      <c r="RCQ3" s="59"/>
      <c r="RCR3" s="59"/>
      <c r="RCS3" s="59"/>
      <c r="RCT3" s="59"/>
      <c r="RCU3" s="59"/>
      <c r="RCV3" s="59"/>
      <c r="RCW3" s="59"/>
      <c r="RCX3" s="59"/>
      <c r="RCY3" s="59"/>
      <c r="RCZ3" s="59"/>
      <c r="RDA3" s="59"/>
      <c r="RDB3" s="59"/>
      <c r="RDC3" s="59"/>
      <c r="RDD3" s="59"/>
      <c r="RDE3" s="59"/>
      <c r="RDF3" s="59"/>
      <c r="RDG3" s="59"/>
      <c r="RDH3" s="59"/>
      <c r="RDI3" s="59"/>
      <c r="RDJ3" s="59"/>
      <c r="RDK3" s="59"/>
      <c r="RDL3" s="59"/>
      <c r="RDM3" s="59"/>
      <c r="RDN3" s="59"/>
      <c r="RDO3" s="59"/>
      <c r="RDP3" s="59"/>
      <c r="RDQ3" s="59"/>
      <c r="RDR3" s="59"/>
      <c r="RDS3" s="59"/>
      <c r="RDT3" s="59"/>
      <c r="RDU3" s="59"/>
      <c r="RDV3" s="59"/>
      <c r="RDW3" s="59"/>
      <c r="RDX3" s="59"/>
      <c r="RDY3" s="59"/>
      <c r="RDZ3" s="59"/>
      <c r="REA3" s="59"/>
      <c r="REB3" s="59"/>
      <c r="REC3" s="59"/>
      <c r="RED3" s="59"/>
      <c r="REE3" s="59"/>
      <c r="REF3" s="59"/>
      <c r="REG3" s="59"/>
      <c r="REH3" s="59"/>
      <c r="REI3" s="59"/>
      <c r="REJ3" s="59"/>
      <c r="REK3" s="59"/>
      <c r="REL3" s="59"/>
      <c r="REM3" s="59"/>
      <c r="REN3" s="59"/>
      <c r="REO3" s="59"/>
      <c r="REP3" s="59"/>
      <c r="REQ3" s="59"/>
      <c r="RER3" s="59"/>
      <c r="RES3" s="59"/>
      <c r="RET3" s="59"/>
      <c r="REU3" s="59"/>
      <c r="REV3" s="59"/>
      <c r="REW3" s="59"/>
      <c r="REX3" s="59"/>
      <c r="REY3" s="59"/>
      <c r="REZ3" s="59"/>
      <c r="RFA3" s="59"/>
      <c r="RFB3" s="59"/>
      <c r="RFC3" s="59"/>
      <c r="RFD3" s="59"/>
      <c r="RFE3" s="59"/>
      <c r="RFF3" s="59"/>
      <c r="RFG3" s="59"/>
      <c r="RFH3" s="59"/>
      <c r="RFI3" s="59"/>
      <c r="RFJ3" s="59"/>
      <c r="RFK3" s="59"/>
      <c r="RFL3" s="59"/>
      <c r="RFM3" s="59"/>
      <c r="RFN3" s="59"/>
      <c r="RFO3" s="59"/>
      <c r="RFP3" s="59"/>
      <c r="RFQ3" s="59"/>
      <c r="RFR3" s="59"/>
      <c r="RFS3" s="59"/>
      <c r="RFT3" s="59"/>
      <c r="RFU3" s="59"/>
      <c r="RFV3" s="59"/>
      <c r="RFW3" s="59"/>
      <c r="RFX3" s="59"/>
      <c r="RFY3" s="59"/>
      <c r="RFZ3" s="59"/>
      <c r="RGA3" s="59"/>
      <c r="RGB3" s="59"/>
      <c r="RGC3" s="59"/>
      <c r="RGD3" s="59"/>
      <c r="RGE3" s="59"/>
      <c r="RGF3" s="59"/>
      <c r="RGG3" s="59"/>
      <c r="RGH3" s="59"/>
      <c r="RGI3" s="59"/>
      <c r="RGJ3" s="59"/>
      <c r="RGK3" s="59"/>
      <c r="RGL3" s="59"/>
      <c r="RGM3" s="59"/>
      <c r="RGN3" s="59"/>
      <c r="RGO3" s="59"/>
      <c r="RGP3" s="59"/>
      <c r="RGQ3" s="59"/>
      <c r="RGR3" s="59"/>
      <c r="RGS3" s="59"/>
      <c r="RGT3" s="59"/>
      <c r="RGU3" s="59"/>
      <c r="RGV3" s="59"/>
      <c r="RGW3" s="59"/>
      <c r="RGX3" s="59"/>
      <c r="RGY3" s="59"/>
      <c r="RGZ3" s="59"/>
      <c r="RHA3" s="59"/>
      <c r="RHB3" s="59"/>
      <c r="RHC3" s="59"/>
      <c r="RHD3" s="59"/>
      <c r="RHE3" s="59"/>
      <c r="RHF3" s="59"/>
      <c r="RHG3" s="59"/>
      <c r="RHH3" s="59"/>
      <c r="RHI3" s="59"/>
      <c r="RHJ3" s="59"/>
      <c r="RHK3" s="59"/>
      <c r="RHL3" s="59"/>
      <c r="RHM3" s="59"/>
      <c r="RHN3" s="59"/>
      <c r="RHO3" s="59"/>
      <c r="RHP3" s="59"/>
      <c r="RHQ3" s="59"/>
      <c r="RHR3" s="59"/>
      <c r="RHS3" s="59"/>
      <c r="RHT3" s="59"/>
      <c r="RHU3" s="59"/>
      <c r="RHV3" s="59"/>
      <c r="RHW3" s="59"/>
      <c r="RHX3" s="59"/>
      <c r="RHY3" s="59"/>
      <c r="RHZ3" s="59"/>
      <c r="RIA3" s="59"/>
      <c r="RIB3" s="59"/>
      <c r="RIC3" s="59"/>
      <c r="RID3" s="59"/>
      <c r="RIE3" s="59"/>
      <c r="RIF3" s="59"/>
      <c r="RIG3" s="59"/>
      <c r="RIH3" s="59"/>
      <c r="RII3" s="59"/>
      <c r="RIJ3" s="59"/>
      <c r="RIK3" s="59"/>
      <c r="RIL3" s="59"/>
      <c r="RIM3" s="59"/>
      <c r="RIN3" s="59"/>
      <c r="RIO3" s="59"/>
      <c r="RIP3" s="59"/>
      <c r="RIQ3" s="59"/>
      <c r="RIR3" s="59"/>
      <c r="RIS3" s="59"/>
      <c r="RIT3" s="59"/>
      <c r="RIU3" s="59"/>
      <c r="RIV3" s="59"/>
      <c r="RIW3" s="59"/>
      <c r="RIX3" s="59"/>
      <c r="RIY3" s="59"/>
      <c r="RIZ3" s="59"/>
      <c r="RJA3" s="59"/>
      <c r="RJB3" s="59"/>
      <c r="RJC3" s="59"/>
      <c r="RJD3" s="59"/>
      <c r="RJE3" s="59"/>
      <c r="RJF3" s="59"/>
      <c r="RJG3" s="59"/>
      <c r="RJH3" s="59"/>
      <c r="RJI3" s="59"/>
      <c r="RJJ3" s="59"/>
      <c r="RJK3" s="59"/>
      <c r="RJL3" s="59"/>
      <c r="RJM3" s="59"/>
      <c r="RJN3" s="59"/>
      <c r="RJO3" s="59"/>
      <c r="RJP3" s="59"/>
      <c r="RJQ3" s="59"/>
      <c r="RJR3" s="59"/>
      <c r="RJS3" s="59"/>
      <c r="RJT3" s="59"/>
      <c r="RJU3" s="59"/>
      <c r="RJV3" s="59"/>
      <c r="RJW3" s="59"/>
      <c r="RJX3" s="59"/>
      <c r="RJY3" s="59"/>
      <c r="RJZ3" s="59"/>
      <c r="RKA3" s="59"/>
      <c r="RKB3" s="59"/>
      <c r="RKC3" s="59"/>
      <c r="RKD3" s="59"/>
      <c r="RKE3" s="59"/>
      <c r="RKF3" s="59"/>
      <c r="RKG3" s="59"/>
      <c r="RKH3" s="59"/>
      <c r="RKI3" s="59"/>
      <c r="RKJ3" s="59"/>
      <c r="RKK3" s="59"/>
      <c r="RKL3" s="59"/>
      <c r="RKM3" s="59"/>
      <c r="RKN3" s="59"/>
      <c r="RKO3" s="59"/>
      <c r="RKP3" s="59"/>
      <c r="RKQ3" s="59"/>
      <c r="RKR3" s="59"/>
      <c r="RKS3" s="59"/>
      <c r="RKT3" s="59"/>
      <c r="RKU3" s="59"/>
      <c r="RKV3" s="59"/>
      <c r="RKW3" s="59"/>
      <c r="RKX3" s="59"/>
      <c r="RKY3" s="59"/>
      <c r="RKZ3" s="59"/>
      <c r="RLA3" s="59"/>
      <c r="RLB3" s="59"/>
      <c r="RLC3" s="59"/>
      <c r="RLD3" s="59"/>
      <c r="RLE3" s="59"/>
      <c r="RLF3" s="59"/>
      <c r="RLG3" s="59"/>
      <c r="RLH3" s="59"/>
      <c r="RLI3" s="59"/>
      <c r="RLJ3" s="59"/>
      <c r="RLK3" s="59"/>
      <c r="RLL3" s="59"/>
      <c r="RLM3" s="59"/>
      <c r="RLN3" s="59"/>
      <c r="RLO3" s="59"/>
      <c r="RLP3" s="59"/>
      <c r="RLQ3" s="59"/>
      <c r="RLR3" s="59"/>
      <c r="RLS3" s="59"/>
      <c r="RLT3" s="59"/>
      <c r="RLU3" s="59"/>
      <c r="RLV3" s="59"/>
      <c r="RLW3" s="59"/>
      <c r="RLX3" s="59"/>
      <c r="RLY3" s="59"/>
      <c r="RLZ3" s="59"/>
      <c r="RMA3" s="59"/>
      <c r="RMB3" s="59"/>
      <c r="RMC3" s="59"/>
      <c r="RMD3" s="59"/>
      <c r="RME3" s="59"/>
      <c r="RMF3" s="59"/>
      <c r="RMG3" s="59"/>
      <c r="RMH3" s="59"/>
      <c r="RMI3" s="59"/>
      <c r="RMJ3" s="59"/>
      <c r="RMK3" s="59"/>
      <c r="RML3" s="59"/>
      <c r="RMM3" s="59"/>
      <c r="RMN3" s="59"/>
      <c r="RMO3" s="59"/>
      <c r="RMP3" s="59"/>
      <c r="RMQ3" s="59"/>
      <c r="RMR3" s="59"/>
      <c r="RMS3" s="59"/>
      <c r="RMT3" s="59"/>
      <c r="RMU3" s="59"/>
      <c r="RMV3" s="59"/>
      <c r="RMW3" s="59"/>
      <c r="RMX3" s="59"/>
      <c r="RMY3" s="59"/>
      <c r="RMZ3" s="59"/>
      <c r="RNA3" s="59"/>
      <c r="RNB3" s="59"/>
      <c r="RNC3" s="59"/>
      <c r="RND3" s="59"/>
      <c r="RNE3" s="59"/>
      <c r="RNF3" s="59"/>
      <c r="RNG3" s="59"/>
      <c r="RNH3" s="59"/>
      <c r="RNI3" s="59"/>
      <c r="RNJ3" s="59"/>
      <c r="RNK3" s="59"/>
      <c r="RNL3" s="59"/>
      <c r="RNM3" s="59"/>
      <c r="RNN3" s="59"/>
      <c r="RNO3" s="59"/>
      <c r="RNP3" s="59"/>
      <c r="RNQ3" s="59"/>
      <c r="RNR3" s="59"/>
      <c r="RNS3" s="59"/>
      <c r="RNT3" s="59"/>
      <c r="RNU3" s="59"/>
      <c r="RNV3" s="59"/>
      <c r="RNW3" s="59"/>
      <c r="RNX3" s="59"/>
      <c r="RNY3" s="59"/>
      <c r="RNZ3" s="59"/>
      <c r="ROA3" s="59"/>
      <c r="ROB3" s="59"/>
      <c r="ROC3" s="59"/>
      <c r="ROD3" s="59"/>
      <c r="ROE3" s="59"/>
      <c r="ROF3" s="59"/>
      <c r="ROG3" s="59"/>
      <c r="ROH3" s="59"/>
      <c r="ROI3" s="59"/>
      <c r="ROJ3" s="59"/>
      <c r="ROK3" s="59"/>
      <c r="ROL3" s="59"/>
      <c r="ROM3" s="59"/>
      <c r="RON3" s="59"/>
      <c r="ROO3" s="59"/>
      <c r="ROP3" s="59"/>
      <c r="ROQ3" s="59"/>
      <c r="ROR3" s="59"/>
      <c r="ROS3" s="59"/>
      <c r="ROT3" s="59"/>
      <c r="ROU3" s="59"/>
      <c r="ROV3" s="59"/>
      <c r="ROW3" s="59"/>
      <c r="ROX3" s="59"/>
      <c r="ROY3" s="59"/>
      <c r="ROZ3" s="59"/>
      <c r="RPA3" s="59"/>
      <c r="RPB3" s="59"/>
      <c r="RPC3" s="59"/>
      <c r="RPD3" s="59"/>
      <c r="RPE3" s="59"/>
      <c r="RPF3" s="59"/>
      <c r="RPG3" s="59"/>
      <c r="RPH3" s="59"/>
      <c r="RPI3" s="59"/>
      <c r="RPJ3" s="59"/>
      <c r="RPK3" s="59"/>
      <c r="RPL3" s="59"/>
      <c r="RPM3" s="59"/>
      <c r="RPN3" s="59"/>
      <c r="RPO3" s="59"/>
      <c r="RPP3" s="59"/>
      <c r="RPQ3" s="59"/>
      <c r="RPR3" s="59"/>
      <c r="RPS3" s="59"/>
      <c r="RPT3" s="59"/>
      <c r="RPU3" s="59"/>
      <c r="RPV3" s="59"/>
      <c r="RPW3" s="59"/>
      <c r="RPX3" s="59"/>
      <c r="RPY3" s="59"/>
      <c r="RPZ3" s="59"/>
      <c r="RQA3" s="59"/>
      <c r="RQB3" s="59"/>
      <c r="RQC3" s="59"/>
      <c r="RQD3" s="59"/>
      <c r="RQE3" s="59"/>
      <c r="RQF3" s="59"/>
      <c r="RQG3" s="59"/>
      <c r="RQH3" s="59"/>
      <c r="RQI3" s="59"/>
      <c r="RQJ3" s="59"/>
      <c r="RQK3" s="59"/>
      <c r="RQL3" s="59"/>
      <c r="RQM3" s="59"/>
      <c r="RQN3" s="59"/>
      <c r="RQO3" s="59"/>
      <c r="RQP3" s="59"/>
      <c r="RQQ3" s="59"/>
      <c r="RQR3" s="59"/>
      <c r="RQS3" s="59"/>
      <c r="RQT3" s="59"/>
      <c r="RQU3" s="59"/>
      <c r="RQV3" s="59"/>
      <c r="RQW3" s="59"/>
      <c r="RQX3" s="59"/>
      <c r="RQY3" s="59"/>
      <c r="RQZ3" s="59"/>
      <c r="RRA3" s="59"/>
      <c r="RRB3" s="59"/>
      <c r="RRC3" s="59"/>
      <c r="RRD3" s="59"/>
      <c r="RRE3" s="59"/>
      <c r="RRF3" s="59"/>
      <c r="RRG3" s="59"/>
      <c r="RRH3" s="59"/>
      <c r="RRI3" s="59"/>
      <c r="RRJ3" s="59"/>
      <c r="RRK3" s="59"/>
      <c r="RRL3" s="59"/>
      <c r="RRM3" s="59"/>
      <c r="RRN3" s="59"/>
      <c r="RRO3" s="59"/>
      <c r="RRP3" s="59"/>
      <c r="RRQ3" s="59"/>
      <c r="RRR3" s="59"/>
      <c r="RRS3" s="59"/>
      <c r="RRT3" s="59"/>
      <c r="RRU3" s="59"/>
      <c r="RRV3" s="59"/>
      <c r="RRW3" s="59"/>
      <c r="RRX3" s="59"/>
      <c r="RRY3" s="59"/>
      <c r="RRZ3" s="59"/>
      <c r="RSA3" s="59"/>
      <c r="RSB3" s="59"/>
      <c r="RSC3" s="59"/>
      <c r="RSD3" s="59"/>
      <c r="RSE3" s="59"/>
      <c r="RSF3" s="59"/>
      <c r="RSG3" s="59"/>
      <c r="RSH3" s="59"/>
      <c r="RSI3" s="59"/>
      <c r="RSJ3" s="59"/>
      <c r="RSK3" s="59"/>
      <c r="RSL3" s="59"/>
      <c r="RSM3" s="59"/>
      <c r="RSN3" s="59"/>
      <c r="RSO3" s="59"/>
      <c r="RSP3" s="59"/>
      <c r="RSQ3" s="59"/>
      <c r="RSR3" s="59"/>
      <c r="RSS3" s="59"/>
      <c r="RST3" s="59"/>
      <c r="RSU3" s="59"/>
      <c r="RSV3" s="59"/>
      <c r="RSW3" s="59"/>
      <c r="RSX3" s="59"/>
      <c r="RSY3" s="59"/>
      <c r="RSZ3" s="59"/>
      <c r="RTA3" s="59"/>
      <c r="RTB3" s="59"/>
      <c r="RTC3" s="59"/>
      <c r="RTD3" s="59"/>
      <c r="RTE3" s="59"/>
      <c r="RTF3" s="59"/>
      <c r="RTG3" s="59"/>
      <c r="RTH3" s="59"/>
      <c r="RTI3" s="59"/>
      <c r="RTJ3" s="59"/>
      <c r="RTK3" s="59"/>
      <c r="RTL3" s="59"/>
      <c r="RTM3" s="59"/>
      <c r="RTN3" s="59"/>
      <c r="RTO3" s="59"/>
      <c r="RTP3" s="59"/>
      <c r="RTQ3" s="59"/>
      <c r="RTR3" s="59"/>
      <c r="RTS3" s="59"/>
      <c r="RTT3" s="59"/>
      <c r="RTU3" s="59"/>
      <c r="RTV3" s="59"/>
      <c r="RTW3" s="59"/>
      <c r="RTX3" s="59"/>
      <c r="RTY3" s="59"/>
      <c r="RTZ3" s="59"/>
      <c r="RUA3" s="59"/>
      <c r="RUB3" s="59"/>
      <c r="RUC3" s="59"/>
      <c r="RUD3" s="59"/>
      <c r="RUE3" s="59"/>
      <c r="RUF3" s="59"/>
      <c r="RUG3" s="59"/>
      <c r="RUH3" s="59"/>
      <c r="RUI3" s="59"/>
      <c r="RUJ3" s="59"/>
      <c r="RUK3" s="59"/>
      <c r="RUL3" s="59"/>
      <c r="RUM3" s="59"/>
      <c r="RUN3" s="59"/>
      <c r="RUO3" s="59"/>
      <c r="RUP3" s="59"/>
      <c r="RUQ3" s="59"/>
      <c r="RUR3" s="59"/>
      <c r="RUS3" s="59"/>
      <c r="RUT3" s="59"/>
      <c r="RUU3" s="59"/>
      <c r="RUV3" s="59"/>
      <c r="RUW3" s="59"/>
      <c r="RUX3" s="59"/>
      <c r="RUY3" s="59"/>
      <c r="RUZ3" s="59"/>
      <c r="RVA3" s="59"/>
      <c r="RVB3" s="59"/>
      <c r="RVC3" s="59"/>
      <c r="RVD3" s="59"/>
      <c r="RVE3" s="59"/>
      <c r="RVF3" s="59"/>
      <c r="RVG3" s="59"/>
      <c r="RVH3" s="59"/>
      <c r="RVI3" s="59"/>
      <c r="RVJ3" s="59"/>
      <c r="RVK3" s="59"/>
      <c r="RVL3" s="59"/>
      <c r="RVM3" s="59"/>
      <c r="RVN3" s="59"/>
      <c r="RVO3" s="59"/>
      <c r="RVP3" s="59"/>
      <c r="RVQ3" s="59"/>
      <c r="RVR3" s="59"/>
      <c r="RVS3" s="59"/>
      <c r="RVT3" s="59"/>
      <c r="RVU3" s="59"/>
      <c r="RVV3" s="59"/>
      <c r="RVW3" s="59"/>
      <c r="RVX3" s="59"/>
      <c r="RVY3" s="59"/>
      <c r="RVZ3" s="59"/>
      <c r="RWA3" s="59"/>
      <c r="RWB3" s="59"/>
      <c r="RWC3" s="59"/>
      <c r="RWD3" s="59"/>
      <c r="RWE3" s="59"/>
      <c r="RWF3" s="59"/>
      <c r="RWG3" s="59"/>
      <c r="RWH3" s="59"/>
      <c r="RWI3" s="59"/>
      <c r="RWJ3" s="59"/>
      <c r="RWK3" s="59"/>
      <c r="RWL3" s="59"/>
      <c r="RWM3" s="59"/>
      <c r="RWN3" s="59"/>
      <c r="RWO3" s="59"/>
      <c r="RWP3" s="59"/>
      <c r="RWQ3" s="59"/>
      <c r="RWR3" s="59"/>
      <c r="RWS3" s="59"/>
      <c r="RWT3" s="59"/>
      <c r="RWU3" s="59"/>
      <c r="RWV3" s="59"/>
      <c r="RWW3" s="59"/>
      <c r="RWX3" s="59"/>
      <c r="RWY3" s="59"/>
      <c r="RWZ3" s="59"/>
      <c r="RXA3" s="59"/>
      <c r="RXB3" s="59"/>
      <c r="RXC3" s="59"/>
      <c r="RXD3" s="59"/>
      <c r="RXE3" s="59"/>
      <c r="RXF3" s="59"/>
      <c r="RXG3" s="59"/>
      <c r="RXH3" s="59"/>
      <c r="RXI3" s="59"/>
      <c r="RXJ3" s="59"/>
      <c r="RXK3" s="59"/>
      <c r="RXL3" s="59"/>
      <c r="RXM3" s="59"/>
      <c r="RXN3" s="59"/>
      <c r="RXO3" s="59"/>
      <c r="RXP3" s="59"/>
      <c r="RXQ3" s="59"/>
      <c r="RXR3" s="59"/>
      <c r="RXS3" s="59"/>
      <c r="RXT3" s="59"/>
      <c r="RXU3" s="59"/>
      <c r="RXV3" s="59"/>
      <c r="RXW3" s="59"/>
      <c r="RXX3" s="59"/>
      <c r="RXY3" s="59"/>
      <c r="RXZ3" s="59"/>
      <c r="RYA3" s="59"/>
      <c r="RYB3" s="59"/>
      <c r="RYC3" s="59"/>
      <c r="RYD3" s="59"/>
      <c r="RYE3" s="59"/>
      <c r="RYF3" s="59"/>
      <c r="RYG3" s="59"/>
      <c r="RYH3" s="59"/>
      <c r="RYI3" s="59"/>
      <c r="RYJ3" s="59"/>
      <c r="RYK3" s="59"/>
      <c r="RYL3" s="59"/>
      <c r="RYM3" s="59"/>
      <c r="RYN3" s="59"/>
      <c r="RYO3" s="59"/>
      <c r="RYP3" s="59"/>
      <c r="RYQ3" s="59"/>
      <c r="RYR3" s="59"/>
      <c r="RYS3" s="59"/>
      <c r="RYT3" s="59"/>
      <c r="RYU3" s="59"/>
      <c r="RYV3" s="59"/>
      <c r="RYW3" s="59"/>
      <c r="RYX3" s="59"/>
      <c r="RYY3" s="59"/>
      <c r="RYZ3" s="59"/>
      <c r="RZA3" s="59"/>
      <c r="RZB3" s="59"/>
      <c r="RZC3" s="59"/>
      <c r="RZD3" s="59"/>
      <c r="RZE3" s="59"/>
      <c r="RZF3" s="59"/>
      <c r="RZG3" s="59"/>
      <c r="RZH3" s="59"/>
      <c r="RZI3" s="59"/>
      <c r="RZJ3" s="59"/>
      <c r="RZK3" s="59"/>
      <c r="RZL3" s="59"/>
      <c r="RZM3" s="59"/>
      <c r="RZN3" s="59"/>
      <c r="RZO3" s="59"/>
      <c r="RZP3" s="59"/>
      <c r="RZQ3" s="59"/>
      <c r="RZR3" s="59"/>
      <c r="RZS3" s="59"/>
      <c r="RZT3" s="59"/>
      <c r="RZU3" s="59"/>
      <c r="RZV3" s="59"/>
      <c r="RZW3" s="59"/>
      <c r="RZX3" s="59"/>
      <c r="RZY3" s="59"/>
      <c r="RZZ3" s="59"/>
      <c r="SAA3" s="59"/>
      <c r="SAB3" s="59"/>
      <c r="SAC3" s="59"/>
      <c r="SAD3" s="59"/>
      <c r="SAE3" s="59"/>
      <c r="SAF3" s="59"/>
      <c r="SAG3" s="59"/>
      <c r="SAH3" s="59"/>
      <c r="SAI3" s="59"/>
      <c r="SAJ3" s="59"/>
      <c r="SAK3" s="59"/>
      <c r="SAL3" s="59"/>
      <c r="SAM3" s="59"/>
      <c r="SAN3" s="59"/>
      <c r="SAO3" s="59"/>
      <c r="SAP3" s="59"/>
      <c r="SAQ3" s="59"/>
      <c r="SAR3" s="59"/>
      <c r="SAS3" s="59"/>
      <c r="SAT3" s="59"/>
      <c r="SAU3" s="59"/>
      <c r="SAV3" s="59"/>
      <c r="SAW3" s="59"/>
      <c r="SAX3" s="59"/>
      <c r="SAY3" s="59"/>
      <c r="SAZ3" s="59"/>
      <c r="SBA3" s="59"/>
      <c r="SBB3" s="59"/>
      <c r="SBC3" s="59"/>
      <c r="SBD3" s="59"/>
      <c r="SBE3" s="59"/>
      <c r="SBF3" s="59"/>
      <c r="SBG3" s="59"/>
      <c r="SBH3" s="59"/>
      <c r="SBI3" s="59"/>
      <c r="SBJ3" s="59"/>
      <c r="SBK3" s="59"/>
      <c r="SBL3" s="59"/>
      <c r="SBM3" s="59"/>
      <c r="SBN3" s="59"/>
      <c r="SBO3" s="59"/>
      <c r="SBP3" s="59"/>
      <c r="SBQ3" s="59"/>
      <c r="SBR3" s="59"/>
      <c r="SBS3" s="59"/>
      <c r="SBT3" s="59"/>
      <c r="SBU3" s="59"/>
      <c r="SBV3" s="59"/>
      <c r="SBW3" s="59"/>
      <c r="SBX3" s="59"/>
      <c r="SBY3" s="59"/>
      <c r="SBZ3" s="59"/>
      <c r="SCA3" s="59"/>
      <c r="SCB3" s="59"/>
      <c r="SCC3" s="59"/>
      <c r="SCD3" s="59"/>
      <c r="SCE3" s="59"/>
      <c r="SCF3" s="59"/>
      <c r="SCG3" s="59"/>
      <c r="SCH3" s="59"/>
      <c r="SCI3" s="59"/>
      <c r="SCJ3" s="59"/>
      <c r="SCK3" s="59"/>
      <c r="SCL3" s="59"/>
      <c r="SCM3" s="59"/>
      <c r="SCN3" s="59"/>
      <c r="SCO3" s="59"/>
      <c r="SCP3" s="59"/>
      <c r="SCQ3" s="59"/>
      <c r="SCR3" s="59"/>
      <c r="SCS3" s="59"/>
      <c r="SCT3" s="59"/>
      <c r="SCU3" s="59"/>
      <c r="SCV3" s="59"/>
      <c r="SCW3" s="59"/>
      <c r="SCX3" s="59"/>
      <c r="SCY3" s="59"/>
      <c r="SCZ3" s="59"/>
      <c r="SDA3" s="59"/>
      <c r="SDB3" s="59"/>
      <c r="SDC3" s="59"/>
      <c r="SDD3" s="59"/>
      <c r="SDE3" s="59"/>
      <c r="SDF3" s="59"/>
      <c r="SDG3" s="59"/>
      <c r="SDH3" s="59"/>
      <c r="SDI3" s="59"/>
      <c r="SDJ3" s="59"/>
      <c r="SDK3" s="59"/>
      <c r="SDL3" s="59"/>
      <c r="SDM3" s="59"/>
      <c r="SDN3" s="59"/>
      <c r="SDO3" s="59"/>
      <c r="SDP3" s="59"/>
      <c r="SDQ3" s="59"/>
      <c r="SDR3" s="59"/>
      <c r="SDS3" s="59"/>
      <c r="SDT3" s="59"/>
      <c r="SDU3" s="59"/>
      <c r="SDV3" s="59"/>
      <c r="SDW3" s="59"/>
      <c r="SDX3" s="59"/>
      <c r="SDY3" s="59"/>
      <c r="SDZ3" s="59"/>
      <c r="SEA3" s="59"/>
      <c r="SEB3" s="59"/>
      <c r="SEC3" s="59"/>
      <c r="SED3" s="59"/>
      <c r="SEE3" s="59"/>
      <c r="SEF3" s="59"/>
      <c r="SEG3" s="59"/>
      <c r="SEH3" s="59"/>
      <c r="SEI3" s="59"/>
      <c r="SEJ3" s="59"/>
      <c r="SEK3" s="59"/>
      <c r="SEL3" s="59"/>
      <c r="SEM3" s="59"/>
      <c r="SEN3" s="59"/>
      <c r="SEO3" s="59"/>
      <c r="SEP3" s="59"/>
      <c r="SEQ3" s="59"/>
      <c r="SER3" s="59"/>
      <c r="SES3" s="59"/>
      <c r="SET3" s="59"/>
      <c r="SEU3" s="59"/>
      <c r="SEV3" s="59"/>
      <c r="SEW3" s="59"/>
      <c r="SEX3" s="59"/>
      <c r="SEY3" s="59"/>
      <c r="SEZ3" s="59"/>
      <c r="SFA3" s="59"/>
      <c r="SFB3" s="59"/>
      <c r="SFC3" s="59"/>
      <c r="SFD3" s="59"/>
      <c r="SFE3" s="59"/>
      <c r="SFF3" s="59"/>
      <c r="SFG3" s="59"/>
      <c r="SFH3" s="59"/>
      <c r="SFI3" s="59"/>
      <c r="SFJ3" s="59"/>
      <c r="SFK3" s="59"/>
      <c r="SFL3" s="59"/>
      <c r="SFM3" s="59"/>
      <c r="SFN3" s="59"/>
      <c r="SFO3" s="59"/>
      <c r="SFP3" s="59"/>
      <c r="SFQ3" s="59"/>
      <c r="SFR3" s="59"/>
      <c r="SFS3" s="59"/>
      <c r="SFT3" s="59"/>
      <c r="SFU3" s="59"/>
      <c r="SFV3" s="59"/>
      <c r="SFW3" s="59"/>
      <c r="SFX3" s="59"/>
      <c r="SFY3" s="59"/>
      <c r="SFZ3" s="59"/>
      <c r="SGA3" s="59"/>
      <c r="SGB3" s="59"/>
      <c r="SGC3" s="59"/>
      <c r="SGD3" s="59"/>
      <c r="SGE3" s="59"/>
      <c r="SGF3" s="59"/>
      <c r="SGG3" s="59"/>
      <c r="SGH3" s="59"/>
      <c r="SGI3" s="59"/>
      <c r="SGJ3" s="59"/>
      <c r="SGK3" s="59"/>
      <c r="SGL3" s="59"/>
      <c r="SGM3" s="59"/>
      <c r="SGN3" s="59"/>
      <c r="SGO3" s="59"/>
      <c r="SGP3" s="59"/>
      <c r="SGQ3" s="59"/>
      <c r="SGR3" s="59"/>
      <c r="SGS3" s="59"/>
      <c r="SGT3" s="59"/>
      <c r="SGU3" s="59"/>
      <c r="SGV3" s="59"/>
      <c r="SGW3" s="59"/>
      <c r="SGX3" s="59"/>
      <c r="SGY3" s="59"/>
      <c r="SGZ3" s="59"/>
      <c r="SHA3" s="59"/>
      <c r="SHB3" s="59"/>
      <c r="SHC3" s="59"/>
      <c r="SHD3" s="59"/>
      <c r="SHE3" s="59"/>
      <c r="SHF3" s="59"/>
      <c r="SHG3" s="59"/>
      <c r="SHH3" s="59"/>
      <c r="SHI3" s="59"/>
      <c r="SHJ3" s="59"/>
      <c r="SHK3" s="59"/>
      <c r="SHL3" s="59"/>
      <c r="SHM3" s="59"/>
      <c r="SHN3" s="59"/>
      <c r="SHO3" s="59"/>
      <c r="SHP3" s="59"/>
      <c r="SHQ3" s="59"/>
      <c r="SHR3" s="59"/>
      <c r="SHS3" s="59"/>
      <c r="SHT3" s="59"/>
      <c r="SHU3" s="59"/>
      <c r="SHV3" s="59"/>
      <c r="SHW3" s="59"/>
      <c r="SHX3" s="59"/>
      <c r="SHY3" s="59"/>
      <c r="SHZ3" s="59"/>
      <c r="SIA3" s="59"/>
      <c r="SIB3" s="59"/>
      <c r="SIC3" s="59"/>
      <c r="SID3" s="59"/>
      <c r="SIE3" s="59"/>
      <c r="SIF3" s="59"/>
      <c r="SIG3" s="59"/>
      <c r="SIH3" s="59"/>
      <c r="SII3" s="59"/>
      <c r="SIJ3" s="59"/>
      <c r="SIK3" s="59"/>
      <c r="SIL3" s="59"/>
      <c r="SIM3" s="59"/>
      <c r="SIN3" s="59"/>
      <c r="SIO3" s="59"/>
      <c r="SIP3" s="59"/>
      <c r="SIQ3" s="59"/>
      <c r="SIR3" s="59"/>
      <c r="SIS3" s="59"/>
      <c r="SIT3" s="59"/>
      <c r="SIU3" s="59"/>
      <c r="SIV3" s="59"/>
      <c r="SIW3" s="59"/>
      <c r="SIX3" s="59"/>
      <c r="SIY3" s="59"/>
      <c r="SIZ3" s="59"/>
      <c r="SJA3" s="59"/>
      <c r="SJB3" s="59"/>
      <c r="SJC3" s="59"/>
      <c r="SJD3" s="59"/>
      <c r="SJE3" s="59"/>
      <c r="SJF3" s="59"/>
      <c r="SJG3" s="59"/>
      <c r="SJH3" s="59"/>
      <c r="SJI3" s="59"/>
      <c r="SJJ3" s="59"/>
      <c r="SJK3" s="59"/>
      <c r="SJL3" s="59"/>
      <c r="SJM3" s="59"/>
      <c r="SJN3" s="59"/>
      <c r="SJO3" s="59"/>
      <c r="SJP3" s="59"/>
      <c r="SJQ3" s="59"/>
      <c r="SJR3" s="59"/>
      <c r="SJS3" s="59"/>
      <c r="SJT3" s="59"/>
      <c r="SJU3" s="59"/>
      <c r="SJV3" s="59"/>
      <c r="SJW3" s="59"/>
      <c r="SJX3" s="59"/>
      <c r="SJY3" s="59"/>
      <c r="SJZ3" s="59"/>
      <c r="SKA3" s="59"/>
      <c r="SKB3" s="59"/>
      <c r="SKC3" s="59"/>
      <c r="SKD3" s="59"/>
      <c r="SKE3" s="59"/>
      <c r="SKF3" s="59"/>
      <c r="SKG3" s="59"/>
      <c r="SKH3" s="59"/>
      <c r="SKI3" s="59"/>
      <c r="SKJ3" s="59"/>
      <c r="SKK3" s="59"/>
      <c r="SKL3" s="59"/>
      <c r="SKM3" s="59"/>
      <c r="SKN3" s="59"/>
      <c r="SKO3" s="59"/>
      <c r="SKP3" s="59"/>
      <c r="SKQ3" s="59"/>
      <c r="SKR3" s="59"/>
      <c r="SKS3" s="59"/>
      <c r="SKT3" s="59"/>
      <c r="SKU3" s="59"/>
      <c r="SKV3" s="59"/>
      <c r="SKW3" s="59"/>
      <c r="SKX3" s="59"/>
      <c r="SKY3" s="59"/>
      <c r="SKZ3" s="59"/>
      <c r="SLA3" s="59"/>
      <c r="SLB3" s="59"/>
      <c r="SLC3" s="59"/>
      <c r="SLD3" s="59"/>
      <c r="SLE3" s="59"/>
      <c r="SLF3" s="59"/>
      <c r="SLG3" s="59"/>
      <c r="SLH3" s="59"/>
      <c r="SLI3" s="59"/>
      <c r="SLJ3" s="59"/>
      <c r="SLK3" s="59"/>
      <c r="SLL3" s="59"/>
      <c r="SLM3" s="59"/>
      <c r="SLN3" s="59"/>
      <c r="SLO3" s="59"/>
      <c r="SLP3" s="59"/>
      <c r="SLQ3" s="59"/>
      <c r="SLR3" s="59"/>
      <c r="SLS3" s="59"/>
      <c r="SLT3" s="59"/>
      <c r="SLU3" s="59"/>
      <c r="SLV3" s="59"/>
      <c r="SLW3" s="59"/>
      <c r="SLX3" s="59"/>
      <c r="SLY3" s="59"/>
      <c r="SLZ3" s="59"/>
      <c r="SMA3" s="59"/>
      <c r="SMB3" s="59"/>
      <c r="SMC3" s="59"/>
      <c r="SMD3" s="59"/>
      <c r="SME3" s="59"/>
      <c r="SMF3" s="59"/>
      <c r="SMG3" s="59"/>
      <c r="SMH3" s="59"/>
      <c r="SMI3" s="59"/>
      <c r="SMJ3" s="59"/>
      <c r="SMK3" s="59"/>
      <c r="SML3" s="59"/>
      <c r="SMM3" s="59"/>
      <c r="SMN3" s="59"/>
      <c r="SMO3" s="59"/>
      <c r="SMP3" s="59"/>
      <c r="SMQ3" s="59"/>
      <c r="SMR3" s="59"/>
      <c r="SMS3" s="59"/>
      <c r="SMT3" s="59"/>
      <c r="SMU3" s="59"/>
      <c r="SMV3" s="59"/>
      <c r="SMW3" s="59"/>
      <c r="SMX3" s="59"/>
      <c r="SMY3" s="59"/>
      <c r="SMZ3" s="59"/>
      <c r="SNA3" s="59"/>
      <c r="SNB3" s="59"/>
      <c r="SNC3" s="59"/>
      <c r="SND3" s="59"/>
      <c r="SNE3" s="59"/>
      <c r="SNF3" s="59"/>
      <c r="SNG3" s="59"/>
      <c r="SNH3" s="59"/>
      <c r="SNI3" s="59"/>
      <c r="SNJ3" s="59"/>
      <c r="SNK3" s="59"/>
      <c r="SNL3" s="59"/>
      <c r="SNM3" s="59"/>
      <c r="SNN3" s="59"/>
      <c r="SNO3" s="59"/>
      <c r="SNP3" s="59"/>
      <c r="SNQ3" s="59"/>
      <c r="SNR3" s="59"/>
      <c r="SNS3" s="59"/>
      <c r="SNT3" s="59"/>
      <c r="SNU3" s="59"/>
      <c r="SNV3" s="59"/>
      <c r="SNW3" s="59"/>
      <c r="SNX3" s="59"/>
      <c r="SNY3" s="59"/>
      <c r="SNZ3" s="59"/>
      <c r="SOA3" s="59"/>
      <c r="SOB3" s="59"/>
      <c r="SOC3" s="59"/>
      <c r="SOD3" s="59"/>
      <c r="SOE3" s="59"/>
      <c r="SOF3" s="59"/>
      <c r="SOG3" s="59"/>
      <c r="SOH3" s="59"/>
      <c r="SOI3" s="59"/>
      <c r="SOJ3" s="59"/>
      <c r="SOK3" s="59"/>
      <c r="SOL3" s="59"/>
      <c r="SOM3" s="59"/>
      <c r="SON3" s="59"/>
      <c r="SOO3" s="59"/>
      <c r="SOP3" s="59"/>
      <c r="SOQ3" s="59"/>
      <c r="SOR3" s="59"/>
      <c r="SOS3" s="59"/>
      <c r="SOT3" s="59"/>
      <c r="SOU3" s="59"/>
      <c r="SOV3" s="59"/>
      <c r="SOW3" s="59"/>
      <c r="SOX3" s="59"/>
      <c r="SOY3" s="59"/>
      <c r="SOZ3" s="59"/>
      <c r="SPA3" s="59"/>
      <c r="SPB3" s="59"/>
      <c r="SPC3" s="59"/>
      <c r="SPD3" s="59"/>
      <c r="SPE3" s="59"/>
      <c r="SPF3" s="59"/>
      <c r="SPG3" s="59"/>
      <c r="SPH3" s="59"/>
      <c r="SPI3" s="59"/>
      <c r="SPJ3" s="59"/>
      <c r="SPK3" s="59"/>
      <c r="SPL3" s="59"/>
      <c r="SPM3" s="59"/>
      <c r="SPN3" s="59"/>
      <c r="SPO3" s="59"/>
      <c r="SPP3" s="59"/>
      <c r="SPQ3" s="59"/>
      <c r="SPR3" s="59"/>
      <c r="SPS3" s="59"/>
      <c r="SPT3" s="59"/>
      <c r="SPU3" s="59"/>
      <c r="SPV3" s="59"/>
      <c r="SPW3" s="59"/>
      <c r="SPX3" s="59"/>
      <c r="SPY3" s="59"/>
      <c r="SPZ3" s="59"/>
      <c r="SQA3" s="59"/>
      <c r="SQB3" s="59"/>
      <c r="SQC3" s="59"/>
      <c r="SQD3" s="59"/>
      <c r="SQE3" s="59"/>
      <c r="SQF3" s="59"/>
      <c r="SQG3" s="59"/>
      <c r="SQH3" s="59"/>
      <c r="SQI3" s="59"/>
      <c r="SQJ3" s="59"/>
      <c r="SQK3" s="59"/>
      <c r="SQL3" s="59"/>
      <c r="SQM3" s="59"/>
      <c r="SQN3" s="59"/>
      <c r="SQO3" s="59"/>
      <c r="SQP3" s="59"/>
      <c r="SQQ3" s="59"/>
      <c r="SQR3" s="59"/>
      <c r="SQS3" s="59"/>
      <c r="SQT3" s="59"/>
      <c r="SQU3" s="59"/>
      <c r="SQV3" s="59"/>
      <c r="SQW3" s="59"/>
      <c r="SQX3" s="59"/>
      <c r="SQY3" s="59"/>
      <c r="SQZ3" s="59"/>
      <c r="SRA3" s="59"/>
      <c r="SRB3" s="59"/>
      <c r="SRC3" s="59"/>
      <c r="SRD3" s="59"/>
      <c r="SRE3" s="59"/>
      <c r="SRF3" s="59"/>
      <c r="SRG3" s="59"/>
      <c r="SRH3" s="59"/>
      <c r="SRI3" s="59"/>
      <c r="SRJ3" s="59"/>
      <c r="SRK3" s="59"/>
      <c r="SRL3" s="59"/>
      <c r="SRM3" s="59"/>
      <c r="SRN3" s="59"/>
      <c r="SRO3" s="59"/>
      <c r="SRP3" s="59"/>
      <c r="SRQ3" s="59"/>
      <c r="SRR3" s="59"/>
      <c r="SRS3" s="59"/>
      <c r="SRT3" s="59"/>
      <c r="SRU3" s="59"/>
      <c r="SRV3" s="59"/>
      <c r="SRW3" s="59"/>
      <c r="SRX3" s="59"/>
      <c r="SRY3" s="59"/>
      <c r="SRZ3" s="59"/>
      <c r="SSA3" s="59"/>
      <c r="SSB3" s="59"/>
      <c r="SSC3" s="59"/>
      <c r="SSD3" s="59"/>
      <c r="SSE3" s="59"/>
      <c r="SSF3" s="59"/>
      <c r="SSG3" s="59"/>
      <c r="SSH3" s="59"/>
      <c r="SSI3" s="59"/>
      <c r="SSJ3" s="59"/>
      <c r="SSK3" s="59"/>
      <c r="SSL3" s="59"/>
      <c r="SSM3" s="59"/>
      <c r="SSN3" s="59"/>
      <c r="SSO3" s="59"/>
      <c r="SSP3" s="59"/>
      <c r="SSQ3" s="59"/>
      <c r="SSR3" s="59"/>
      <c r="SSS3" s="59"/>
      <c r="SST3" s="59"/>
      <c r="SSU3" s="59"/>
      <c r="SSV3" s="59"/>
      <c r="SSW3" s="59"/>
      <c r="SSX3" s="59"/>
      <c r="SSY3" s="59"/>
      <c r="SSZ3" s="59"/>
      <c r="STA3" s="59"/>
      <c r="STB3" s="59"/>
      <c r="STC3" s="59"/>
      <c r="STD3" s="59"/>
      <c r="STE3" s="59"/>
      <c r="STF3" s="59"/>
      <c r="STG3" s="59"/>
      <c r="STH3" s="59"/>
      <c r="STI3" s="59"/>
      <c r="STJ3" s="59"/>
      <c r="STK3" s="59"/>
      <c r="STL3" s="59"/>
      <c r="STM3" s="59"/>
      <c r="STN3" s="59"/>
      <c r="STO3" s="59"/>
      <c r="STP3" s="59"/>
      <c r="STQ3" s="59"/>
      <c r="STR3" s="59"/>
      <c r="STS3" s="59"/>
      <c r="STT3" s="59"/>
      <c r="STU3" s="59"/>
      <c r="STV3" s="59"/>
      <c r="STW3" s="59"/>
      <c r="STX3" s="59"/>
      <c r="STY3" s="59"/>
      <c r="STZ3" s="59"/>
      <c r="SUA3" s="59"/>
      <c r="SUB3" s="59"/>
      <c r="SUC3" s="59"/>
      <c r="SUD3" s="59"/>
      <c r="SUE3" s="59"/>
      <c r="SUF3" s="59"/>
      <c r="SUG3" s="59"/>
      <c r="SUH3" s="59"/>
      <c r="SUI3" s="59"/>
      <c r="SUJ3" s="59"/>
      <c r="SUK3" s="59"/>
      <c r="SUL3" s="59"/>
      <c r="SUM3" s="59"/>
      <c r="SUN3" s="59"/>
      <c r="SUO3" s="59"/>
      <c r="SUP3" s="59"/>
      <c r="SUQ3" s="59"/>
      <c r="SUR3" s="59"/>
      <c r="SUS3" s="59"/>
      <c r="SUT3" s="59"/>
      <c r="SUU3" s="59"/>
      <c r="SUV3" s="59"/>
      <c r="SUW3" s="59"/>
      <c r="SUX3" s="59"/>
      <c r="SUY3" s="59"/>
      <c r="SUZ3" s="59"/>
      <c r="SVA3" s="59"/>
      <c r="SVB3" s="59"/>
      <c r="SVC3" s="59"/>
      <c r="SVD3" s="59"/>
      <c r="SVE3" s="59"/>
      <c r="SVF3" s="59"/>
      <c r="SVG3" s="59"/>
      <c r="SVH3" s="59"/>
      <c r="SVI3" s="59"/>
      <c r="SVJ3" s="59"/>
      <c r="SVK3" s="59"/>
      <c r="SVL3" s="59"/>
      <c r="SVM3" s="59"/>
      <c r="SVN3" s="59"/>
      <c r="SVO3" s="59"/>
      <c r="SVP3" s="59"/>
      <c r="SVQ3" s="59"/>
      <c r="SVR3" s="59"/>
      <c r="SVS3" s="59"/>
      <c r="SVT3" s="59"/>
      <c r="SVU3" s="59"/>
      <c r="SVV3" s="59"/>
      <c r="SVW3" s="59"/>
      <c r="SVX3" s="59"/>
      <c r="SVY3" s="59"/>
      <c r="SVZ3" s="59"/>
      <c r="SWA3" s="59"/>
      <c r="SWB3" s="59"/>
      <c r="SWC3" s="59"/>
      <c r="SWD3" s="59"/>
      <c r="SWE3" s="59"/>
      <c r="SWF3" s="59"/>
      <c r="SWG3" s="59"/>
      <c r="SWH3" s="59"/>
      <c r="SWI3" s="59"/>
      <c r="SWJ3" s="59"/>
      <c r="SWK3" s="59"/>
      <c r="SWL3" s="59"/>
      <c r="SWM3" s="59"/>
      <c r="SWN3" s="59"/>
      <c r="SWO3" s="59"/>
      <c r="SWP3" s="59"/>
      <c r="SWQ3" s="59"/>
      <c r="SWR3" s="59"/>
      <c r="SWS3" s="59"/>
      <c r="SWT3" s="59"/>
      <c r="SWU3" s="59"/>
      <c r="SWV3" s="59"/>
      <c r="SWW3" s="59"/>
      <c r="SWX3" s="59"/>
      <c r="SWY3" s="59"/>
      <c r="SWZ3" s="59"/>
      <c r="SXA3" s="59"/>
      <c r="SXB3" s="59"/>
      <c r="SXC3" s="59"/>
      <c r="SXD3" s="59"/>
      <c r="SXE3" s="59"/>
      <c r="SXF3" s="59"/>
      <c r="SXG3" s="59"/>
      <c r="SXH3" s="59"/>
      <c r="SXI3" s="59"/>
      <c r="SXJ3" s="59"/>
      <c r="SXK3" s="59"/>
      <c r="SXL3" s="59"/>
      <c r="SXM3" s="59"/>
      <c r="SXN3" s="59"/>
      <c r="SXO3" s="59"/>
      <c r="SXP3" s="59"/>
      <c r="SXQ3" s="59"/>
      <c r="SXR3" s="59"/>
      <c r="SXS3" s="59"/>
      <c r="SXT3" s="59"/>
      <c r="SXU3" s="59"/>
      <c r="SXV3" s="59"/>
      <c r="SXW3" s="59"/>
      <c r="SXX3" s="59"/>
      <c r="SXY3" s="59"/>
      <c r="SXZ3" s="59"/>
      <c r="SYA3" s="59"/>
      <c r="SYB3" s="59"/>
      <c r="SYC3" s="59"/>
      <c r="SYD3" s="59"/>
      <c r="SYE3" s="59"/>
      <c r="SYF3" s="59"/>
      <c r="SYG3" s="59"/>
      <c r="SYH3" s="59"/>
      <c r="SYI3" s="59"/>
      <c r="SYJ3" s="59"/>
      <c r="SYK3" s="59"/>
      <c r="SYL3" s="59"/>
      <c r="SYM3" s="59"/>
      <c r="SYN3" s="59"/>
      <c r="SYO3" s="59"/>
      <c r="SYP3" s="59"/>
      <c r="SYQ3" s="59"/>
      <c r="SYR3" s="59"/>
      <c r="SYS3" s="59"/>
      <c r="SYT3" s="59"/>
      <c r="SYU3" s="59"/>
      <c r="SYV3" s="59"/>
      <c r="SYW3" s="59"/>
      <c r="SYX3" s="59"/>
      <c r="SYY3" s="59"/>
      <c r="SYZ3" s="59"/>
      <c r="SZA3" s="59"/>
      <c r="SZB3" s="59"/>
      <c r="SZC3" s="59"/>
      <c r="SZD3" s="59"/>
      <c r="SZE3" s="59"/>
      <c r="SZF3" s="59"/>
      <c r="SZG3" s="59"/>
      <c r="SZH3" s="59"/>
      <c r="SZI3" s="59"/>
      <c r="SZJ3" s="59"/>
      <c r="SZK3" s="59"/>
      <c r="SZL3" s="59"/>
      <c r="SZM3" s="59"/>
      <c r="SZN3" s="59"/>
      <c r="SZO3" s="59"/>
      <c r="SZP3" s="59"/>
      <c r="SZQ3" s="59"/>
      <c r="SZR3" s="59"/>
      <c r="SZS3" s="59"/>
      <c r="SZT3" s="59"/>
      <c r="SZU3" s="59"/>
      <c r="SZV3" s="59"/>
      <c r="SZW3" s="59"/>
      <c r="SZX3" s="59"/>
      <c r="SZY3" s="59"/>
      <c r="SZZ3" s="59"/>
      <c r="TAA3" s="59"/>
      <c r="TAB3" s="59"/>
      <c r="TAC3" s="59"/>
      <c r="TAD3" s="59"/>
      <c r="TAE3" s="59"/>
      <c r="TAF3" s="59"/>
      <c r="TAG3" s="59"/>
      <c r="TAH3" s="59"/>
      <c r="TAI3" s="59"/>
      <c r="TAJ3" s="59"/>
      <c r="TAK3" s="59"/>
      <c r="TAL3" s="59"/>
      <c r="TAM3" s="59"/>
      <c r="TAN3" s="59"/>
      <c r="TAO3" s="59"/>
      <c r="TAP3" s="59"/>
      <c r="TAQ3" s="59"/>
      <c r="TAR3" s="59"/>
      <c r="TAS3" s="59"/>
      <c r="TAT3" s="59"/>
      <c r="TAU3" s="59"/>
      <c r="TAV3" s="59"/>
      <c r="TAW3" s="59"/>
      <c r="TAX3" s="59"/>
      <c r="TAY3" s="59"/>
      <c r="TAZ3" s="59"/>
      <c r="TBA3" s="59"/>
      <c r="TBB3" s="59"/>
      <c r="TBC3" s="59"/>
      <c r="TBD3" s="59"/>
      <c r="TBE3" s="59"/>
      <c r="TBF3" s="59"/>
      <c r="TBG3" s="59"/>
      <c r="TBH3" s="59"/>
      <c r="TBI3" s="59"/>
      <c r="TBJ3" s="59"/>
      <c r="TBK3" s="59"/>
      <c r="TBL3" s="59"/>
      <c r="TBM3" s="59"/>
      <c r="TBN3" s="59"/>
      <c r="TBO3" s="59"/>
      <c r="TBP3" s="59"/>
      <c r="TBQ3" s="59"/>
      <c r="TBR3" s="59"/>
      <c r="TBS3" s="59"/>
      <c r="TBT3" s="59"/>
      <c r="TBU3" s="59"/>
      <c r="TBV3" s="59"/>
      <c r="TBW3" s="59"/>
      <c r="TBX3" s="59"/>
      <c r="TBY3" s="59"/>
      <c r="TBZ3" s="59"/>
      <c r="TCA3" s="59"/>
      <c r="TCB3" s="59"/>
      <c r="TCC3" s="59"/>
      <c r="TCD3" s="59"/>
      <c r="TCE3" s="59"/>
      <c r="TCF3" s="59"/>
      <c r="TCG3" s="59"/>
      <c r="TCH3" s="59"/>
      <c r="TCI3" s="59"/>
      <c r="TCJ3" s="59"/>
      <c r="TCK3" s="59"/>
      <c r="TCL3" s="59"/>
      <c r="TCM3" s="59"/>
      <c r="TCN3" s="59"/>
      <c r="TCO3" s="59"/>
      <c r="TCP3" s="59"/>
      <c r="TCQ3" s="59"/>
      <c r="TCR3" s="59"/>
      <c r="TCS3" s="59"/>
      <c r="TCT3" s="59"/>
      <c r="TCU3" s="59"/>
      <c r="TCV3" s="59"/>
      <c r="TCW3" s="59"/>
      <c r="TCX3" s="59"/>
      <c r="TCY3" s="59"/>
      <c r="TCZ3" s="59"/>
      <c r="TDA3" s="59"/>
      <c r="TDB3" s="59"/>
      <c r="TDC3" s="59"/>
      <c r="TDD3" s="59"/>
      <c r="TDE3" s="59"/>
      <c r="TDF3" s="59"/>
      <c r="TDG3" s="59"/>
      <c r="TDH3" s="59"/>
      <c r="TDI3" s="59"/>
      <c r="TDJ3" s="59"/>
      <c r="TDK3" s="59"/>
      <c r="TDL3" s="59"/>
      <c r="TDM3" s="59"/>
      <c r="TDN3" s="59"/>
      <c r="TDO3" s="59"/>
      <c r="TDP3" s="59"/>
      <c r="TDQ3" s="59"/>
      <c r="TDR3" s="59"/>
      <c r="TDS3" s="59"/>
      <c r="TDT3" s="59"/>
      <c r="TDU3" s="59"/>
      <c r="TDV3" s="59"/>
      <c r="TDW3" s="59"/>
      <c r="TDX3" s="59"/>
      <c r="TDY3" s="59"/>
      <c r="TDZ3" s="59"/>
      <c r="TEA3" s="59"/>
      <c r="TEB3" s="59"/>
      <c r="TEC3" s="59"/>
      <c r="TED3" s="59"/>
      <c r="TEE3" s="59"/>
      <c r="TEF3" s="59"/>
      <c r="TEG3" s="59"/>
      <c r="TEH3" s="59"/>
      <c r="TEI3" s="59"/>
      <c r="TEJ3" s="59"/>
      <c r="TEK3" s="59"/>
      <c r="TEL3" s="59"/>
      <c r="TEM3" s="59"/>
      <c r="TEN3" s="59"/>
      <c r="TEO3" s="59"/>
      <c r="TEP3" s="59"/>
      <c r="TEQ3" s="59"/>
      <c r="TER3" s="59"/>
      <c r="TES3" s="59"/>
      <c r="TET3" s="59"/>
      <c r="TEU3" s="59"/>
      <c r="TEV3" s="59"/>
      <c r="TEW3" s="59"/>
      <c r="TEX3" s="59"/>
      <c r="TEY3" s="59"/>
      <c r="TEZ3" s="59"/>
      <c r="TFA3" s="59"/>
      <c r="TFB3" s="59"/>
      <c r="TFC3" s="59"/>
      <c r="TFD3" s="59"/>
      <c r="TFE3" s="59"/>
      <c r="TFF3" s="59"/>
      <c r="TFG3" s="59"/>
      <c r="TFH3" s="59"/>
      <c r="TFI3" s="59"/>
      <c r="TFJ3" s="59"/>
      <c r="TFK3" s="59"/>
      <c r="TFL3" s="59"/>
      <c r="TFM3" s="59"/>
      <c r="TFN3" s="59"/>
      <c r="TFO3" s="59"/>
      <c r="TFP3" s="59"/>
      <c r="TFQ3" s="59"/>
      <c r="TFR3" s="59"/>
      <c r="TFS3" s="59"/>
      <c r="TFT3" s="59"/>
      <c r="TFU3" s="59"/>
      <c r="TFV3" s="59"/>
      <c r="TFW3" s="59"/>
      <c r="TFX3" s="59"/>
      <c r="TFY3" s="59"/>
      <c r="TFZ3" s="59"/>
      <c r="TGA3" s="59"/>
      <c r="TGB3" s="59"/>
      <c r="TGC3" s="59"/>
      <c r="TGD3" s="59"/>
      <c r="TGE3" s="59"/>
      <c r="TGF3" s="59"/>
      <c r="TGG3" s="59"/>
      <c r="TGH3" s="59"/>
      <c r="TGI3" s="59"/>
      <c r="TGJ3" s="59"/>
      <c r="TGK3" s="59"/>
      <c r="TGL3" s="59"/>
      <c r="TGM3" s="59"/>
      <c r="TGN3" s="59"/>
      <c r="TGO3" s="59"/>
      <c r="TGP3" s="59"/>
      <c r="TGQ3" s="59"/>
      <c r="TGR3" s="59"/>
      <c r="TGS3" s="59"/>
      <c r="TGT3" s="59"/>
      <c r="TGU3" s="59"/>
      <c r="TGV3" s="59"/>
      <c r="TGW3" s="59"/>
      <c r="TGX3" s="59"/>
      <c r="TGY3" s="59"/>
      <c r="TGZ3" s="59"/>
      <c r="THA3" s="59"/>
      <c r="THB3" s="59"/>
      <c r="THC3" s="59"/>
      <c r="THD3" s="59"/>
      <c r="THE3" s="59"/>
      <c r="THF3" s="59"/>
      <c r="THG3" s="59"/>
      <c r="THH3" s="59"/>
      <c r="THI3" s="59"/>
      <c r="THJ3" s="59"/>
      <c r="THK3" s="59"/>
      <c r="THL3" s="59"/>
      <c r="THM3" s="59"/>
      <c r="THN3" s="59"/>
      <c r="THO3" s="59"/>
      <c r="THP3" s="59"/>
      <c r="THQ3" s="59"/>
      <c r="THR3" s="59"/>
      <c r="THS3" s="59"/>
      <c r="THT3" s="59"/>
      <c r="THU3" s="59"/>
      <c r="THV3" s="59"/>
      <c r="THW3" s="59"/>
      <c r="THX3" s="59"/>
      <c r="THY3" s="59"/>
      <c r="THZ3" s="59"/>
      <c r="TIA3" s="59"/>
      <c r="TIB3" s="59"/>
      <c r="TIC3" s="59"/>
      <c r="TID3" s="59"/>
      <c r="TIE3" s="59"/>
      <c r="TIF3" s="59"/>
      <c r="TIG3" s="59"/>
      <c r="TIH3" s="59"/>
      <c r="TII3" s="59"/>
      <c r="TIJ3" s="59"/>
      <c r="TIK3" s="59"/>
      <c r="TIL3" s="59"/>
      <c r="TIM3" s="59"/>
      <c r="TIN3" s="59"/>
      <c r="TIO3" s="59"/>
      <c r="TIP3" s="59"/>
      <c r="TIQ3" s="59"/>
      <c r="TIR3" s="59"/>
      <c r="TIS3" s="59"/>
      <c r="TIT3" s="59"/>
      <c r="TIU3" s="59"/>
      <c r="TIV3" s="59"/>
      <c r="TIW3" s="59"/>
      <c r="TIX3" s="59"/>
      <c r="TIY3" s="59"/>
      <c r="TIZ3" s="59"/>
      <c r="TJA3" s="59"/>
      <c r="TJB3" s="59"/>
      <c r="TJC3" s="59"/>
      <c r="TJD3" s="59"/>
      <c r="TJE3" s="59"/>
      <c r="TJF3" s="59"/>
      <c r="TJG3" s="59"/>
      <c r="TJH3" s="59"/>
      <c r="TJI3" s="59"/>
      <c r="TJJ3" s="59"/>
      <c r="TJK3" s="59"/>
      <c r="TJL3" s="59"/>
      <c r="TJM3" s="59"/>
      <c r="TJN3" s="59"/>
      <c r="TJO3" s="59"/>
      <c r="TJP3" s="59"/>
      <c r="TJQ3" s="59"/>
      <c r="TJR3" s="59"/>
      <c r="TJS3" s="59"/>
      <c r="TJT3" s="59"/>
      <c r="TJU3" s="59"/>
      <c r="TJV3" s="59"/>
      <c r="TJW3" s="59"/>
      <c r="TJX3" s="59"/>
      <c r="TJY3" s="59"/>
      <c r="TJZ3" s="59"/>
      <c r="TKA3" s="59"/>
      <c r="TKB3" s="59"/>
      <c r="TKC3" s="59"/>
      <c r="TKD3" s="59"/>
      <c r="TKE3" s="59"/>
      <c r="TKF3" s="59"/>
      <c r="TKG3" s="59"/>
      <c r="TKH3" s="59"/>
      <c r="TKI3" s="59"/>
      <c r="TKJ3" s="59"/>
      <c r="TKK3" s="59"/>
      <c r="TKL3" s="59"/>
      <c r="TKM3" s="59"/>
      <c r="TKN3" s="59"/>
      <c r="TKO3" s="59"/>
      <c r="TKP3" s="59"/>
      <c r="TKQ3" s="59"/>
      <c r="TKR3" s="59"/>
      <c r="TKS3" s="59"/>
      <c r="TKT3" s="59"/>
      <c r="TKU3" s="59"/>
      <c r="TKV3" s="59"/>
      <c r="TKW3" s="59"/>
      <c r="TKX3" s="59"/>
      <c r="TKY3" s="59"/>
      <c r="TKZ3" s="59"/>
      <c r="TLA3" s="59"/>
      <c r="TLB3" s="59"/>
      <c r="TLC3" s="59"/>
      <c r="TLD3" s="59"/>
      <c r="TLE3" s="59"/>
      <c r="TLF3" s="59"/>
      <c r="TLG3" s="59"/>
      <c r="TLH3" s="59"/>
      <c r="TLI3" s="59"/>
      <c r="TLJ3" s="59"/>
      <c r="TLK3" s="59"/>
      <c r="TLL3" s="59"/>
      <c r="TLM3" s="59"/>
      <c r="TLN3" s="59"/>
      <c r="TLO3" s="59"/>
      <c r="TLP3" s="59"/>
      <c r="TLQ3" s="59"/>
      <c r="TLR3" s="59"/>
      <c r="TLS3" s="59"/>
      <c r="TLT3" s="59"/>
      <c r="TLU3" s="59"/>
      <c r="TLV3" s="59"/>
      <c r="TLW3" s="59"/>
      <c r="TLX3" s="59"/>
      <c r="TLY3" s="59"/>
      <c r="TLZ3" s="59"/>
      <c r="TMA3" s="59"/>
      <c r="TMB3" s="59"/>
      <c r="TMC3" s="59"/>
      <c r="TMD3" s="59"/>
      <c r="TME3" s="59"/>
      <c r="TMF3" s="59"/>
      <c r="TMG3" s="59"/>
      <c r="TMH3" s="59"/>
      <c r="TMI3" s="59"/>
      <c r="TMJ3" s="59"/>
      <c r="TMK3" s="59"/>
      <c r="TML3" s="59"/>
      <c r="TMM3" s="59"/>
      <c r="TMN3" s="59"/>
      <c r="TMO3" s="59"/>
      <c r="TMP3" s="59"/>
      <c r="TMQ3" s="59"/>
      <c r="TMR3" s="59"/>
      <c r="TMS3" s="59"/>
      <c r="TMT3" s="59"/>
      <c r="TMU3" s="59"/>
      <c r="TMV3" s="59"/>
      <c r="TMW3" s="59"/>
      <c r="TMX3" s="59"/>
      <c r="TMY3" s="59"/>
      <c r="TMZ3" s="59"/>
      <c r="TNA3" s="59"/>
      <c r="TNB3" s="59"/>
      <c r="TNC3" s="59"/>
      <c r="TND3" s="59"/>
      <c r="TNE3" s="59"/>
      <c r="TNF3" s="59"/>
      <c r="TNG3" s="59"/>
      <c r="TNH3" s="59"/>
      <c r="TNI3" s="59"/>
      <c r="TNJ3" s="59"/>
      <c r="TNK3" s="59"/>
      <c r="TNL3" s="59"/>
      <c r="TNM3" s="59"/>
      <c r="TNN3" s="59"/>
      <c r="TNO3" s="59"/>
      <c r="TNP3" s="59"/>
      <c r="TNQ3" s="59"/>
      <c r="TNR3" s="59"/>
      <c r="TNS3" s="59"/>
      <c r="TNT3" s="59"/>
      <c r="TNU3" s="59"/>
      <c r="TNV3" s="59"/>
      <c r="TNW3" s="59"/>
      <c r="TNX3" s="59"/>
      <c r="TNY3" s="59"/>
      <c r="TNZ3" s="59"/>
      <c r="TOA3" s="59"/>
      <c r="TOB3" s="59"/>
      <c r="TOC3" s="59"/>
      <c r="TOD3" s="59"/>
      <c r="TOE3" s="59"/>
      <c r="TOF3" s="59"/>
      <c r="TOG3" s="59"/>
      <c r="TOH3" s="59"/>
      <c r="TOI3" s="59"/>
      <c r="TOJ3" s="59"/>
      <c r="TOK3" s="59"/>
      <c r="TOL3" s="59"/>
      <c r="TOM3" s="59"/>
      <c r="TON3" s="59"/>
      <c r="TOO3" s="59"/>
      <c r="TOP3" s="59"/>
      <c r="TOQ3" s="59"/>
      <c r="TOR3" s="59"/>
      <c r="TOS3" s="59"/>
      <c r="TOT3" s="59"/>
      <c r="TOU3" s="59"/>
      <c r="TOV3" s="59"/>
      <c r="TOW3" s="59"/>
      <c r="TOX3" s="59"/>
      <c r="TOY3" s="59"/>
      <c r="TOZ3" s="59"/>
      <c r="TPA3" s="59"/>
      <c r="TPB3" s="59"/>
      <c r="TPC3" s="59"/>
      <c r="TPD3" s="59"/>
      <c r="TPE3" s="59"/>
      <c r="TPF3" s="59"/>
      <c r="TPG3" s="59"/>
      <c r="TPH3" s="59"/>
      <c r="TPI3" s="59"/>
      <c r="TPJ3" s="59"/>
      <c r="TPK3" s="59"/>
      <c r="TPL3" s="59"/>
      <c r="TPM3" s="59"/>
      <c r="TPN3" s="59"/>
      <c r="TPO3" s="59"/>
      <c r="TPP3" s="59"/>
      <c r="TPQ3" s="59"/>
      <c r="TPR3" s="59"/>
      <c r="TPS3" s="59"/>
      <c r="TPT3" s="59"/>
      <c r="TPU3" s="59"/>
      <c r="TPV3" s="59"/>
      <c r="TPW3" s="59"/>
      <c r="TPX3" s="59"/>
      <c r="TPY3" s="59"/>
      <c r="TPZ3" s="59"/>
      <c r="TQA3" s="59"/>
      <c r="TQB3" s="59"/>
      <c r="TQC3" s="59"/>
      <c r="TQD3" s="59"/>
      <c r="TQE3" s="59"/>
      <c r="TQF3" s="59"/>
      <c r="TQG3" s="59"/>
      <c r="TQH3" s="59"/>
      <c r="TQI3" s="59"/>
      <c r="TQJ3" s="59"/>
      <c r="TQK3" s="59"/>
      <c r="TQL3" s="59"/>
      <c r="TQM3" s="59"/>
      <c r="TQN3" s="59"/>
      <c r="TQO3" s="59"/>
      <c r="TQP3" s="59"/>
      <c r="TQQ3" s="59"/>
      <c r="TQR3" s="59"/>
      <c r="TQS3" s="59"/>
      <c r="TQT3" s="59"/>
      <c r="TQU3" s="59"/>
      <c r="TQV3" s="59"/>
      <c r="TQW3" s="59"/>
      <c r="TQX3" s="59"/>
      <c r="TQY3" s="59"/>
      <c r="TQZ3" s="59"/>
      <c r="TRA3" s="59"/>
      <c r="TRB3" s="59"/>
      <c r="TRC3" s="59"/>
      <c r="TRD3" s="59"/>
      <c r="TRE3" s="59"/>
      <c r="TRF3" s="59"/>
      <c r="TRG3" s="59"/>
      <c r="TRH3" s="59"/>
      <c r="TRI3" s="59"/>
      <c r="TRJ3" s="59"/>
      <c r="TRK3" s="59"/>
      <c r="TRL3" s="59"/>
      <c r="TRM3" s="59"/>
      <c r="TRN3" s="59"/>
      <c r="TRO3" s="59"/>
      <c r="TRP3" s="59"/>
      <c r="TRQ3" s="59"/>
      <c r="TRR3" s="59"/>
      <c r="TRS3" s="59"/>
      <c r="TRT3" s="59"/>
      <c r="TRU3" s="59"/>
      <c r="TRV3" s="59"/>
      <c r="TRW3" s="59"/>
      <c r="TRX3" s="59"/>
      <c r="TRY3" s="59"/>
      <c r="TRZ3" s="59"/>
      <c r="TSA3" s="59"/>
      <c r="TSB3" s="59"/>
      <c r="TSC3" s="59"/>
      <c r="TSD3" s="59"/>
      <c r="TSE3" s="59"/>
      <c r="TSF3" s="59"/>
      <c r="TSG3" s="59"/>
      <c r="TSH3" s="59"/>
      <c r="TSI3" s="59"/>
      <c r="TSJ3" s="59"/>
      <c r="TSK3" s="59"/>
      <c r="TSL3" s="59"/>
      <c r="TSM3" s="59"/>
      <c r="TSN3" s="59"/>
      <c r="TSO3" s="59"/>
      <c r="TSP3" s="59"/>
      <c r="TSQ3" s="59"/>
      <c r="TSR3" s="59"/>
      <c r="TSS3" s="59"/>
      <c r="TST3" s="59"/>
      <c r="TSU3" s="59"/>
      <c r="TSV3" s="59"/>
      <c r="TSW3" s="59"/>
      <c r="TSX3" s="59"/>
      <c r="TSY3" s="59"/>
      <c r="TSZ3" s="59"/>
      <c r="TTA3" s="59"/>
      <c r="TTB3" s="59"/>
      <c r="TTC3" s="59"/>
      <c r="TTD3" s="59"/>
      <c r="TTE3" s="59"/>
      <c r="TTF3" s="59"/>
      <c r="TTG3" s="59"/>
      <c r="TTH3" s="59"/>
      <c r="TTI3" s="59"/>
      <c r="TTJ3" s="59"/>
      <c r="TTK3" s="59"/>
      <c r="TTL3" s="59"/>
      <c r="TTM3" s="59"/>
      <c r="TTN3" s="59"/>
      <c r="TTO3" s="59"/>
      <c r="TTP3" s="59"/>
      <c r="TTQ3" s="59"/>
      <c r="TTR3" s="59"/>
      <c r="TTS3" s="59"/>
      <c r="TTT3" s="59"/>
      <c r="TTU3" s="59"/>
      <c r="TTV3" s="59"/>
      <c r="TTW3" s="59"/>
      <c r="TTX3" s="59"/>
      <c r="TTY3" s="59"/>
      <c r="TTZ3" s="59"/>
      <c r="TUA3" s="59"/>
      <c r="TUB3" s="59"/>
      <c r="TUC3" s="59"/>
      <c r="TUD3" s="59"/>
      <c r="TUE3" s="59"/>
      <c r="TUF3" s="59"/>
      <c r="TUG3" s="59"/>
      <c r="TUH3" s="59"/>
      <c r="TUI3" s="59"/>
      <c r="TUJ3" s="59"/>
      <c r="TUK3" s="59"/>
      <c r="TUL3" s="59"/>
      <c r="TUM3" s="59"/>
      <c r="TUN3" s="59"/>
      <c r="TUO3" s="59"/>
      <c r="TUP3" s="59"/>
      <c r="TUQ3" s="59"/>
      <c r="TUR3" s="59"/>
      <c r="TUS3" s="59"/>
      <c r="TUT3" s="59"/>
      <c r="TUU3" s="59"/>
      <c r="TUV3" s="59"/>
      <c r="TUW3" s="59"/>
      <c r="TUX3" s="59"/>
      <c r="TUY3" s="59"/>
      <c r="TUZ3" s="59"/>
      <c r="TVA3" s="59"/>
      <c r="TVB3" s="59"/>
      <c r="TVC3" s="59"/>
      <c r="TVD3" s="59"/>
      <c r="TVE3" s="59"/>
      <c r="TVF3" s="59"/>
      <c r="TVG3" s="59"/>
      <c r="TVH3" s="59"/>
      <c r="TVI3" s="59"/>
      <c r="TVJ3" s="59"/>
      <c r="TVK3" s="59"/>
      <c r="TVL3" s="59"/>
      <c r="TVM3" s="59"/>
      <c r="TVN3" s="59"/>
      <c r="TVO3" s="59"/>
      <c r="TVP3" s="59"/>
      <c r="TVQ3" s="59"/>
      <c r="TVR3" s="59"/>
      <c r="TVS3" s="59"/>
      <c r="TVT3" s="59"/>
      <c r="TVU3" s="59"/>
      <c r="TVV3" s="59"/>
      <c r="TVW3" s="59"/>
      <c r="TVX3" s="59"/>
      <c r="TVY3" s="59"/>
      <c r="TVZ3" s="59"/>
      <c r="TWA3" s="59"/>
      <c r="TWB3" s="59"/>
      <c r="TWC3" s="59"/>
      <c r="TWD3" s="59"/>
      <c r="TWE3" s="59"/>
      <c r="TWF3" s="59"/>
      <c r="TWG3" s="59"/>
      <c r="TWH3" s="59"/>
      <c r="TWI3" s="59"/>
      <c r="TWJ3" s="59"/>
      <c r="TWK3" s="59"/>
      <c r="TWL3" s="59"/>
      <c r="TWM3" s="59"/>
      <c r="TWN3" s="59"/>
      <c r="TWO3" s="59"/>
      <c r="TWP3" s="59"/>
      <c r="TWQ3" s="59"/>
      <c r="TWR3" s="59"/>
      <c r="TWS3" s="59"/>
      <c r="TWT3" s="59"/>
      <c r="TWU3" s="59"/>
      <c r="TWV3" s="59"/>
      <c r="TWW3" s="59"/>
      <c r="TWX3" s="59"/>
      <c r="TWY3" s="59"/>
      <c r="TWZ3" s="59"/>
      <c r="TXA3" s="59"/>
      <c r="TXB3" s="59"/>
      <c r="TXC3" s="59"/>
      <c r="TXD3" s="59"/>
      <c r="TXE3" s="59"/>
      <c r="TXF3" s="59"/>
      <c r="TXG3" s="59"/>
      <c r="TXH3" s="59"/>
      <c r="TXI3" s="59"/>
      <c r="TXJ3" s="59"/>
      <c r="TXK3" s="59"/>
      <c r="TXL3" s="59"/>
      <c r="TXM3" s="59"/>
      <c r="TXN3" s="59"/>
      <c r="TXO3" s="59"/>
      <c r="TXP3" s="59"/>
      <c r="TXQ3" s="59"/>
      <c r="TXR3" s="59"/>
      <c r="TXS3" s="59"/>
      <c r="TXT3" s="59"/>
      <c r="TXU3" s="59"/>
      <c r="TXV3" s="59"/>
      <c r="TXW3" s="59"/>
      <c r="TXX3" s="59"/>
      <c r="TXY3" s="59"/>
      <c r="TXZ3" s="59"/>
      <c r="TYA3" s="59"/>
      <c r="TYB3" s="59"/>
      <c r="TYC3" s="59"/>
      <c r="TYD3" s="59"/>
      <c r="TYE3" s="59"/>
      <c r="TYF3" s="59"/>
      <c r="TYG3" s="59"/>
      <c r="TYH3" s="59"/>
      <c r="TYI3" s="59"/>
      <c r="TYJ3" s="59"/>
      <c r="TYK3" s="59"/>
      <c r="TYL3" s="59"/>
      <c r="TYM3" s="59"/>
      <c r="TYN3" s="59"/>
      <c r="TYO3" s="59"/>
      <c r="TYP3" s="59"/>
      <c r="TYQ3" s="59"/>
      <c r="TYR3" s="59"/>
      <c r="TYS3" s="59"/>
      <c r="TYT3" s="59"/>
      <c r="TYU3" s="59"/>
      <c r="TYV3" s="59"/>
      <c r="TYW3" s="59"/>
      <c r="TYX3" s="59"/>
      <c r="TYY3" s="59"/>
      <c r="TYZ3" s="59"/>
      <c r="TZA3" s="59"/>
      <c r="TZB3" s="59"/>
      <c r="TZC3" s="59"/>
      <c r="TZD3" s="59"/>
      <c r="TZE3" s="59"/>
      <c r="TZF3" s="59"/>
      <c r="TZG3" s="59"/>
      <c r="TZH3" s="59"/>
      <c r="TZI3" s="59"/>
      <c r="TZJ3" s="59"/>
      <c r="TZK3" s="59"/>
      <c r="TZL3" s="59"/>
      <c r="TZM3" s="59"/>
      <c r="TZN3" s="59"/>
      <c r="TZO3" s="59"/>
      <c r="TZP3" s="59"/>
      <c r="TZQ3" s="59"/>
      <c r="TZR3" s="59"/>
      <c r="TZS3" s="59"/>
      <c r="TZT3" s="59"/>
      <c r="TZU3" s="59"/>
      <c r="TZV3" s="59"/>
      <c r="TZW3" s="59"/>
      <c r="TZX3" s="59"/>
      <c r="TZY3" s="59"/>
      <c r="TZZ3" s="59"/>
      <c r="UAA3" s="59"/>
      <c r="UAB3" s="59"/>
      <c r="UAC3" s="59"/>
      <c r="UAD3" s="59"/>
      <c r="UAE3" s="59"/>
      <c r="UAF3" s="59"/>
      <c r="UAG3" s="59"/>
      <c r="UAH3" s="59"/>
      <c r="UAI3" s="59"/>
      <c r="UAJ3" s="59"/>
      <c r="UAK3" s="59"/>
      <c r="UAL3" s="59"/>
      <c r="UAM3" s="59"/>
      <c r="UAN3" s="59"/>
      <c r="UAO3" s="59"/>
      <c r="UAP3" s="59"/>
      <c r="UAQ3" s="59"/>
      <c r="UAR3" s="59"/>
      <c r="UAS3" s="59"/>
      <c r="UAT3" s="59"/>
      <c r="UAU3" s="59"/>
      <c r="UAV3" s="59"/>
      <c r="UAW3" s="59"/>
      <c r="UAX3" s="59"/>
      <c r="UAY3" s="59"/>
      <c r="UAZ3" s="59"/>
      <c r="UBA3" s="59"/>
      <c r="UBB3" s="59"/>
      <c r="UBC3" s="59"/>
      <c r="UBD3" s="59"/>
      <c r="UBE3" s="59"/>
      <c r="UBF3" s="59"/>
      <c r="UBG3" s="59"/>
      <c r="UBH3" s="59"/>
      <c r="UBI3" s="59"/>
      <c r="UBJ3" s="59"/>
      <c r="UBK3" s="59"/>
      <c r="UBL3" s="59"/>
      <c r="UBM3" s="59"/>
      <c r="UBN3" s="59"/>
      <c r="UBO3" s="59"/>
      <c r="UBP3" s="59"/>
      <c r="UBQ3" s="59"/>
      <c r="UBR3" s="59"/>
      <c r="UBS3" s="59"/>
      <c r="UBT3" s="59"/>
      <c r="UBU3" s="59"/>
      <c r="UBV3" s="59"/>
      <c r="UBW3" s="59"/>
      <c r="UBX3" s="59"/>
      <c r="UBY3" s="59"/>
      <c r="UBZ3" s="59"/>
      <c r="UCA3" s="59"/>
      <c r="UCB3" s="59"/>
      <c r="UCC3" s="59"/>
      <c r="UCD3" s="59"/>
      <c r="UCE3" s="59"/>
      <c r="UCF3" s="59"/>
      <c r="UCG3" s="59"/>
      <c r="UCH3" s="59"/>
      <c r="UCI3" s="59"/>
      <c r="UCJ3" s="59"/>
      <c r="UCK3" s="59"/>
      <c r="UCL3" s="59"/>
      <c r="UCM3" s="59"/>
      <c r="UCN3" s="59"/>
      <c r="UCO3" s="59"/>
      <c r="UCP3" s="59"/>
      <c r="UCQ3" s="59"/>
      <c r="UCR3" s="59"/>
      <c r="UCS3" s="59"/>
      <c r="UCT3" s="59"/>
      <c r="UCU3" s="59"/>
      <c r="UCV3" s="59"/>
      <c r="UCW3" s="59"/>
      <c r="UCX3" s="59"/>
      <c r="UCY3" s="59"/>
      <c r="UCZ3" s="59"/>
      <c r="UDA3" s="59"/>
      <c r="UDB3" s="59"/>
      <c r="UDC3" s="59"/>
      <c r="UDD3" s="59"/>
      <c r="UDE3" s="59"/>
      <c r="UDF3" s="59"/>
      <c r="UDG3" s="59"/>
      <c r="UDH3" s="59"/>
      <c r="UDI3" s="59"/>
      <c r="UDJ3" s="59"/>
      <c r="UDK3" s="59"/>
      <c r="UDL3" s="59"/>
      <c r="UDM3" s="59"/>
      <c r="UDN3" s="59"/>
      <c r="UDO3" s="59"/>
      <c r="UDP3" s="59"/>
      <c r="UDQ3" s="59"/>
      <c r="UDR3" s="59"/>
      <c r="UDS3" s="59"/>
      <c r="UDT3" s="59"/>
      <c r="UDU3" s="59"/>
      <c r="UDV3" s="59"/>
      <c r="UDW3" s="59"/>
      <c r="UDX3" s="59"/>
      <c r="UDY3" s="59"/>
      <c r="UDZ3" s="59"/>
      <c r="UEA3" s="59"/>
      <c r="UEB3" s="59"/>
      <c r="UEC3" s="59"/>
      <c r="UED3" s="59"/>
      <c r="UEE3" s="59"/>
      <c r="UEF3" s="59"/>
      <c r="UEG3" s="59"/>
      <c r="UEH3" s="59"/>
      <c r="UEI3" s="59"/>
      <c r="UEJ3" s="59"/>
      <c r="UEK3" s="59"/>
      <c r="UEL3" s="59"/>
      <c r="UEM3" s="59"/>
      <c r="UEN3" s="59"/>
      <c r="UEO3" s="59"/>
      <c r="UEP3" s="59"/>
      <c r="UEQ3" s="59"/>
      <c r="UER3" s="59"/>
      <c r="UES3" s="59"/>
      <c r="UET3" s="59"/>
      <c r="UEU3" s="59"/>
      <c r="UEV3" s="59"/>
      <c r="UEW3" s="59"/>
      <c r="UEX3" s="59"/>
      <c r="UEY3" s="59"/>
      <c r="UEZ3" s="59"/>
      <c r="UFA3" s="59"/>
      <c r="UFB3" s="59"/>
      <c r="UFC3" s="59"/>
      <c r="UFD3" s="59"/>
      <c r="UFE3" s="59"/>
      <c r="UFF3" s="59"/>
      <c r="UFG3" s="59"/>
      <c r="UFH3" s="59"/>
      <c r="UFI3" s="59"/>
      <c r="UFJ3" s="59"/>
      <c r="UFK3" s="59"/>
      <c r="UFL3" s="59"/>
      <c r="UFM3" s="59"/>
      <c r="UFN3" s="59"/>
      <c r="UFO3" s="59"/>
      <c r="UFP3" s="59"/>
      <c r="UFQ3" s="59"/>
      <c r="UFR3" s="59"/>
      <c r="UFS3" s="59"/>
      <c r="UFT3" s="59"/>
      <c r="UFU3" s="59"/>
      <c r="UFV3" s="59"/>
      <c r="UFW3" s="59"/>
      <c r="UFX3" s="59"/>
      <c r="UFY3" s="59"/>
      <c r="UFZ3" s="59"/>
      <c r="UGA3" s="59"/>
      <c r="UGB3" s="59"/>
      <c r="UGC3" s="59"/>
      <c r="UGD3" s="59"/>
      <c r="UGE3" s="59"/>
      <c r="UGF3" s="59"/>
      <c r="UGG3" s="59"/>
      <c r="UGH3" s="59"/>
      <c r="UGI3" s="59"/>
      <c r="UGJ3" s="59"/>
      <c r="UGK3" s="59"/>
      <c r="UGL3" s="59"/>
      <c r="UGM3" s="59"/>
      <c r="UGN3" s="59"/>
      <c r="UGO3" s="59"/>
      <c r="UGP3" s="59"/>
      <c r="UGQ3" s="59"/>
      <c r="UGR3" s="59"/>
      <c r="UGS3" s="59"/>
      <c r="UGT3" s="59"/>
      <c r="UGU3" s="59"/>
      <c r="UGV3" s="59"/>
      <c r="UGW3" s="59"/>
      <c r="UGX3" s="59"/>
      <c r="UGY3" s="59"/>
      <c r="UGZ3" s="59"/>
      <c r="UHA3" s="59"/>
      <c r="UHB3" s="59"/>
      <c r="UHC3" s="59"/>
      <c r="UHD3" s="59"/>
      <c r="UHE3" s="59"/>
      <c r="UHF3" s="59"/>
      <c r="UHG3" s="59"/>
      <c r="UHH3" s="59"/>
      <c r="UHI3" s="59"/>
      <c r="UHJ3" s="59"/>
      <c r="UHK3" s="59"/>
      <c r="UHL3" s="59"/>
      <c r="UHM3" s="59"/>
      <c r="UHN3" s="59"/>
      <c r="UHO3" s="59"/>
      <c r="UHP3" s="59"/>
      <c r="UHQ3" s="59"/>
      <c r="UHR3" s="59"/>
      <c r="UHS3" s="59"/>
      <c r="UHT3" s="59"/>
      <c r="UHU3" s="59"/>
      <c r="UHV3" s="59"/>
      <c r="UHW3" s="59"/>
      <c r="UHX3" s="59"/>
      <c r="UHY3" s="59"/>
      <c r="UHZ3" s="59"/>
      <c r="UIA3" s="59"/>
      <c r="UIB3" s="59"/>
      <c r="UIC3" s="59"/>
      <c r="UID3" s="59"/>
      <c r="UIE3" s="59"/>
      <c r="UIF3" s="59"/>
      <c r="UIG3" s="59"/>
      <c r="UIH3" s="59"/>
      <c r="UII3" s="59"/>
      <c r="UIJ3" s="59"/>
      <c r="UIK3" s="59"/>
      <c r="UIL3" s="59"/>
      <c r="UIM3" s="59"/>
      <c r="UIN3" s="59"/>
      <c r="UIO3" s="59"/>
      <c r="UIP3" s="59"/>
      <c r="UIQ3" s="59"/>
      <c r="UIR3" s="59"/>
      <c r="UIS3" s="59"/>
      <c r="UIT3" s="59"/>
      <c r="UIU3" s="59"/>
      <c r="UIV3" s="59"/>
      <c r="UIW3" s="59"/>
      <c r="UIX3" s="59"/>
      <c r="UIY3" s="59"/>
      <c r="UIZ3" s="59"/>
      <c r="UJA3" s="59"/>
      <c r="UJB3" s="59"/>
      <c r="UJC3" s="59"/>
      <c r="UJD3" s="59"/>
      <c r="UJE3" s="59"/>
      <c r="UJF3" s="59"/>
      <c r="UJG3" s="59"/>
      <c r="UJH3" s="59"/>
      <c r="UJI3" s="59"/>
      <c r="UJJ3" s="59"/>
      <c r="UJK3" s="59"/>
      <c r="UJL3" s="59"/>
      <c r="UJM3" s="59"/>
      <c r="UJN3" s="59"/>
      <c r="UJO3" s="59"/>
      <c r="UJP3" s="59"/>
      <c r="UJQ3" s="59"/>
      <c r="UJR3" s="59"/>
      <c r="UJS3" s="59"/>
      <c r="UJT3" s="59"/>
      <c r="UJU3" s="59"/>
      <c r="UJV3" s="59"/>
      <c r="UJW3" s="59"/>
      <c r="UJX3" s="59"/>
      <c r="UJY3" s="59"/>
      <c r="UJZ3" s="59"/>
      <c r="UKA3" s="59"/>
      <c r="UKB3" s="59"/>
      <c r="UKC3" s="59"/>
      <c r="UKD3" s="59"/>
      <c r="UKE3" s="59"/>
      <c r="UKF3" s="59"/>
      <c r="UKG3" s="59"/>
      <c r="UKH3" s="59"/>
      <c r="UKI3" s="59"/>
      <c r="UKJ3" s="59"/>
      <c r="UKK3" s="59"/>
      <c r="UKL3" s="59"/>
      <c r="UKM3" s="59"/>
      <c r="UKN3" s="59"/>
      <c r="UKO3" s="59"/>
      <c r="UKP3" s="59"/>
      <c r="UKQ3" s="59"/>
      <c r="UKR3" s="59"/>
      <c r="UKS3" s="59"/>
      <c r="UKT3" s="59"/>
      <c r="UKU3" s="59"/>
      <c r="UKV3" s="59"/>
      <c r="UKW3" s="59"/>
      <c r="UKX3" s="59"/>
      <c r="UKY3" s="59"/>
      <c r="UKZ3" s="59"/>
      <c r="ULA3" s="59"/>
      <c r="ULB3" s="59"/>
      <c r="ULC3" s="59"/>
      <c r="ULD3" s="59"/>
      <c r="ULE3" s="59"/>
      <c r="ULF3" s="59"/>
      <c r="ULG3" s="59"/>
      <c r="ULH3" s="59"/>
      <c r="ULI3" s="59"/>
      <c r="ULJ3" s="59"/>
      <c r="ULK3" s="59"/>
      <c r="ULL3" s="59"/>
      <c r="ULM3" s="59"/>
      <c r="ULN3" s="59"/>
      <c r="ULO3" s="59"/>
      <c r="ULP3" s="59"/>
      <c r="ULQ3" s="59"/>
      <c r="ULR3" s="59"/>
      <c r="ULS3" s="59"/>
      <c r="ULT3" s="59"/>
      <c r="ULU3" s="59"/>
      <c r="ULV3" s="59"/>
      <c r="ULW3" s="59"/>
      <c r="ULX3" s="59"/>
      <c r="ULY3" s="59"/>
      <c r="ULZ3" s="59"/>
      <c r="UMA3" s="59"/>
      <c r="UMB3" s="59"/>
      <c r="UMC3" s="59"/>
      <c r="UMD3" s="59"/>
      <c r="UME3" s="59"/>
      <c r="UMF3" s="59"/>
      <c r="UMG3" s="59"/>
      <c r="UMH3" s="59"/>
      <c r="UMI3" s="59"/>
      <c r="UMJ3" s="59"/>
      <c r="UMK3" s="59"/>
      <c r="UML3" s="59"/>
      <c r="UMM3" s="59"/>
      <c r="UMN3" s="59"/>
      <c r="UMO3" s="59"/>
      <c r="UMP3" s="59"/>
      <c r="UMQ3" s="59"/>
      <c r="UMR3" s="59"/>
      <c r="UMS3" s="59"/>
      <c r="UMT3" s="59"/>
      <c r="UMU3" s="59"/>
      <c r="UMV3" s="59"/>
      <c r="UMW3" s="59"/>
      <c r="UMX3" s="59"/>
      <c r="UMY3" s="59"/>
      <c r="UMZ3" s="59"/>
      <c r="UNA3" s="59"/>
      <c r="UNB3" s="59"/>
      <c r="UNC3" s="59"/>
      <c r="UND3" s="59"/>
      <c r="UNE3" s="59"/>
      <c r="UNF3" s="59"/>
      <c r="UNG3" s="59"/>
      <c r="UNH3" s="59"/>
      <c r="UNI3" s="59"/>
      <c r="UNJ3" s="59"/>
      <c r="UNK3" s="59"/>
      <c r="UNL3" s="59"/>
      <c r="UNM3" s="59"/>
      <c r="UNN3" s="59"/>
      <c r="UNO3" s="59"/>
      <c r="UNP3" s="59"/>
      <c r="UNQ3" s="59"/>
      <c r="UNR3" s="59"/>
      <c r="UNS3" s="59"/>
      <c r="UNT3" s="59"/>
      <c r="UNU3" s="59"/>
      <c r="UNV3" s="59"/>
      <c r="UNW3" s="59"/>
      <c r="UNX3" s="59"/>
      <c r="UNY3" s="59"/>
      <c r="UNZ3" s="59"/>
      <c r="UOA3" s="59"/>
      <c r="UOB3" s="59"/>
      <c r="UOC3" s="59"/>
      <c r="UOD3" s="59"/>
      <c r="UOE3" s="59"/>
      <c r="UOF3" s="59"/>
      <c r="UOG3" s="59"/>
      <c r="UOH3" s="59"/>
      <c r="UOI3" s="59"/>
      <c r="UOJ3" s="59"/>
      <c r="UOK3" s="59"/>
      <c r="UOL3" s="59"/>
      <c r="UOM3" s="59"/>
      <c r="UON3" s="59"/>
      <c r="UOO3" s="59"/>
      <c r="UOP3" s="59"/>
      <c r="UOQ3" s="59"/>
      <c r="UOR3" s="59"/>
      <c r="UOS3" s="59"/>
      <c r="UOT3" s="59"/>
      <c r="UOU3" s="59"/>
      <c r="UOV3" s="59"/>
      <c r="UOW3" s="59"/>
      <c r="UOX3" s="59"/>
      <c r="UOY3" s="59"/>
      <c r="UOZ3" s="59"/>
      <c r="UPA3" s="59"/>
      <c r="UPB3" s="59"/>
      <c r="UPC3" s="59"/>
      <c r="UPD3" s="59"/>
      <c r="UPE3" s="59"/>
      <c r="UPF3" s="59"/>
      <c r="UPG3" s="59"/>
      <c r="UPH3" s="59"/>
      <c r="UPI3" s="59"/>
      <c r="UPJ3" s="59"/>
      <c r="UPK3" s="59"/>
      <c r="UPL3" s="59"/>
      <c r="UPM3" s="59"/>
      <c r="UPN3" s="59"/>
      <c r="UPO3" s="59"/>
      <c r="UPP3" s="59"/>
      <c r="UPQ3" s="59"/>
      <c r="UPR3" s="59"/>
      <c r="UPS3" s="59"/>
      <c r="UPT3" s="59"/>
      <c r="UPU3" s="59"/>
      <c r="UPV3" s="59"/>
      <c r="UPW3" s="59"/>
      <c r="UPX3" s="59"/>
      <c r="UPY3" s="59"/>
      <c r="UPZ3" s="59"/>
      <c r="UQA3" s="59"/>
      <c r="UQB3" s="59"/>
      <c r="UQC3" s="59"/>
      <c r="UQD3" s="59"/>
      <c r="UQE3" s="59"/>
      <c r="UQF3" s="59"/>
      <c r="UQG3" s="59"/>
      <c r="UQH3" s="59"/>
      <c r="UQI3" s="59"/>
      <c r="UQJ3" s="59"/>
      <c r="UQK3" s="59"/>
      <c r="UQL3" s="59"/>
      <c r="UQM3" s="59"/>
      <c r="UQN3" s="59"/>
      <c r="UQO3" s="59"/>
      <c r="UQP3" s="59"/>
      <c r="UQQ3" s="59"/>
      <c r="UQR3" s="59"/>
      <c r="UQS3" s="59"/>
      <c r="UQT3" s="59"/>
      <c r="UQU3" s="59"/>
      <c r="UQV3" s="59"/>
      <c r="UQW3" s="59"/>
      <c r="UQX3" s="59"/>
      <c r="UQY3" s="59"/>
      <c r="UQZ3" s="59"/>
      <c r="URA3" s="59"/>
      <c r="URB3" s="59"/>
      <c r="URC3" s="59"/>
      <c r="URD3" s="59"/>
      <c r="URE3" s="59"/>
      <c r="URF3" s="59"/>
      <c r="URG3" s="59"/>
      <c r="URH3" s="59"/>
      <c r="URI3" s="59"/>
      <c r="URJ3" s="59"/>
      <c r="URK3" s="59"/>
      <c r="URL3" s="59"/>
      <c r="URM3" s="59"/>
      <c r="URN3" s="59"/>
      <c r="URO3" s="59"/>
      <c r="URP3" s="59"/>
      <c r="URQ3" s="59"/>
      <c r="URR3" s="59"/>
      <c r="URS3" s="59"/>
      <c r="URT3" s="59"/>
      <c r="URU3" s="59"/>
      <c r="URV3" s="59"/>
      <c r="URW3" s="59"/>
      <c r="URX3" s="59"/>
      <c r="URY3" s="59"/>
      <c r="URZ3" s="59"/>
      <c r="USA3" s="59"/>
      <c r="USB3" s="59"/>
      <c r="USC3" s="59"/>
      <c r="USD3" s="59"/>
      <c r="USE3" s="59"/>
      <c r="USF3" s="59"/>
      <c r="USG3" s="59"/>
      <c r="USH3" s="59"/>
      <c r="USI3" s="59"/>
      <c r="USJ3" s="59"/>
      <c r="USK3" s="59"/>
      <c r="USL3" s="59"/>
      <c r="USM3" s="59"/>
      <c r="USN3" s="59"/>
      <c r="USO3" s="59"/>
      <c r="USP3" s="59"/>
      <c r="USQ3" s="59"/>
      <c r="USR3" s="59"/>
      <c r="USS3" s="59"/>
      <c r="UST3" s="59"/>
      <c r="USU3" s="59"/>
      <c r="USV3" s="59"/>
      <c r="USW3" s="59"/>
      <c r="USX3" s="59"/>
      <c r="USY3" s="59"/>
      <c r="USZ3" s="59"/>
      <c r="UTA3" s="59"/>
      <c r="UTB3" s="59"/>
      <c r="UTC3" s="59"/>
      <c r="UTD3" s="59"/>
      <c r="UTE3" s="59"/>
      <c r="UTF3" s="59"/>
      <c r="UTG3" s="59"/>
      <c r="UTH3" s="59"/>
      <c r="UTI3" s="59"/>
      <c r="UTJ3" s="59"/>
      <c r="UTK3" s="59"/>
      <c r="UTL3" s="59"/>
      <c r="UTM3" s="59"/>
      <c r="UTN3" s="59"/>
      <c r="UTO3" s="59"/>
      <c r="UTP3" s="59"/>
      <c r="UTQ3" s="59"/>
      <c r="UTR3" s="59"/>
      <c r="UTS3" s="59"/>
      <c r="UTT3" s="59"/>
      <c r="UTU3" s="59"/>
      <c r="UTV3" s="59"/>
      <c r="UTW3" s="59"/>
      <c r="UTX3" s="59"/>
      <c r="UTY3" s="59"/>
      <c r="UTZ3" s="59"/>
      <c r="UUA3" s="59"/>
      <c r="UUB3" s="59"/>
      <c r="UUC3" s="59"/>
      <c r="UUD3" s="59"/>
      <c r="UUE3" s="59"/>
      <c r="UUF3" s="59"/>
      <c r="UUG3" s="59"/>
      <c r="UUH3" s="59"/>
      <c r="UUI3" s="59"/>
      <c r="UUJ3" s="59"/>
      <c r="UUK3" s="59"/>
      <c r="UUL3" s="59"/>
      <c r="UUM3" s="59"/>
      <c r="UUN3" s="59"/>
      <c r="UUO3" s="59"/>
      <c r="UUP3" s="59"/>
      <c r="UUQ3" s="59"/>
      <c r="UUR3" s="59"/>
      <c r="UUS3" s="59"/>
      <c r="UUT3" s="59"/>
      <c r="UUU3" s="59"/>
      <c r="UUV3" s="59"/>
      <c r="UUW3" s="59"/>
      <c r="UUX3" s="59"/>
      <c r="UUY3" s="59"/>
      <c r="UUZ3" s="59"/>
      <c r="UVA3" s="59"/>
      <c r="UVB3" s="59"/>
      <c r="UVC3" s="59"/>
      <c r="UVD3" s="59"/>
      <c r="UVE3" s="59"/>
      <c r="UVF3" s="59"/>
      <c r="UVG3" s="59"/>
      <c r="UVH3" s="59"/>
      <c r="UVI3" s="59"/>
      <c r="UVJ3" s="59"/>
      <c r="UVK3" s="59"/>
      <c r="UVL3" s="59"/>
      <c r="UVM3" s="59"/>
      <c r="UVN3" s="59"/>
      <c r="UVO3" s="59"/>
      <c r="UVP3" s="59"/>
      <c r="UVQ3" s="59"/>
      <c r="UVR3" s="59"/>
      <c r="UVS3" s="59"/>
      <c r="UVT3" s="59"/>
      <c r="UVU3" s="59"/>
      <c r="UVV3" s="59"/>
      <c r="UVW3" s="59"/>
      <c r="UVX3" s="59"/>
      <c r="UVY3" s="59"/>
      <c r="UVZ3" s="59"/>
      <c r="UWA3" s="59"/>
      <c r="UWB3" s="59"/>
      <c r="UWC3" s="59"/>
      <c r="UWD3" s="59"/>
      <c r="UWE3" s="59"/>
      <c r="UWF3" s="59"/>
      <c r="UWG3" s="59"/>
      <c r="UWH3" s="59"/>
      <c r="UWI3" s="59"/>
      <c r="UWJ3" s="59"/>
      <c r="UWK3" s="59"/>
      <c r="UWL3" s="59"/>
      <c r="UWM3" s="59"/>
      <c r="UWN3" s="59"/>
      <c r="UWO3" s="59"/>
      <c r="UWP3" s="59"/>
      <c r="UWQ3" s="59"/>
      <c r="UWR3" s="59"/>
      <c r="UWS3" s="59"/>
      <c r="UWT3" s="59"/>
      <c r="UWU3" s="59"/>
      <c r="UWV3" s="59"/>
      <c r="UWW3" s="59"/>
      <c r="UWX3" s="59"/>
      <c r="UWY3" s="59"/>
      <c r="UWZ3" s="59"/>
      <c r="UXA3" s="59"/>
      <c r="UXB3" s="59"/>
      <c r="UXC3" s="59"/>
      <c r="UXD3" s="59"/>
      <c r="UXE3" s="59"/>
      <c r="UXF3" s="59"/>
      <c r="UXG3" s="59"/>
      <c r="UXH3" s="59"/>
      <c r="UXI3" s="59"/>
      <c r="UXJ3" s="59"/>
      <c r="UXK3" s="59"/>
      <c r="UXL3" s="59"/>
      <c r="UXM3" s="59"/>
      <c r="UXN3" s="59"/>
      <c r="UXO3" s="59"/>
      <c r="UXP3" s="59"/>
      <c r="UXQ3" s="59"/>
      <c r="UXR3" s="59"/>
      <c r="UXS3" s="59"/>
      <c r="UXT3" s="59"/>
      <c r="UXU3" s="59"/>
      <c r="UXV3" s="59"/>
      <c r="UXW3" s="59"/>
      <c r="UXX3" s="59"/>
      <c r="UXY3" s="59"/>
      <c r="UXZ3" s="59"/>
      <c r="UYA3" s="59"/>
      <c r="UYB3" s="59"/>
      <c r="UYC3" s="59"/>
      <c r="UYD3" s="59"/>
      <c r="UYE3" s="59"/>
      <c r="UYF3" s="59"/>
      <c r="UYG3" s="59"/>
      <c r="UYH3" s="59"/>
      <c r="UYI3" s="59"/>
      <c r="UYJ3" s="59"/>
      <c r="UYK3" s="59"/>
      <c r="UYL3" s="59"/>
      <c r="UYM3" s="59"/>
      <c r="UYN3" s="59"/>
      <c r="UYO3" s="59"/>
      <c r="UYP3" s="59"/>
      <c r="UYQ3" s="59"/>
      <c r="UYR3" s="59"/>
      <c r="UYS3" s="59"/>
      <c r="UYT3" s="59"/>
      <c r="UYU3" s="59"/>
      <c r="UYV3" s="59"/>
      <c r="UYW3" s="59"/>
      <c r="UYX3" s="59"/>
      <c r="UYY3" s="59"/>
      <c r="UYZ3" s="59"/>
      <c r="UZA3" s="59"/>
      <c r="UZB3" s="59"/>
      <c r="UZC3" s="59"/>
      <c r="UZD3" s="59"/>
      <c r="UZE3" s="59"/>
      <c r="UZF3" s="59"/>
      <c r="UZG3" s="59"/>
      <c r="UZH3" s="59"/>
      <c r="UZI3" s="59"/>
      <c r="UZJ3" s="59"/>
      <c r="UZK3" s="59"/>
      <c r="UZL3" s="59"/>
      <c r="UZM3" s="59"/>
      <c r="UZN3" s="59"/>
      <c r="UZO3" s="59"/>
      <c r="UZP3" s="59"/>
      <c r="UZQ3" s="59"/>
      <c r="UZR3" s="59"/>
      <c r="UZS3" s="59"/>
      <c r="UZT3" s="59"/>
      <c r="UZU3" s="59"/>
      <c r="UZV3" s="59"/>
      <c r="UZW3" s="59"/>
      <c r="UZX3" s="59"/>
      <c r="UZY3" s="59"/>
      <c r="UZZ3" s="59"/>
      <c r="VAA3" s="59"/>
      <c r="VAB3" s="59"/>
      <c r="VAC3" s="59"/>
      <c r="VAD3" s="59"/>
      <c r="VAE3" s="59"/>
      <c r="VAF3" s="59"/>
      <c r="VAG3" s="59"/>
      <c r="VAH3" s="59"/>
      <c r="VAI3" s="59"/>
      <c r="VAJ3" s="59"/>
      <c r="VAK3" s="59"/>
      <c r="VAL3" s="59"/>
      <c r="VAM3" s="59"/>
      <c r="VAN3" s="59"/>
      <c r="VAO3" s="59"/>
      <c r="VAP3" s="59"/>
      <c r="VAQ3" s="59"/>
      <c r="VAR3" s="59"/>
      <c r="VAS3" s="59"/>
      <c r="VAT3" s="59"/>
      <c r="VAU3" s="59"/>
      <c r="VAV3" s="59"/>
      <c r="VAW3" s="59"/>
      <c r="VAX3" s="59"/>
      <c r="VAY3" s="59"/>
      <c r="VAZ3" s="59"/>
      <c r="VBA3" s="59"/>
      <c r="VBB3" s="59"/>
      <c r="VBC3" s="59"/>
      <c r="VBD3" s="59"/>
      <c r="VBE3" s="59"/>
      <c r="VBF3" s="59"/>
      <c r="VBG3" s="59"/>
      <c r="VBH3" s="59"/>
      <c r="VBI3" s="59"/>
      <c r="VBJ3" s="59"/>
      <c r="VBK3" s="59"/>
      <c r="VBL3" s="59"/>
      <c r="VBM3" s="59"/>
      <c r="VBN3" s="59"/>
      <c r="VBO3" s="59"/>
      <c r="VBP3" s="59"/>
      <c r="VBQ3" s="59"/>
      <c r="VBR3" s="59"/>
      <c r="VBS3" s="59"/>
      <c r="VBT3" s="59"/>
      <c r="VBU3" s="59"/>
      <c r="VBV3" s="59"/>
      <c r="VBW3" s="59"/>
      <c r="VBX3" s="59"/>
      <c r="VBY3" s="59"/>
      <c r="VBZ3" s="59"/>
      <c r="VCA3" s="59"/>
      <c r="VCB3" s="59"/>
      <c r="VCC3" s="59"/>
      <c r="VCD3" s="59"/>
      <c r="VCE3" s="59"/>
      <c r="VCF3" s="59"/>
      <c r="VCG3" s="59"/>
      <c r="VCH3" s="59"/>
      <c r="VCI3" s="59"/>
      <c r="VCJ3" s="59"/>
      <c r="VCK3" s="59"/>
      <c r="VCL3" s="59"/>
      <c r="VCM3" s="59"/>
      <c r="VCN3" s="59"/>
      <c r="VCO3" s="59"/>
      <c r="VCP3" s="59"/>
      <c r="VCQ3" s="59"/>
      <c r="VCR3" s="59"/>
      <c r="VCS3" s="59"/>
      <c r="VCT3" s="59"/>
      <c r="VCU3" s="59"/>
      <c r="VCV3" s="59"/>
      <c r="VCW3" s="59"/>
      <c r="VCX3" s="59"/>
      <c r="VCY3" s="59"/>
      <c r="VCZ3" s="59"/>
      <c r="VDA3" s="59"/>
      <c r="VDB3" s="59"/>
      <c r="VDC3" s="59"/>
      <c r="VDD3" s="59"/>
      <c r="VDE3" s="59"/>
      <c r="VDF3" s="59"/>
      <c r="VDG3" s="59"/>
      <c r="VDH3" s="59"/>
      <c r="VDI3" s="59"/>
      <c r="VDJ3" s="59"/>
      <c r="VDK3" s="59"/>
      <c r="VDL3" s="59"/>
      <c r="VDM3" s="59"/>
      <c r="VDN3" s="59"/>
      <c r="VDO3" s="59"/>
      <c r="VDP3" s="59"/>
      <c r="VDQ3" s="59"/>
      <c r="VDR3" s="59"/>
      <c r="VDS3" s="59"/>
      <c r="VDT3" s="59"/>
      <c r="VDU3" s="59"/>
      <c r="VDV3" s="59"/>
      <c r="VDW3" s="59"/>
      <c r="VDX3" s="59"/>
      <c r="VDY3" s="59"/>
      <c r="VDZ3" s="59"/>
      <c r="VEA3" s="59"/>
      <c r="VEB3" s="59"/>
      <c r="VEC3" s="59"/>
      <c r="VED3" s="59"/>
      <c r="VEE3" s="59"/>
      <c r="VEF3" s="59"/>
      <c r="VEG3" s="59"/>
      <c r="VEH3" s="59"/>
      <c r="VEI3" s="59"/>
      <c r="VEJ3" s="59"/>
      <c r="VEK3" s="59"/>
      <c r="VEL3" s="59"/>
      <c r="VEM3" s="59"/>
      <c r="VEN3" s="59"/>
      <c r="VEO3" s="59"/>
      <c r="VEP3" s="59"/>
      <c r="VEQ3" s="59"/>
      <c r="VER3" s="59"/>
      <c r="VES3" s="59"/>
      <c r="VET3" s="59"/>
      <c r="VEU3" s="59"/>
      <c r="VEV3" s="59"/>
      <c r="VEW3" s="59"/>
      <c r="VEX3" s="59"/>
      <c r="VEY3" s="59"/>
      <c r="VEZ3" s="59"/>
      <c r="VFA3" s="59"/>
      <c r="VFB3" s="59"/>
      <c r="VFC3" s="59"/>
      <c r="VFD3" s="59"/>
      <c r="VFE3" s="59"/>
      <c r="VFF3" s="59"/>
      <c r="VFG3" s="59"/>
      <c r="VFH3" s="59"/>
      <c r="VFI3" s="59"/>
      <c r="VFJ3" s="59"/>
      <c r="VFK3" s="59"/>
      <c r="VFL3" s="59"/>
      <c r="VFM3" s="59"/>
      <c r="VFN3" s="59"/>
      <c r="VFO3" s="59"/>
      <c r="VFP3" s="59"/>
      <c r="VFQ3" s="59"/>
      <c r="VFR3" s="59"/>
      <c r="VFS3" s="59"/>
      <c r="VFT3" s="59"/>
      <c r="VFU3" s="59"/>
      <c r="VFV3" s="59"/>
      <c r="VFW3" s="59"/>
      <c r="VFX3" s="59"/>
      <c r="VFY3" s="59"/>
      <c r="VFZ3" s="59"/>
      <c r="VGA3" s="59"/>
      <c r="VGB3" s="59"/>
      <c r="VGC3" s="59"/>
      <c r="VGD3" s="59"/>
      <c r="VGE3" s="59"/>
      <c r="VGF3" s="59"/>
      <c r="VGG3" s="59"/>
      <c r="VGH3" s="59"/>
      <c r="VGI3" s="59"/>
      <c r="VGJ3" s="59"/>
      <c r="VGK3" s="59"/>
      <c r="VGL3" s="59"/>
      <c r="VGM3" s="59"/>
      <c r="VGN3" s="59"/>
      <c r="VGO3" s="59"/>
      <c r="VGP3" s="59"/>
      <c r="VGQ3" s="59"/>
      <c r="VGR3" s="59"/>
      <c r="VGS3" s="59"/>
      <c r="VGT3" s="59"/>
      <c r="VGU3" s="59"/>
      <c r="VGV3" s="59"/>
      <c r="VGW3" s="59"/>
      <c r="VGX3" s="59"/>
      <c r="VGY3" s="59"/>
      <c r="VGZ3" s="59"/>
      <c r="VHA3" s="59"/>
      <c r="VHB3" s="59"/>
      <c r="VHC3" s="59"/>
      <c r="VHD3" s="59"/>
      <c r="VHE3" s="59"/>
      <c r="VHF3" s="59"/>
      <c r="VHG3" s="59"/>
      <c r="VHH3" s="59"/>
      <c r="VHI3" s="59"/>
      <c r="VHJ3" s="59"/>
      <c r="VHK3" s="59"/>
      <c r="VHL3" s="59"/>
      <c r="VHM3" s="59"/>
      <c r="VHN3" s="59"/>
      <c r="VHO3" s="59"/>
      <c r="VHP3" s="59"/>
      <c r="VHQ3" s="59"/>
      <c r="VHR3" s="59"/>
      <c r="VHS3" s="59"/>
      <c r="VHT3" s="59"/>
      <c r="VHU3" s="59"/>
      <c r="VHV3" s="59"/>
      <c r="VHW3" s="59"/>
      <c r="VHX3" s="59"/>
      <c r="VHY3" s="59"/>
      <c r="VHZ3" s="59"/>
      <c r="VIA3" s="59"/>
      <c r="VIB3" s="59"/>
      <c r="VIC3" s="59"/>
      <c r="VID3" s="59"/>
      <c r="VIE3" s="59"/>
      <c r="VIF3" s="59"/>
      <c r="VIG3" s="59"/>
      <c r="VIH3" s="59"/>
      <c r="VII3" s="59"/>
      <c r="VIJ3" s="59"/>
      <c r="VIK3" s="59"/>
      <c r="VIL3" s="59"/>
      <c r="VIM3" s="59"/>
      <c r="VIN3" s="59"/>
      <c r="VIO3" s="59"/>
      <c r="VIP3" s="59"/>
      <c r="VIQ3" s="59"/>
      <c r="VIR3" s="59"/>
      <c r="VIS3" s="59"/>
      <c r="VIT3" s="59"/>
      <c r="VIU3" s="59"/>
      <c r="VIV3" s="59"/>
      <c r="VIW3" s="59"/>
      <c r="VIX3" s="59"/>
      <c r="VIY3" s="59"/>
      <c r="VIZ3" s="59"/>
      <c r="VJA3" s="59"/>
      <c r="VJB3" s="59"/>
      <c r="VJC3" s="59"/>
      <c r="VJD3" s="59"/>
      <c r="VJE3" s="59"/>
      <c r="VJF3" s="59"/>
      <c r="VJG3" s="59"/>
      <c r="VJH3" s="59"/>
      <c r="VJI3" s="59"/>
      <c r="VJJ3" s="59"/>
      <c r="VJK3" s="59"/>
      <c r="VJL3" s="59"/>
      <c r="VJM3" s="59"/>
      <c r="VJN3" s="59"/>
      <c r="VJO3" s="59"/>
      <c r="VJP3" s="59"/>
      <c r="VJQ3" s="59"/>
      <c r="VJR3" s="59"/>
      <c r="VJS3" s="59"/>
      <c r="VJT3" s="59"/>
      <c r="VJU3" s="59"/>
      <c r="VJV3" s="59"/>
      <c r="VJW3" s="59"/>
      <c r="VJX3" s="59"/>
      <c r="VJY3" s="59"/>
      <c r="VJZ3" s="59"/>
      <c r="VKA3" s="59"/>
      <c r="VKB3" s="59"/>
      <c r="VKC3" s="59"/>
      <c r="VKD3" s="59"/>
      <c r="VKE3" s="59"/>
      <c r="VKF3" s="59"/>
      <c r="VKG3" s="59"/>
      <c r="VKH3" s="59"/>
      <c r="VKI3" s="59"/>
      <c r="VKJ3" s="59"/>
      <c r="VKK3" s="59"/>
      <c r="VKL3" s="59"/>
      <c r="VKM3" s="59"/>
      <c r="VKN3" s="59"/>
      <c r="VKO3" s="59"/>
      <c r="VKP3" s="59"/>
      <c r="VKQ3" s="59"/>
      <c r="VKR3" s="59"/>
      <c r="VKS3" s="59"/>
      <c r="VKT3" s="59"/>
      <c r="VKU3" s="59"/>
      <c r="VKV3" s="59"/>
      <c r="VKW3" s="59"/>
      <c r="VKX3" s="59"/>
      <c r="VKY3" s="59"/>
      <c r="VKZ3" s="59"/>
      <c r="VLA3" s="59"/>
      <c r="VLB3" s="59"/>
      <c r="VLC3" s="59"/>
      <c r="VLD3" s="59"/>
      <c r="VLE3" s="59"/>
      <c r="VLF3" s="59"/>
      <c r="VLG3" s="59"/>
      <c r="VLH3" s="59"/>
      <c r="VLI3" s="59"/>
      <c r="VLJ3" s="59"/>
      <c r="VLK3" s="59"/>
      <c r="VLL3" s="59"/>
      <c r="VLM3" s="59"/>
      <c r="VLN3" s="59"/>
      <c r="VLO3" s="59"/>
      <c r="VLP3" s="59"/>
      <c r="VLQ3" s="59"/>
      <c r="VLR3" s="59"/>
      <c r="VLS3" s="59"/>
      <c r="VLT3" s="59"/>
      <c r="VLU3" s="59"/>
      <c r="VLV3" s="59"/>
      <c r="VLW3" s="59"/>
      <c r="VLX3" s="59"/>
      <c r="VLY3" s="59"/>
      <c r="VLZ3" s="59"/>
      <c r="VMA3" s="59"/>
      <c r="VMB3" s="59"/>
      <c r="VMC3" s="59"/>
      <c r="VMD3" s="59"/>
      <c r="VME3" s="59"/>
      <c r="VMF3" s="59"/>
      <c r="VMG3" s="59"/>
      <c r="VMH3" s="59"/>
      <c r="VMI3" s="59"/>
      <c r="VMJ3" s="59"/>
      <c r="VMK3" s="59"/>
      <c r="VML3" s="59"/>
      <c r="VMM3" s="59"/>
      <c r="VMN3" s="59"/>
      <c r="VMO3" s="59"/>
      <c r="VMP3" s="59"/>
      <c r="VMQ3" s="59"/>
      <c r="VMR3" s="59"/>
      <c r="VMS3" s="59"/>
      <c r="VMT3" s="59"/>
      <c r="VMU3" s="59"/>
      <c r="VMV3" s="59"/>
      <c r="VMW3" s="59"/>
      <c r="VMX3" s="59"/>
      <c r="VMY3" s="59"/>
      <c r="VMZ3" s="59"/>
      <c r="VNA3" s="59"/>
      <c r="VNB3" s="59"/>
      <c r="VNC3" s="59"/>
      <c r="VND3" s="59"/>
      <c r="VNE3" s="59"/>
      <c r="VNF3" s="59"/>
      <c r="VNG3" s="59"/>
      <c r="VNH3" s="59"/>
      <c r="VNI3" s="59"/>
      <c r="VNJ3" s="59"/>
      <c r="VNK3" s="59"/>
      <c r="VNL3" s="59"/>
      <c r="VNM3" s="59"/>
      <c r="VNN3" s="59"/>
      <c r="VNO3" s="59"/>
      <c r="VNP3" s="59"/>
      <c r="VNQ3" s="59"/>
      <c r="VNR3" s="59"/>
      <c r="VNS3" s="59"/>
      <c r="VNT3" s="59"/>
      <c r="VNU3" s="59"/>
      <c r="VNV3" s="59"/>
      <c r="VNW3" s="59"/>
      <c r="VNX3" s="59"/>
      <c r="VNY3" s="59"/>
      <c r="VNZ3" s="59"/>
      <c r="VOA3" s="59"/>
      <c r="VOB3" s="59"/>
      <c r="VOC3" s="59"/>
      <c r="VOD3" s="59"/>
      <c r="VOE3" s="59"/>
      <c r="VOF3" s="59"/>
      <c r="VOG3" s="59"/>
      <c r="VOH3" s="59"/>
      <c r="VOI3" s="59"/>
      <c r="VOJ3" s="59"/>
      <c r="VOK3" s="59"/>
      <c r="VOL3" s="59"/>
      <c r="VOM3" s="59"/>
      <c r="VON3" s="59"/>
      <c r="VOO3" s="59"/>
      <c r="VOP3" s="59"/>
      <c r="VOQ3" s="59"/>
      <c r="VOR3" s="59"/>
      <c r="VOS3" s="59"/>
      <c r="VOT3" s="59"/>
      <c r="VOU3" s="59"/>
      <c r="VOV3" s="59"/>
      <c r="VOW3" s="59"/>
      <c r="VOX3" s="59"/>
      <c r="VOY3" s="59"/>
      <c r="VOZ3" s="59"/>
      <c r="VPA3" s="59"/>
      <c r="VPB3" s="59"/>
      <c r="VPC3" s="59"/>
      <c r="VPD3" s="59"/>
      <c r="VPE3" s="59"/>
      <c r="VPF3" s="59"/>
      <c r="VPG3" s="59"/>
      <c r="VPH3" s="59"/>
      <c r="VPI3" s="59"/>
      <c r="VPJ3" s="59"/>
      <c r="VPK3" s="59"/>
      <c r="VPL3" s="59"/>
      <c r="VPM3" s="59"/>
      <c r="VPN3" s="59"/>
      <c r="VPO3" s="59"/>
      <c r="VPP3" s="59"/>
      <c r="VPQ3" s="59"/>
      <c r="VPR3" s="59"/>
      <c r="VPS3" s="59"/>
      <c r="VPT3" s="59"/>
      <c r="VPU3" s="59"/>
      <c r="VPV3" s="59"/>
      <c r="VPW3" s="59"/>
      <c r="VPX3" s="59"/>
      <c r="VPY3" s="59"/>
      <c r="VPZ3" s="59"/>
      <c r="VQA3" s="59"/>
      <c r="VQB3" s="59"/>
      <c r="VQC3" s="59"/>
      <c r="VQD3" s="59"/>
      <c r="VQE3" s="59"/>
      <c r="VQF3" s="59"/>
      <c r="VQG3" s="59"/>
      <c r="VQH3" s="59"/>
      <c r="VQI3" s="59"/>
      <c r="VQJ3" s="59"/>
      <c r="VQK3" s="59"/>
      <c r="VQL3" s="59"/>
      <c r="VQM3" s="59"/>
      <c r="VQN3" s="59"/>
      <c r="VQO3" s="59"/>
      <c r="VQP3" s="59"/>
      <c r="VQQ3" s="59"/>
      <c r="VQR3" s="59"/>
      <c r="VQS3" s="59"/>
      <c r="VQT3" s="59"/>
      <c r="VQU3" s="59"/>
      <c r="VQV3" s="59"/>
      <c r="VQW3" s="59"/>
      <c r="VQX3" s="59"/>
      <c r="VQY3" s="59"/>
      <c r="VQZ3" s="59"/>
      <c r="VRA3" s="59"/>
      <c r="VRB3" s="59"/>
      <c r="VRC3" s="59"/>
      <c r="VRD3" s="59"/>
      <c r="VRE3" s="59"/>
      <c r="VRF3" s="59"/>
      <c r="VRG3" s="59"/>
      <c r="VRH3" s="59"/>
      <c r="VRI3" s="59"/>
      <c r="VRJ3" s="59"/>
      <c r="VRK3" s="59"/>
      <c r="VRL3" s="59"/>
      <c r="VRM3" s="59"/>
      <c r="VRN3" s="59"/>
      <c r="VRO3" s="59"/>
      <c r="VRP3" s="59"/>
      <c r="VRQ3" s="59"/>
      <c r="VRR3" s="59"/>
      <c r="VRS3" s="59"/>
      <c r="VRT3" s="59"/>
      <c r="VRU3" s="59"/>
      <c r="VRV3" s="59"/>
      <c r="VRW3" s="59"/>
      <c r="VRX3" s="59"/>
      <c r="VRY3" s="59"/>
      <c r="VRZ3" s="59"/>
      <c r="VSA3" s="59"/>
      <c r="VSB3" s="59"/>
      <c r="VSC3" s="59"/>
      <c r="VSD3" s="59"/>
      <c r="VSE3" s="59"/>
      <c r="VSF3" s="59"/>
      <c r="VSG3" s="59"/>
      <c r="VSH3" s="59"/>
      <c r="VSI3" s="59"/>
      <c r="VSJ3" s="59"/>
      <c r="VSK3" s="59"/>
      <c r="VSL3" s="59"/>
      <c r="VSM3" s="59"/>
      <c r="VSN3" s="59"/>
      <c r="VSO3" s="59"/>
      <c r="VSP3" s="59"/>
      <c r="VSQ3" s="59"/>
      <c r="VSR3" s="59"/>
      <c r="VSS3" s="59"/>
      <c r="VST3" s="59"/>
      <c r="VSU3" s="59"/>
      <c r="VSV3" s="59"/>
      <c r="VSW3" s="59"/>
      <c r="VSX3" s="59"/>
      <c r="VSY3" s="59"/>
      <c r="VSZ3" s="59"/>
      <c r="VTA3" s="59"/>
      <c r="VTB3" s="59"/>
      <c r="VTC3" s="59"/>
      <c r="VTD3" s="59"/>
      <c r="VTE3" s="59"/>
      <c r="VTF3" s="59"/>
      <c r="VTG3" s="59"/>
      <c r="VTH3" s="59"/>
      <c r="VTI3" s="59"/>
      <c r="VTJ3" s="59"/>
      <c r="VTK3" s="59"/>
      <c r="VTL3" s="59"/>
      <c r="VTM3" s="59"/>
      <c r="VTN3" s="59"/>
      <c r="VTO3" s="59"/>
      <c r="VTP3" s="59"/>
      <c r="VTQ3" s="59"/>
      <c r="VTR3" s="59"/>
      <c r="VTS3" s="59"/>
      <c r="VTT3" s="59"/>
      <c r="VTU3" s="59"/>
      <c r="VTV3" s="59"/>
      <c r="VTW3" s="59"/>
      <c r="VTX3" s="59"/>
      <c r="VTY3" s="59"/>
      <c r="VTZ3" s="59"/>
      <c r="VUA3" s="59"/>
      <c r="VUB3" s="59"/>
      <c r="VUC3" s="59"/>
      <c r="VUD3" s="59"/>
      <c r="VUE3" s="59"/>
      <c r="VUF3" s="59"/>
      <c r="VUG3" s="59"/>
      <c r="VUH3" s="59"/>
      <c r="VUI3" s="59"/>
      <c r="VUJ3" s="59"/>
      <c r="VUK3" s="59"/>
      <c r="VUL3" s="59"/>
      <c r="VUM3" s="59"/>
      <c r="VUN3" s="59"/>
      <c r="VUO3" s="59"/>
      <c r="VUP3" s="59"/>
      <c r="VUQ3" s="59"/>
      <c r="VUR3" s="59"/>
      <c r="VUS3" s="59"/>
      <c r="VUT3" s="59"/>
      <c r="VUU3" s="59"/>
      <c r="VUV3" s="59"/>
      <c r="VUW3" s="59"/>
      <c r="VUX3" s="59"/>
      <c r="VUY3" s="59"/>
      <c r="VUZ3" s="59"/>
      <c r="VVA3" s="59"/>
      <c r="VVB3" s="59"/>
      <c r="VVC3" s="59"/>
      <c r="VVD3" s="59"/>
      <c r="VVE3" s="59"/>
      <c r="VVF3" s="59"/>
      <c r="VVG3" s="59"/>
      <c r="VVH3" s="59"/>
      <c r="VVI3" s="59"/>
      <c r="VVJ3" s="59"/>
      <c r="VVK3" s="59"/>
      <c r="VVL3" s="59"/>
      <c r="VVM3" s="59"/>
      <c r="VVN3" s="59"/>
      <c r="VVO3" s="59"/>
      <c r="VVP3" s="59"/>
      <c r="VVQ3" s="59"/>
      <c r="VVR3" s="59"/>
      <c r="VVS3" s="59"/>
      <c r="VVT3" s="59"/>
      <c r="VVU3" s="59"/>
      <c r="VVV3" s="59"/>
      <c r="VVW3" s="59"/>
      <c r="VVX3" s="59"/>
      <c r="VVY3" s="59"/>
      <c r="VVZ3" s="59"/>
      <c r="VWA3" s="59"/>
      <c r="VWB3" s="59"/>
      <c r="VWC3" s="59"/>
      <c r="VWD3" s="59"/>
      <c r="VWE3" s="59"/>
      <c r="VWF3" s="59"/>
      <c r="VWG3" s="59"/>
      <c r="VWH3" s="59"/>
      <c r="VWI3" s="59"/>
      <c r="VWJ3" s="59"/>
      <c r="VWK3" s="59"/>
      <c r="VWL3" s="59"/>
      <c r="VWM3" s="59"/>
      <c r="VWN3" s="59"/>
      <c r="VWO3" s="59"/>
      <c r="VWP3" s="59"/>
      <c r="VWQ3" s="59"/>
      <c r="VWR3" s="59"/>
      <c r="VWS3" s="59"/>
      <c r="VWT3" s="59"/>
      <c r="VWU3" s="59"/>
      <c r="VWV3" s="59"/>
      <c r="VWW3" s="59"/>
      <c r="VWX3" s="59"/>
      <c r="VWY3" s="59"/>
      <c r="VWZ3" s="59"/>
      <c r="VXA3" s="59"/>
      <c r="VXB3" s="59"/>
      <c r="VXC3" s="59"/>
      <c r="VXD3" s="59"/>
      <c r="VXE3" s="59"/>
      <c r="VXF3" s="59"/>
      <c r="VXG3" s="59"/>
      <c r="VXH3" s="59"/>
      <c r="VXI3" s="59"/>
      <c r="VXJ3" s="59"/>
      <c r="VXK3" s="59"/>
      <c r="VXL3" s="59"/>
      <c r="VXM3" s="59"/>
      <c r="VXN3" s="59"/>
      <c r="VXO3" s="59"/>
      <c r="VXP3" s="59"/>
      <c r="VXQ3" s="59"/>
      <c r="VXR3" s="59"/>
      <c r="VXS3" s="59"/>
      <c r="VXT3" s="59"/>
      <c r="VXU3" s="59"/>
      <c r="VXV3" s="59"/>
      <c r="VXW3" s="59"/>
      <c r="VXX3" s="59"/>
      <c r="VXY3" s="59"/>
      <c r="VXZ3" s="59"/>
      <c r="VYA3" s="59"/>
      <c r="VYB3" s="59"/>
      <c r="VYC3" s="59"/>
      <c r="VYD3" s="59"/>
      <c r="VYE3" s="59"/>
      <c r="VYF3" s="59"/>
      <c r="VYG3" s="59"/>
      <c r="VYH3" s="59"/>
      <c r="VYI3" s="59"/>
      <c r="VYJ3" s="59"/>
      <c r="VYK3" s="59"/>
      <c r="VYL3" s="59"/>
      <c r="VYM3" s="59"/>
      <c r="VYN3" s="59"/>
      <c r="VYO3" s="59"/>
      <c r="VYP3" s="59"/>
      <c r="VYQ3" s="59"/>
      <c r="VYR3" s="59"/>
      <c r="VYS3" s="59"/>
      <c r="VYT3" s="59"/>
      <c r="VYU3" s="59"/>
      <c r="VYV3" s="59"/>
      <c r="VYW3" s="59"/>
      <c r="VYX3" s="59"/>
      <c r="VYY3" s="59"/>
      <c r="VYZ3" s="59"/>
      <c r="VZA3" s="59"/>
      <c r="VZB3" s="59"/>
      <c r="VZC3" s="59"/>
      <c r="VZD3" s="59"/>
      <c r="VZE3" s="59"/>
      <c r="VZF3" s="59"/>
      <c r="VZG3" s="59"/>
      <c r="VZH3" s="59"/>
      <c r="VZI3" s="59"/>
      <c r="VZJ3" s="59"/>
      <c r="VZK3" s="59"/>
      <c r="VZL3" s="59"/>
      <c r="VZM3" s="59"/>
      <c r="VZN3" s="59"/>
      <c r="VZO3" s="59"/>
      <c r="VZP3" s="59"/>
      <c r="VZQ3" s="59"/>
      <c r="VZR3" s="59"/>
      <c r="VZS3" s="59"/>
      <c r="VZT3" s="59"/>
      <c r="VZU3" s="59"/>
      <c r="VZV3" s="59"/>
      <c r="VZW3" s="59"/>
      <c r="VZX3" s="59"/>
      <c r="VZY3" s="59"/>
      <c r="VZZ3" s="59"/>
      <c r="WAA3" s="59"/>
      <c r="WAB3" s="59"/>
      <c r="WAC3" s="59"/>
      <c r="WAD3" s="59"/>
      <c r="WAE3" s="59"/>
      <c r="WAF3" s="59"/>
      <c r="WAG3" s="59"/>
      <c r="WAH3" s="59"/>
      <c r="WAI3" s="59"/>
      <c r="WAJ3" s="59"/>
      <c r="WAK3" s="59"/>
      <c r="WAL3" s="59"/>
      <c r="WAM3" s="59"/>
      <c r="WAN3" s="59"/>
      <c r="WAO3" s="59"/>
      <c r="WAP3" s="59"/>
      <c r="WAQ3" s="59"/>
      <c r="WAR3" s="59"/>
      <c r="WAS3" s="59"/>
      <c r="WAT3" s="59"/>
      <c r="WAU3" s="59"/>
      <c r="WAV3" s="59"/>
      <c r="WAW3" s="59"/>
      <c r="WAX3" s="59"/>
      <c r="WAY3" s="59"/>
      <c r="WAZ3" s="59"/>
      <c r="WBA3" s="59"/>
      <c r="WBB3" s="59"/>
      <c r="WBC3" s="59"/>
      <c r="WBD3" s="59"/>
      <c r="WBE3" s="59"/>
      <c r="WBF3" s="59"/>
      <c r="WBG3" s="59"/>
      <c r="WBH3" s="59"/>
      <c r="WBI3" s="59"/>
      <c r="WBJ3" s="59"/>
      <c r="WBK3" s="59"/>
      <c r="WBL3" s="59"/>
      <c r="WBM3" s="59"/>
      <c r="WBN3" s="59"/>
      <c r="WBO3" s="59"/>
      <c r="WBP3" s="59"/>
      <c r="WBQ3" s="59"/>
      <c r="WBR3" s="59"/>
      <c r="WBS3" s="59"/>
      <c r="WBT3" s="59"/>
      <c r="WBU3" s="59"/>
      <c r="WBV3" s="59"/>
      <c r="WBW3" s="59"/>
      <c r="WBX3" s="59"/>
      <c r="WBY3" s="59"/>
      <c r="WBZ3" s="59"/>
      <c r="WCA3" s="59"/>
      <c r="WCB3" s="59"/>
      <c r="WCC3" s="59"/>
      <c r="WCD3" s="59"/>
      <c r="WCE3" s="59"/>
      <c r="WCF3" s="59"/>
      <c r="WCG3" s="59"/>
      <c r="WCH3" s="59"/>
      <c r="WCI3" s="59"/>
      <c r="WCJ3" s="59"/>
      <c r="WCK3" s="59"/>
      <c r="WCL3" s="59"/>
      <c r="WCM3" s="59"/>
      <c r="WCN3" s="59"/>
      <c r="WCO3" s="59"/>
      <c r="WCP3" s="59"/>
      <c r="WCQ3" s="59"/>
      <c r="WCR3" s="59"/>
      <c r="WCS3" s="59"/>
      <c r="WCT3" s="59"/>
      <c r="WCU3" s="59"/>
      <c r="WCV3" s="59"/>
      <c r="WCW3" s="59"/>
      <c r="WCX3" s="59"/>
      <c r="WCY3" s="59"/>
      <c r="WCZ3" s="59"/>
      <c r="WDA3" s="59"/>
      <c r="WDB3" s="59"/>
      <c r="WDC3" s="59"/>
      <c r="WDD3" s="59"/>
      <c r="WDE3" s="59"/>
      <c r="WDF3" s="59"/>
      <c r="WDG3" s="59"/>
      <c r="WDH3" s="59"/>
      <c r="WDI3" s="59"/>
      <c r="WDJ3" s="59"/>
      <c r="WDK3" s="59"/>
      <c r="WDL3" s="59"/>
      <c r="WDM3" s="59"/>
      <c r="WDN3" s="59"/>
      <c r="WDO3" s="59"/>
      <c r="WDP3" s="59"/>
      <c r="WDQ3" s="59"/>
      <c r="WDR3" s="59"/>
      <c r="WDS3" s="59"/>
      <c r="WDT3" s="59"/>
      <c r="WDU3" s="59"/>
      <c r="WDV3" s="59"/>
      <c r="WDW3" s="59"/>
      <c r="WDX3" s="59"/>
      <c r="WDY3" s="59"/>
      <c r="WDZ3" s="59"/>
      <c r="WEA3" s="59"/>
      <c r="WEB3" s="59"/>
      <c r="WEC3" s="59"/>
      <c r="WED3" s="59"/>
      <c r="WEE3" s="59"/>
      <c r="WEF3" s="59"/>
      <c r="WEG3" s="59"/>
      <c r="WEH3" s="59"/>
      <c r="WEI3" s="59"/>
      <c r="WEJ3" s="59"/>
      <c r="WEK3" s="59"/>
      <c r="WEL3" s="59"/>
      <c r="WEM3" s="59"/>
      <c r="WEN3" s="59"/>
      <c r="WEO3" s="59"/>
      <c r="WEP3" s="59"/>
      <c r="WEQ3" s="59"/>
      <c r="WER3" s="59"/>
      <c r="WES3" s="59"/>
      <c r="WET3" s="59"/>
      <c r="WEU3" s="59"/>
      <c r="WEV3" s="59"/>
      <c r="WEW3" s="59"/>
      <c r="WEX3" s="59"/>
      <c r="WEY3" s="59"/>
      <c r="WEZ3" s="59"/>
      <c r="WFA3" s="59"/>
      <c r="WFB3" s="59"/>
      <c r="WFC3" s="59"/>
      <c r="WFD3" s="59"/>
      <c r="WFE3" s="59"/>
      <c r="WFF3" s="59"/>
      <c r="WFG3" s="59"/>
      <c r="WFH3" s="59"/>
      <c r="WFI3" s="59"/>
      <c r="WFJ3" s="59"/>
      <c r="WFK3" s="59"/>
      <c r="WFL3" s="59"/>
      <c r="WFM3" s="59"/>
      <c r="WFN3" s="59"/>
      <c r="WFO3" s="59"/>
      <c r="WFP3" s="59"/>
      <c r="WFQ3" s="59"/>
      <c r="WFR3" s="59"/>
      <c r="WFS3" s="59"/>
      <c r="WFT3" s="59"/>
      <c r="WFU3" s="59"/>
      <c r="WFV3" s="59"/>
      <c r="WFW3" s="59"/>
      <c r="WFX3" s="59"/>
      <c r="WFY3" s="59"/>
      <c r="WFZ3" s="59"/>
      <c r="WGA3" s="59"/>
      <c r="WGB3" s="59"/>
      <c r="WGC3" s="59"/>
      <c r="WGD3" s="59"/>
      <c r="WGE3" s="59"/>
      <c r="WGF3" s="59"/>
      <c r="WGG3" s="59"/>
      <c r="WGH3" s="59"/>
      <c r="WGI3" s="59"/>
      <c r="WGJ3" s="59"/>
      <c r="WGK3" s="59"/>
      <c r="WGL3" s="59"/>
      <c r="WGM3" s="59"/>
      <c r="WGN3" s="59"/>
      <c r="WGO3" s="59"/>
      <c r="WGP3" s="59"/>
      <c r="WGQ3" s="59"/>
      <c r="WGR3" s="59"/>
      <c r="WGS3" s="59"/>
      <c r="WGT3" s="59"/>
      <c r="WGU3" s="59"/>
      <c r="WGV3" s="59"/>
      <c r="WGW3" s="59"/>
      <c r="WGX3" s="59"/>
      <c r="WGY3" s="59"/>
      <c r="WGZ3" s="59"/>
      <c r="WHA3" s="59"/>
      <c r="WHB3" s="59"/>
      <c r="WHC3" s="59"/>
      <c r="WHD3" s="59"/>
      <c r="WHE3" s="59"/>
      <c r="WHF3" s="59"/>
      <c r="WHG3" s="59"/>
      <c r="WHH3" s="59"/>
      <c r="WHI3" s="59"/>
      <c r="WHJ3" s="59"/>
      <c r="WHK3" s="59"/>
      <c r="WHL3" s="59"/>
      <c r="WHM3" s="59"/>
      <c r="WHN3" s="59"/>
      <c r="WHO3" s="59"/>
      <c r="WHP3" s="59"/>
      <c r="WHQ3" s="59"/>
      <c r="WHR3" s="59"/>
      <c r="WHS3" s="59"/>
      <c r="WHT3" s="59"/>
      <c r="WHU3" s="59"/>
      <c r="WHV3" s="59"/>
      <c r="WHW3" s="59"/>
      <c r="WHX3" s="59"/>
      <c r="WHY3" s="59"/>
      <c r="WHZ3" s="59"/>
      <c r="WIA3" s="59"/>
      <c r="WIB3" s="59"/>
      <c r="WIC3" s="59"/>
      <c r="WID3" s="59"/>
      <c r="WIE3" s="59"/>
      <c r="WIF3" s="59"/>
      <c r="WIG3" s="59"/>
      <c r="WIH3" s="59"/>
      <c r="WII3" s="59"/>
      <c r="WIJ3" s="59"/>
      <c r="WIK3" s="59"/>
      <c r="WIL3" s="59"/>
      <c r="WIM3" s="59"/>
      <c r="WIN3" s="59"/>
      <c r="WIO3" s="59"/>
      <c r="WIP3" s="59"/>
      <c r="WIQ3" s="59"/>
      <c r="WIR3" s="59"/>
      <c r="WIS3" s="59"/>
      <c r="WIT3" s="59"/>
      <c r="WIU3" s="59"/>
      <c r="WIV3" s="59"/>
      <c r="WIW3" s="59"/>
      <c r="WIX3" s="59"/>
      <c r="WIY3" s="59"/>
      <c r="WIZ3" s="59"/>
      <c r="WJA3" s="59"/>
      <c r="WJB3" s="59"/>
      <c r="WJC3" s="59"/>
      <c r="WJD3" s="59"/>
      <c r="WJE3" s="59"/>
      <c r="WJF3" s="59"/>
      <c r="WJG3" s="59"/>
      <c r="WJH3" s="59"/>
      <c r="WJI3" s="59"/>
      <c r="WJJ3" s="59"/>
      <c r="WJK3" s="59"/>
      <c r="WJL3" s="59"/>
      <c r="WJM3" s="59"/>
      <c r="WJN3" s="59"/>
      <c r="WJO3" s="59"/>
      <c r="WJP3" s="59"/>
      <c r="WJQ3" s="59"/>
      <c r="WJR3" s="59"/>
      <c r="WJS3" s="59"/>
      <c r="WJT3" s="59"/>
      <c r="WJU3" s="59"/>
      <c r="WJV3" s="59"/>
      <c r="WJW3" s="59"/>
      <c r="WJX3" s="59"/>
      <c r="WJY3" s="59"/>
      <c r="WJZ3" s="59"/>
      <c r="WKA3" s="59"/>
      <c r="WKB3" s="59"/>
      <c r="WKC3" s="59"/>
      <c r="WKD3" s="59"/>
      <c r="WKE3" s="59"/>
      <c r="WKF3" s="59"/>
      <c r="WKG3" s="59"/>
      <c r="WKH3" s="59"/>
      <c r="WKI3" s="59"/>
      <c r="WKJ3" s="59"/>
      <c r="WKK3" s="59"/>
      <c r="WKL3" s="59"/>
      <c r="WKM3" s="59"/>
      <c r="WKN3" s="59"/>
      <c r="WKO3" s="59"/>
      <c r="WKP3" s="59"/>
      <c r="WKQ3" s="59"/>
      <c r="WKR3" s="59"/>
      <c r="WKS3" s="59"/>
      <c r="WKT3" s="59"/>
      <c r="WKU3" s="59"/>
      <c r="WKV3" s="59"/>
      <c r="WKW3" s="59"/>
      <c r="WKX3" s="59"/>
      <c r="WKY3" s="59"/>
      <c r="WKZ3" s="59"/>
      <c r="WLA3" s="59"/>
      <c r="WLB3" s="59"/>
      <c r="WLC3" s="59"/>
      <c r="WLD3" s="59"/>
      <c r="WLE3" s="59"/>
      <c r="WLF3" s="59"/>
      <c r="WLG3" s="59"/>
      <c r="WLH3" s="59"/>
      <c r="WLI3" s="59"/>
      <c r="WLJ3" s="59"/>
      <c r="WLK3" s="59"/>
      <c r="WLL3" s="59"/>
      <c r="WLM3" s="59"/>
      <c r="WLN3" s="59"/>
      <c r="WLO3" s="59"/>
      <c r="WLP3" s="59"/>
      <c r="WLQ3" s="59"/>
      <c r="WLR3" s="59"/>
      <c r="WLS3" s="59"/>
      <c r="WLT3" s="59"/>
      <c r="WLU3" s="59"/>
      <c r="WLV3" s="59"/>
      <c r="WLW3" s="59"/>
      <c r="WLX3" s="59"/>
      <c r="WLY3" s="59"/>
      <c r="WLZ3" s="59"/>
      <c r="WMA3" s="59"/>
      <c r="WMB3" s="59"/>
      <c r="WMC3" s="59"/>
      <c r="WMD3" s="59"/>
      <c r="WME3" s="59"/>
      <c r="WMF3" s="59"/>
      <c r="WMG3" s="59"/>
      <c r="WMH3" s="59"/>
      <c r="WMI3" s="59"/>
      <c r="WMJ3" s="59"/>
      <c r="WMK3" s="59"/>
      <c r="WML3" s="59"/>
      <c r="WMM3" s="59"/>
      <c r="WMN3" s="59"/>
      <c r="WMO3" s="59"/>
      <c r="WMP3" s="59"/>
      <c r="WMQ3" s="59"/>
      <c r="WMR3" s="59"/>
      <c r="WMS3" s="59"/>
      <c r="WMT3" s="59"/>
      <c r="WMU3" s="59"/>
      <c r="WMV3" s="59"/>
      <c r="WMW3" s="59"/>
      <c r="WMX3" s="59"/>
      <c r="WMY3" s="59"/>
      <c r="WMZ3" s="59"/>
      <c r="WNA3" s="59"/>
      <c r="WNB3" s="59"/>
      <c r="WNC3" s="59"/>
      <c r="WND3" s="59"/>
      <c r="WNE3" s="59"/>
      <c r="WNF3" s="59"/>
      <c r="WNG3" s="59"/>
      <c r="WNH3" s="59"/>
      <c r="WNI3" s="59"/>
      <c r="WNJ3" s="59"/>
      <c r="WNK3" s="59"/>
      <c r="WNL3" s="59"/>
      <c r="WNM3" s="59"/>
      <c r="WNN3" s="59"/>
      <c r="WNO3" s="59"/>
      <c r="WNP3" s="59"/>
      <c r="WNQ3" s="59"/>
      <c r="WNR3" s="59"/>
      <c r="WNS3" s="59"/>
      <c r="WNT3" s="59"/>
      <c r="WNU3" s="59"/>
      <c r="WNV3" s="59"/>
      <c r="WNW3" s="59"/>
      <c r="WNX3" s="59"/>
      <c r="WNY3" s="59"/>
      <c r="WNZ3" s="59"/>
      <c r="WOA3" s="59"/>
      <c r="WOB3" s="59"/>
      <c r="WOC3" s="59"/>
      <c r="WOD3" s="59"/>
      <c r="WOE3" s="59"/>
      <c r="WOF3" s="59"/>
      <c r="WOG3" s="59"/>
      <c r="WOH3" s="59"/>
      <c r="WOI3" s="59"/>
      <c r="WOJ3" s="59"/>
      <c r="WOK3" s="59"/>
      <c r="WOL3" s="59"/>
      <c r="WOM3" s="59"/>
      <c r="WON3" s="59"/>
      <c r="WOO3" s="59"/>
      <c r="WOP3" s="59"/>
      <c r="WOQ3" s="59"/>
      <c r="WOR3" s="59"/>
      <c r="WOS3" s="59"/>
      <c r="WOT3" s="59"/>
      <c r="WOU3" s="59"/>
      <c r="WOV3" s="59"/>
      <c r="WOW3" s="59"/>
      <c r="WOX3" s="59"/>
      <c r="WOY3" s="59"/>
      <c r="WOZ3" s="59"/>
      <c r="WPA3" s="59"/>
      <c r="WPB3" s="59"/>
      <c r="WPC3" s="59"/>
      <c r="WPD3" s="59"/>
      <c r="WPE3" s="59"/>
      <c r="WPF3" s="59"/>
      <c r="WPG3" s="59"/>
      <c r="WPH3" s="59"/>
      <c r="WPI3" s="59"/>
      <c r="WPJ3" s="59"/>
      <c r="WPK3" s="59"/>
      <c r="WPL3" s="59"/>
      <c r="WPM3" s="59"/>
      <c r="WPN3" s="59"/>
      <c r="WPO3" s="59"/>
      <c r="WPP3" s="59"/>
      <c r="WPQ3" s="59"/>
      <c r="WPR3" s="59"/>
      <c r="WPS3" s="59"/>
      <c r="WPT3" s="59"/>
      <c r="WPU3" s="59"/>
      <c r="WPV3" s="59"/>
      <c r="WPW3" s="59"/>
      <c r="WPX3" s="59"/>
      <c r="WPY3" s="59"/>
      <c r="WPZ3" s="59"/>
      <c r="WQA3" s="59"/>
      <c r="WQB3" s="59"/>
      <c r="WQC3" s="59"/>
      <c r="WQD3" s="59"/>
      <c r="WQE3" s="59"/>
      <c r="WQF3" s="59"/>
      <c r="WQG3" s="59"/>
      <c r="WQH3" s="59"/>
      <c r="WQI3" s="59"/>
      <c r="WQJ3" s="59"/>
      <c r="WQK3" s="59"/>
      <c r="WQL3" s="59"/>
      <c r="WQM3" s="59"/>
      <c r="WQN3" s="59"/>
      <c r="WQO3" s="59"/>
      <c r="WQP3" s="59"/>
      <c r="WQQ3" s="59"/>
      <c r="WQR3" s="59"/>
      <c r="WQS3" s="59"/>
      <c r="WQT3" s="59"/>
      <c r="WQU3" s="59"/>
      <c r="WQV3" s="59"/>
      <c r="WQW3" s="59"/>
      <c r="WQX3" s="59"/>
      <c r="WQY3" s="59"/>
      <c r="WQZ3" s="59"/>
      <c r="WRA3" s="59"/>
      <c r="WRB3" s="59"/>
      <c r="WRC3" s="59"/>
      <c r="WRD3" s="59"/>
      <c r="WRE3" s="59"/>
      <c r="WRF3" s="59"/>
      <c r="WRG3" s="59"/>
      <c r="WRH3" s="59"/>
      <c r="WRI3" s="59"/>
      <c r="WRJ3" s="59"/>
      <c r="WRK3" s="59"/>
      <c r="WRL3" s="59"/>
      <c r="WRM3" s="59"/>
      <c r="WRN3" s="59"/>
      <c r="WRO3" s="59"/>
      <c r="WRP3" s="59"/>
      <c r="WRQ3" s="59"/>
      <c r="WRR3" s="59"/>
      <c r="WRS3" s="59"/>
      <c r="WRT3" s="59"/>
      <c r="WRU3" s="59"/>
      <c r="WRV3" s="59"/>
      <c r="WRW3" s="59"/>
      <c r="WRX3" s="59"/>
      <c r="WRY3" s="59"/>
      <c r="WRZ3" s="59"/>
      <c r="WSA3" s="59"/>
      <c r="WSB3" s="59"/>
      <c r="WSC3" s="59"/>
      <c r="WSD3" s="59"/>
      <c r="WSE3" s="59"/>
      <c r="WSF3" s="59"/>
      <c r="WSG3" s="59"/>
      <c r="WSH3" s="59"/>
      <c r="WSI3" s="59"/>
      <c r="WSJ3" s="59"/>
      <c r="WSK3" s="59"/>
      <c r="WSL3" s="59"/>
      <c r="WSM3" s="59"/>
      <c r="WSN3" s="59"/>
      <c r="WSO3" s="59"/>
      <c r="WSP3" s="59"/>
      <c r="WSQ3" s="59"/>
      <c r="WSR3" s="59"/>
      <c r="WSS3" s="59"/>
      <c r="WST3" s="59"/>
      <c r="WSU3" s="59"/>
      <c r="WSV3" s="59"/>
      <c r="WSW3" s="59"/>
      <c r="WSX3" s="59"/>
      <c r="WSY3" s="59"/>
      <c r="WSZ3" s="59"/>
      <c r="WTA3" s="59"/>
      <c r="WTB3" s="59"/>
      <c r="WTC3" s="59"/>
      <c r="WTD3" s="59"/>
      <c r="WTE3" s="59"/>
      <c r="WTF3" s="59"/>
      <c r="WTG3" s="59"/>
      <c r="WTH3" s="59"/>
      <c r="WTI3" s="59"/>
      <c r="WTJ3" s="59"/>
      <c r="WTK3" s="59"/>
      <c r="WTL3" s="59"/>
      <c r="WTM3" s="59"/>
      <c r="WTN3" s="59"/>
      <c r="WTO3" s="59"/>
      <c r="WTP3" s="59"/>
      <c r="WTQ3" s="59"/>
      <c r="WTR3" s="59"/>
      <c r="WTS3" s="59"/>
      <c r="WTT3" s="59"/>
      <c r="WTU3" s="59"/>
      <c r="WTV3" s="59"/>
      <c r="WTW3" s="59"/>
      <c r="WTX3" s="59"/>
      <c r="WTY3" s="59"/>
      <c r="WTZ3" s="59"/>
      <c r="WUA3" s="59"/>
      <c r="WUB3" s="59"/>
      <c r="WUC3" s="59"/>
      <c r="WUD3" s="59"/>
      <c r="WUE3" s="59"/>
      <c r="WUF3" s="59"/>
      <c r="WUG3" s="59"/>
      <c r="WUH3" s="59"/>
      <c r="WUI3" s="59"/>
      <c r="WUJ3" s="59"/>
      <c r="WUK3" s="59"/>
      <c r="WUL3" s="59"/>
      <c r="WUM3" s="59"/>
      <c r="WUN3" s="59"/>
      <c r="WUO3" s="59"/>
      <c r="WUP3" s="59"/>
      <c r="WUQ3" s="59"/>
      <c r="WUR3" s="59"/>
      <c r="WUS3" s="59"/>
      <c r="WUT3" s="59"/>
      <c r="WUU3" s="59"/>
      <c r="WUV3" s="59"/>
      <c r="WUW3" s="59"/>
      <c r="WUX3" s="59"/>
      <c r="WUY3" s="59"/>
      <c r="WUZ3" s="59"/>
      <c r="WVA3" s="59"/>
      <c r="WVB3" s="59"/>
      <c r="WVC3" s="59"/>
      <c r="WVD3" s="59"/>
      <c r="WVE3" s="59"/>
      <c r="WVF3" s="59"/>
      <c r="WVG3" s="59"/>
      <c r="WVH3" s="59"/>
      <c r="WVI3" s="59"/>
      <c r="WVJ3" s="59"/>
      <c r="WVK3" s="59"/>
      <c r="WVL3" s="59"/>
      <c r="WVM3" s="59"/>
      <c r="WVN3" s="59"/>
      <c r="WVO3" s="59"/>
      <c r="WVP3" s="59"/>
      <c r="WVQ3" s="59"/>
      <c r="WVR3" s="59"/>
      <c r="WVS3" s="59"/>
      <c r="WVT3" s="59"/>
      <c r="WVU3" s="59"/>
      <c r="WVV3" s="59"/>
      <c r="WVW3" s="59"/>
      <c r="WVX3" s="59"/>
      <c r="WVY3" s="59"/>
      <c r="WVZ3" s="59"/>
      <c r="WWA3" s="59"/>
      <c r="WWB3" s="59"/>
      <c r="WWC3" s="59"/>
      <c r="WWD3" s="59"/>
      <c r="WWE3" s="59"/>
      <c r="WWF3" s="59"/>
      <c r="WWG3" s="59"/>
      <c r="WWH3" s="59"/>
      <c r="WWI3" s="59"/>
      <c r="WWJ3" s="59"/>
      <c r="WWK3" s="59"/>
      <c r="WWL3" s="59"/>
      <c r="WWM3" s="59"/>
      <c r="WWN3" s="59"/>
      <c r="WWO3" s="59"/>
      <c r="WWP3" s="59"/>
      <c r="WWQ3" s="59"/>
      <c r="WWR3" s="59"/>
      <c r="WWS3" s="59"/>
      <c r="WWT3" s="59"/>
      <c r="WWU3" s="59"/>
      <c r="WWV3" s="59"/>
      <c r="WWW3" s="59"/>
      <c r="WWX3" s="59"/>
      <c r="WWY3" s="59"/>
      <c r="WWZ3" s="59"/>
      <c r="WXA3" s="59"/>
      <c r="WXB3" s="59"/>
      <c r="WXC3" s="59"/>
      <c r="WXD3" s="59"/>
      <c r="WXE3" s="59"/>
      <c r="WXF3" s="59"/>
      <c r="WXG3" s="59"/>
      <c r="WXH3" s="59"/>
      <c r="WXI3" s="59"/>
      <c r="WXJ3" s="59"/>
      <c r="WXK3" s="59"/>
      <c r="WXL3" s="59"/>
      <c r="WXM3" s="59"/>
      <c r="WXN3" s="59"/>
      <c r="WXO3" s="59"/>
      <c r="WXP3" s="59"/>
      <c r="WXQ3" s="59"/>
      <c r="WXR3" s="59"/>
      <c r="WXS3" s="59"/>
      <c r="WXT3" s="59"/>
      <c r="WXU3" s="59"/>
      <c r="WXV3" s="59"/>
      <c r="WXW3" s="59"/>
      <c r="WXX3" s="59"/>
      <c r="WXY3" s="59"/>
      <c r="WXZ3" s="59"/>
      <c r="WYA3" s="59"/>
      <c r="WYB3" s="59"/>
      <c r="WYC3" s="59"/>
      <c r="WYD3" s="59"/>
      <c r="WYE3" s="59"/>
      <c r="WYF3" s="59"/>
      <c r="WYG3" s="59"/>
      <c r="WYH3" s="59"/>
      <c r="WYI3" s="59"/>
      <c r="WYJ3" s="59"/>
      <c r="WYK3" s="59"/>
      <c r="WYL3" s="59"/>
      <c r="WYM3" s="59"/>
      <c r="WYN3" s="59"/>
      <c r="WYO3" s="59"/>
      <c r="WYP3" s="59"/>
      <c r="WYQ3" s="59"/>
      <c r="WYR3" s="59"/>
      <c r="WYS3" s="59"/>
      <c r="WYT3" s="59"/>
      <c r="WYU3" s="59"/>
      <c r="WYV3" s="59"/>
      <c r="WYW3" s="59"/>
      <c r="WYX3" s="59"/>
      <c r="WYY3" s="59"/>
      <c r="WYZ3" s="59"/>
      <c r="WZA3" s="59"/>
      <c r="WZB3" s="59"/>
      <c r="WZC3" s="59"/>
      <c r="WZD3" s="59"/>
      <c r="WZE3" s="59"/>
      <c r="WZF3" s="59"/>
      <c r="WZG3" s="59"/>
      <c r="WZH3" s="59"/>
      <c r="WZI3" s="59"/>
      <c r="WZJ3" s="59"/>
      <c r="WZK3" s="59"/>
      <c r="WZL3" s="59"/>
      <c r="WZM3" s="59"/>
      <c r="WZN3" s="59"/>
      <c r="WZO3" s="59"/>
      <c r="WZP3" s="59"/>
      <c r="WZQ3" s="59"/>
      <c r="WZR3" s="59"/>
      <c r="WZS3" s="59"/>
      <c r="WZT3" s="59"/>
      <c r="WZU3" s="59"/>
      <c r="WZV3" s="59"/>
      <c r="WZW3" s="59"/>
      <c r="WZX3" s="59"/>
      <c r="WZY3" s="59"/>
      <c r="WZZ3" s="59"/>
      <c r="XAA3" s="59"/>
      <c r="XAB3" s="59"/>
      <c r="XAC3" s="59"/>
      <c r="XAD3" s="59"/>
      <c r="XAE3" s="59"/>
      <c r="XAF3" s="59"/>
      <c r="XAG3" s="59"/>
      <c r="XAH3" s="59"/>
      <c r="XAI3" s="59"/>
      <c r="XAJ3" s="59"/>
      <c r="XAK3" s="59"/>
      <c r="XAL3" s="59"/>
      <c r="XAM3" s="59"/>
      <c r="XAN3" s="59"/>
      <c r="XAO3" s="59"/>
      <c r="XAP3" s="59"/>
      <c r="XAQ3" s="59"/>
      <c r="XAR3" s="59"/>
      <c r="XAS3" s="59"/>
      <c r="XAT3" s="59"/>
      <c r="XAU3" s="59"/>
      <c r="XAV3" s="59"/>
      <c r="XAW3" s="59"/>
      <c r="XAX3" s="59"/>
      <c r="XAY3" s="59"/>
      <c r="XAZ3" s="59"/>
      <c r="XBA3" s="59"/>
      <c r="XBB3" s="59"/>
      <c r="XBC3" s="59"/>
      <c r="XBD3" s="59"/>
      <c r="XBE3" s="59"/>
      <c r="XBF3" s="59"/>
      <c r="XBG3" s="59"/>
      <c r="XBH3" s="59"/>
      <c r="XBI3" s="59"/>
      <c r="XBJ3" s="59"/>
      <c r="XBK3" s="59"/>
      <c r="XBL3" s="59"/>
      <c r="XBM3" s="59"/>
      <c r="XBN3" s="59"/>
      <c r="XBO3" s="59"/>
      <c r="XBP3" s="59"/>
      <c r="XBQ3" s="59"/>
      <c r="XBR3" s="59"/>
      <c r="XBS3" s="59"/>
      <c r="XBT3" s="59"/>
      <c r="XBU3" s="59"/>
      <c r="XBV3" s="59"/>
      <c r="XBW3" s="59"/>
      <c r="XBX3" s="59"/>
      <c r="XBY3" s="59"/>
      <c r="XBZ3" s="59"/>
      <c r="XCA3" s="59"/>
      <c r="XCB3" s="59"/>
      <c r="XCC3" s="59"/>
      <c r="XCD3" s="59"/>
      <c r="XCE3" s="59"/>
      <c r="XCF3" s="59"/>
      <c r="XCG3" s="59"/>
      <c r="XCH3" s="59"/>
      <c r="XCI3" s="59"/>
      <c r="XCJ3" s="59"/>
      <c r="XCK3" s="59"/>
      <c r="XCL3" s="59"/>
      <c r="XCM3" s="59"/>
      <c r="XCN3" s="59"/>
      <c r="XCO3" s="59"/>
      <c r="XCP3" s="59"/>
      <c r="XCQ3" s="59"/>
      <c r="XCR3" s="59"/>
      <c r="XCS3" s="59"/>
      <c r="XCT3" s="59"/>
      <c r="XCU3" s="59"/>
      <c r="XCV3" s="59"/>
      <c r="XCW3" s="59"/>
      <c r="XCX3" s="59"/>
      <c r="XCY3" s="59"/>
      <c r="XCZ3" s="59"/>
      <c r="XDA3" s="59"/>
      <c r="XDB3" s="59"/>
      <c r="XDC3" s="59"/>
      <c r="XDD3" s="59"/>
      <c r="XDE3" s="59"/>
      <c r="XDF3" s="59"/>
      <c r="XDG3" s="59"/>
      <c r="XDH3" s="59"/>
      <c r="XDI3" s="59"/>
      <c r="XDJ3" s="59"/>
      <c r="XDK3" s="59"/>
      <c r="XDL3" s="59"/>
      <c r="XDM3" s="59"/>
      <c r="XDN3" s="59"/>
      <c r="XDO3" s="59"/>
      <c r="XDP3" s="59"/>
      <c r="XDQ3" s="59"/>
      <c r="XDR3" s="59"/>
      <c r="XDS3" s="59"/>
      <c r="XDT3" s="59"/>
      <c r="XDU3" s="59"/>
      <c r="XDV3" s="59"/>
      <c r="XDW3" s="59"/>
      <c r="XDX3" s="59"/>
      <c r="XDY3" s="59"/>
      <c r="XDZ3" s="59"/>
      <c r="XEA3" s="59"/>
      <c r="XEB3" s="59"/>
      <c r="XEC3" s="59"/>
      <c r="XED3" s="59"/>
      <c r="XEE3" s="59"/>
      <c r="XEF3" s="59"/>
      <c r="XEG3" s="59"/>
      <c r="XEH3" s="59"/>
      <c r="XEI3" s="59"/>
      <c r="XEJ3" s="59"/>
      <c r="XEK3" s="59"/>
      <c r="XEL3" s="59"/>
      <c r="XEM3" s="59"/>
      <c r="XEN3" s="59"/>
      <c r="XEO3" s="59"/>
      <c r="XEP3" s="59"/>
      <c r="XEQ3" s="59"/>
      <c r="XER3" s="59"/>
      <c r="XES3" s="59"/>
      <c r="XET3" s="59"/>
      <c r="XEU3" s="59"/>
      <c r="XEV3" s="59"/>
      <c r="XEW3" s="59"/>
      <c r="XEX3" s="59"/>
      <c r="XEY3" s="59"/>
      <c r="XEZ3" s="59"/>
      <c r="XFA3" s="59"/>
      <c r="XFB3" s="59"/>
      <c r="XFC3" s="59"/>
      <c r="XFD3" s="59"/>
    </row>
    <row r="4" spans="1:16384" ht="9" customHeight="1">
      <c r="A4" s="59"/>
      <c r="B4" s="59"/>
      <c r="C4" s="59"/>
      <c r="D4" s="59"/>
      <c r="E4" s="180" t="s">
        <v>688</v>
      </c>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c r="IU4" s="59"/>
      <c r="IV4" s="59"/>
      <c r="IW4" s="59"/>
      <c r="IX4" s="59"/>
      <c r="IY4" s="59"/>
      <c r="IZ4" s="59"/>
      <c r="JA4" s="59"/>
      <c r="JB4" s="59"/>
      <c r="JC4" s="59"/>
      <c r="JD4" s="59"/>
      <c r="JE4" s="59"/>
      <c r="JF4" s="59"/>
      <c r="JG4" s="59"/>
      <c r="JH4" s="59"/>
      <c r="JI4" s="59"/>
      <c r="JJ4" s="59"/>
      <c r="JK4" s="59"/>
      <c r="JL4" s="59"/>
      <c r="JM4" s="59"/>
      <c r="JN4" s="59"/>
      <c r="JO4" s="59"/>
      <c r="JP4" s="59"/>
      <c r="JQ4" s="59"/>
      <c r="JR4" s="59"/>
      <c r="JS4" s="59"/>
      <c r="JT4" s="59"/>
      <c r="JU4" s="59"/>
      <c r="JV4" s="59"/>
      <c r="JW4" s="59"/>
      <c r="JX4" s="59"/>
      <c r="JY4" s="59"/>
      <c r="JZ4" s="59"/>
      <c r="KA4" s="59"/>
      <c r="KB4" s="59"/>
      <c r="KC4" s="59"/>
      <c r="KD4" s="59"/>
      <c r="KE4" s="59"/>
      <c r="KF4" s="59"/>
      <c r="KG4" s="59"/>
      <c r="KH4" s="59"/>
      <c r="KI4" s="59"/>
      <c r="KJ4" s="59"/>
      <c r="KK4" s="59"/>
      <c r="KL4" s="59"/>
      <c r="KM4" s="59"/>
      <c r="KN4" s="59"/>
      <c r="KO4" s="59"/>
      <c r="KP4" s="59"/>
      <c r="KQ4" s="59"/>
      <c r="KR4" s="59"/>
      <c r="KS4" s="59"/>
      <c r="KT4" s="59"/>
      <c r="KU4" s="59"/>
      <c r="KV4" s="59"/>
      <c r="KW4" s="59"/>
      <c r="KX4" s="59"/>
      <c r="KY4" s="59"/>
      <c r="KZ4" s="59"/>
      <c r="LA4" s="59"/>
      <c r="LB4" s="59"/>
      <c r="LC4" s="59"/>
      <c r="LD4" s="59"/>
      <c r="LE4" s="59"/>
      <c r="LF4" s="59"/>
      <c r="LG4" s="59"/>
      <c r="LH4" s="59"/>
      <c r="LI4" s="59"/>
      <c r="LJ4" s="59"/>
      <c r="LK4" s="59"/>
      <c r="LL4" s="59"/>
      <c r="LM4" s="59"/>
      <c r="LN4" s="59"/>
      <c r="LO4" s="59"/>
      <c r="LP4" s="59"/>
      <c r="LQ4" s="59"/>
      <c r="LR4" s="59"/>
      <c r="LS4" s="59"/>
      <c r="LT4" s="59"/>
      <c r="LU4" s="59"/>
      <c r="LV4" s="59"/>
      <c r="LW4" s="59"/>
      <c r="LX4" s="59"/>
      <c r="LY4" s="59"/>
      <c r="LZ4" s="59"/>
      <c r="MA4" s="59"/>
      <c r="MB4" s="59"/>
      <c r="MC4" s="59"/>
      <c r="MD4" s="59"/>
      <c r="ME4" s="59"/>
      <c r="MF4" s="59"/>
      <c r="MG4" s="59"/>
      <c r="MH4" s="59"/>
      <c r="MI4" s="59"/>
      <c r="MJ4" s="59"/>
      <c r="MK4" s="59"/>
      <c r="ML4" s="59"/>
      <c r="MM4" s="59"/>
      <c r="MN4" s="59"/>
      <c r="MO4" s="59"/>
      <c r="MP4" s="59"/>
      <c r="MQ4" s="59"/>
      <c r="MR4" s="59"/>
      <c r="MS4" s="59"/>
      <c r="MT4" s="59"/>
      <c r="MU4" s="59"/>
      <c r="MV4" s="59"/>
      <c r="MW4" s="59"/>
      <c r="MX4" s="59"/>
      <c r="MY4" s="59"/>
      <c r="MZ4" s="59"/>
      <c r="NA4" s="59"/>
      <c r="NB4" s="59"/>
      <c r="NC4" s="59"/>
      <c r="ND4" s="59"/>
      <c r="NE4" s="59"/>
      <c r="NF4" s="59"/>
      <c r="NG4" s="59"/>
      <c r="NH4" s="59"/>
      <c r="NI4" s="59"/>
      <c r="NJ4" s="59"/>
      <c r="NK4" s="59"/>
      <c r="NL4" s="59"/>
      <c r="NM4" s="59"/>
      <c r="NN4" s="59"/>
      <c r="NO4" s="59"/>
      <c r="NP4" s="59"/>
      <c r="NQ4" s="59"/>
      <c r="NR4" s="59"/>
      <c r="NS4" s="59"/>
      <c r="NT4" s="59"/>
      <c r="NU4" s="59"/>
      <c r="NV4" s="59"/>
      <c r="NW4" s="59"/>
      <c r="NX4" s="59"/>
      <c r="NY4" s="59"/>
      <c r="NZ4" s="59"/>
      <c r="OA4" s="59"/>
      <c r="OB4" s="59"/>
      <c r="OC4" s="59"/>
      <c r="OD4" s="59"/>
      <c r="OE4" s="59"/>
      <c r="OF4" s="59"/>
      <c r="OG4" s="59"/>
      <c r="OH4" s="59"/>
      <c r="OI4" s="59"/>
      <c r="OJ4" s="59"/>
      <c r="OK4" s="59"/>
      <c r="OL4" s="59"/>
      <c r="OM4" s="59"/>
      <c r="ON4" s="59"/>
      <c r="OO4" s="59"/>
      <c r="OP4" s="59"/>
      <c r="OQ4" s="59"/>
      <c r="OR4" s="59"/>
      <c r="OS4" s="59"/>
      <c r="OT4" s="59"/>
      <c r="OU4" s="59"/>
      <c r="OV4" s="59"/>
      <c r="OW4" s="59"/>
      <c r="OX4" s="59"/>
      <c r="OY4" s="59"/>
      <c r="OZ4" s="59"/>
      <c r="PA4" s="59"/>
      <c r="PB4" s="59"/>
      <c r="PC4" s="59"/>
      <c r="PD4" s="59"/>
      <c r="PE4" s="59"/>
      <c r="PF4" s="59"/>
      <c r="PG4" s="59"/>
      <c r="PH4" s="59"/>
      <c r="PI4" s="59"/>
      <c r="PJ4" s="59"/>
      <c r="PK4" s="59"/>
      <c r="PL4" s="59"/>
      <c r="PM4" s="59"/>
      <c r="PN4" s="59"/>
      <c r="PO4" s="59"/>
      <c r="PP4" s="59"/>
      <c r="PQ4" s="59"/>
      <c r="PR4" s="59"/>
      <c r="PS4" s="59"/>
      <c r="PT4" s="59"/>
      <c r="PU4" s="59"/>
      <c r="PV4" s="59"/>
      <c r="PW4" s="59"/>
      <c r="PX4" s="59"/>
      <c r="PY4" s="59"/>
      <c r="PZ4" s="59"/>
      <c r="QA4" s="59"/>
      <c r="QB4" s="59"/>
      <c r="QC4" s="59"/>
      <c r="QD4" s="59"/>
      <c r="QE4" s="59"/>
      <c r="QF4" s="59"/>
      <c r="QG4" s="59"/>
      <c r="QH4" s="59"/>
      <c r="QI4" s="59"/>
      <c r="QJ4" s="59"/>
      <c r="QK4" s="59"/>
      <c r="QL4" s="59"/>
      <c r="QM4" s="59"/>
      <c r="QN4" s="59"/>
      <c r="QO4" s="59"/>
      <c r="QP4" s="59"/>
      <c r="QQ4" s="59"/>
      <c r="QR4" s="59"/>
      <c r="QS4" s="59"/>
      <c r="QT4" s="59"/>
      <c r="QU4" s="59"/>
      <c r="QV4" s="59"/>
      <c r="QW4" s="59"/>
      <c r="QX4" s="59"/>
      <c r="QY4" s="59"/>
      <c r="QZ4" s="59"/>
      <c r="RA4" s="59"/>
      <c r="RB4" s="59"/>
      <c r="RC4" s="59"/>
      <c r="RD4" s="59"/>
      <c r="RE4" s="59"/>
      <c r="RF4" s="59"/>
      <c r="RG4" s="59"/>
      <c r="RH4" s="59"/>
      <c r="RI4" s="59"/>
      <c r="RJ4" s="59"/>
      <c r="RK4" s="59"/>
      <c r="RL4" s="59"/>
      <c r="RM4" s="59"/>
      <c r="RN4" s="59"/>
      <c r="RO4" s="59"/>
      <c r="RP4" s="59"/>
      <c r="RQ4" s="59"/>
      <c r="RR4" s="59"/>
      <c r="RS4" s="59"/>
      <c r="RT4" s="59"/>
      <c r="RU4" s="59"/>
      <c r="RV4" s="59"/>
      <c r="RW4" s="59"/>
      <c r="RX4" s="59"/>
      <c r="RY4" s="59"/>
      <c r="RZ4" s="59"/>
      <c r="SA4" s="59"/>
      <c r="SB4" s="59"/>
      <c r="SC4" s="59"/>
      <c r="SD4" s="59"/>
      <c r="SE4" s="59"/>
      <c r="SF4" s="59"/>
      <c r="SG4" s="59"/>
      <c r="SH4" s="59"/>
      <c r="SI4" s="59"/>
      <c r="SJ4" s="59"/>
      <c r="SK4" s="59"/>
      <c r="SL4" s="59"/>
      <c r="SM4" s="59"/>
      <c r="SN4" s="59"/>
      <c r="SO4" s="59"/>
      <c r="SP4" s="59"/>
      <c r="SQ4" s="59"/>
      <c r="SR4" s="59"/>
      <c r="SS4" s="59"/>
      <c r="ST4" s="59"/>
      <c r="SU4" s="59"/>
      <c r="SV4" s="59"/>
      <c r="SW4" s="59"/>
      <c r="SX4" s="59"/>
      <c r="SY4" s="59"/>
      <c r="SZ4" s="59"/>
      <c r="TA4" s="59"/>
      <c r="TB4" s="59"/>
      <c r="TC4" s="59"/>
      <c r="TD4" s="59"/>
      <c r="TE4" s="59"/>
      <c r="TF4" s="59"/>
      <c r="TG4" s="59"/>
      <c r="TH4" s="59"/>
      <c r="TI4" s="59"/>
      <c r="TJ4" s="59"/>
      <c r="TK4" s="59"/>
      <c r="TL4" s="59"/>
      <c r="TM4" s="59"/>
      <c r="TN4" s="59"/>
      <c r="TO4" s="59"/>
      <c r="TP4" s="59"/>
      <c r="TQ4" s="59"/>
      <c r="TR4" s="59"/>
      <c r="TS4" s="59"/>
      <c r="TT4" s="59"/>
      <c r="TU4" s="59"/>
      <c r="TV4" s="59"/>
      <c r="TW4" s="59"/>
      <c r="TX4" s="59"/>
      <c r="TY4" s="59"/>
      <c r="TZ4" s="59"/>
      <c r="UA4" s="59"/>
      <c r="UB4" s="59"/>
      <c r="UC4" s="59"/>
      <c r="UD4" s="59"/>
      <c r="UE4" s="59"/>
      <c r="UF4" s="59"/>
      <c r="UG4" s="59"/>
      <c r="UH4" s="59"/>
      <c r="UI4" s="59"/>
      <c r="UJ4" s="59"/>
      <c r="UK4" s="59"/>
      <c r="UL4" s="59"/>
      <c r="UM4" s="59"/>
      <c r="UN4" s="59"/>
      <c r="UO4" s="59"/>
      <c r="UP4" s="59"/>
      <c r="UQ4" s="59"/>
      <c r="UR4" s="59"/>
      <c r="US4" s="59"/>
      <c r="UT4" s="59"/>
      <c r="UU4" s="59"/>
      <c r="UV4" s="59"/>
      <c r="UW4" s="59"/>
      <c r="UX4" s="59"/>
      <c r="UY4" s="59"/>
      <c r="UZ4" s="59"/>
      <c r="VA4" s="59"/>
      <c r="VB4" s="59"/>
      <c r="VC4" s="59"/>
      <c r="VD4" s="59"/>
      <c r="VE4" s="59"/>
      <c r="VF4" s="59"/>
      <c r="VG4" s="59"/>
      <c r="VH4" s="59"/>
      <c r="VI4" s="59"/>
      <c r="VJ4" s="59"/>
      <c r="VK4" s="59"/>
      <c r="VL4" s="59"/>
      <c r="VM4" s="59"/>
      <c r="VN4" s="59"/>
      <c r="VO4" s="59"/>
      <c r="VP4" s="59"/>
      <c r="VQ4" s="59"/>
      <c r="VR4" s="59"/>
      <c r="VS4" s="59"/>
      <c r="VT4" s="59"/>
      <c r="VU4" s="59"/>
      <c r="VV4" s="59"/>
      <c r="VW4" s="59"/>
      <c r="VX4" s="59"/>
      <c r="VY4" s="59"/>
      <c r="VZ4" s="59"/>
      <c r="WA4" s="59"/>
      <c r="WB4" s="59"/>
      <c r="WC4" s="59"/>
      <c r="WD4" s="59"/>
      <c r="WE4" s="59"/>
      <c r="WF4" s="59"/>
      <c r="WG4" s="59"/>
      <c r="WH4" s="59"/>
      <c r="WI4" s="59"/>
      <c r="WJ4" s="59"/>
      <c r="WK4" s="59"/>
      <c r="WL4" s="59"/>
      <c r="WM4" s="59"/>
      <c r="WN4" s="59"/>
      <c r="WO4" s="59"/>
      <c r="WP4" s="59"/>
      <c r="WQ4" s="59"/>
      <c r="WR4" s="59"/>
      <c r="WS4" s="59"/>
      <c r="WT4" s="59"/>
      <c r="WU4" s="59"/>
      <c r="WV4" s="59"/>
      <c r="WW4" s="59"/>
      <c r="WX4" s="59"/>
      <c r="WY4" s="59"/>
      <c r="WZ4" s="59"/>
      <c r="XA4" s="59"/>
      <c r="XB4" s="59"/>
      <c r="XC4" s="59"/>
      <c r="XD4" s="59"/>
      <c r="XE4" s="59"/>
      <c r="XF4" s="59"/>
      <c r="XG4" s="59"/>
      <c r="XH4" s="59"/>
      <c r="XI4" s="59"/>
      <c r="XJ4" s="59"/>
      <c r="XK4" s="59"/>
      <c r="XL4" s="59"/>
      <c r="XM4" s="59"/>
      <c r="XN4" s="59"/>
      <c r="XO4" s="59"/>
      <c r="XP4" s="59"/>
      <c r="XQ4" s="59"/>
      <c r="XR4" s="59"/>
      <c r="XS4" s="59"/>
      <c r="XT4" s="59"/>
      <c r="XU4" s="59"/>
      <c r="XV4" s="59"/>
      <c r="XW4" s="59"/>
      <c r="XX4" s="59"/>
      <c r="XY4" s="59"/>
      <c r="XZ4" s="59"/>
      <c r="YA4" s="59"/>
      <c r="YB4" s="59"/>
      <c r="YC4" s="59"/>
      <c r="YD4" s="59"/>
      <c r="YE4" s="59"/>
      <c r="YF4" s="59"/>
      <c r="YG4" s="59"/>
      <c r="YH4" s="59"/>
      <c r="YI4" s="59"/>
      <c r="YJ4" s="59"/>
      <c r="YK4" s="59"/>
      <c r="YL4" s="59"/>
      <c r="YM4" s="59"/>
      <c r="YN4" s="59"/>
      <c r="YO4" s="59"/>
      <c r="YP4" s="59"/>
      <c r="YQ4" s="59"/>
      <c r="YR4" s="59"/>
      <c r="YS4" s="59"/>
      <c r="YT4" s="59"/>
      <c r="YU4" s="59"/>
      <c r="YV4" s="59"/>
      <c r="YW4" s="59"/>
      <c r="YX4" s="59"/>
      <c r="YY4" s="59"/>
      <c r="YZ4" s="59"/>
      <c r="ZA4" s="59"/>
      <c r="ZB4" s="59"/>
      <c r="ZC4" s="59"/>
      <c r="ZD4" s="59"/>
      <c r="ZE4" s="59"/>
      <c r="ZF4" s="59"/>
      <c r="ZG4" s="59"/>
      <c r="ZH4" s="59"/>
      <c r="ZI4" s="59"/>
      <c r="ZJ4" s="59"/>
      <c r="ZK4" s="59"/>
      <c r="ZL4" s="59"/>
      <c r="ZM4" s="59"/>
      <c r="ZN4" s="59"/>
      <c r="ZO4" s="59"/>
      <c r="ZP4" s="59"/>
      <c r="ZQ4" s="59"/>
      <c r="ZR4" s="59"/>
      <c r="ZS4" s="59"/>
      <c r="ZT4" s="59"/>
      <c r="ZU4" s="59"/>
      <c r="ZV4" s="59"/>
      <c r="ZW4" s="59"/>
      <c r="ZX4" s="59"/>
      <c r="ZY4" s="59"/>
      <c r="ZZ4" s="59"/>
      <c r="AAA4" s="59"/>
      <c r="AAB4" s="59"/>
      <c r="AAC4" s="59"/>
      <c r="AAD4" s="59"/>
      <c r="AAE4" s="59"/>
      <c r="AAF4" s="59"/>
      <c r="AAG4" s="59"/>
      <c r="AAH4" s="59"/>
      <c r="AAI4" s="59"/>
      <c r="AAJ4" s="59"/>
      <c r="AAK4" s="59"/>
      <c r="AAL4" s="59"/>
      <c r="AAM4" s="59"/>
      <c r="AAN4" s="59"/>
      <c r="AAO4" s="59"/>
      <c r="AAP4" s="59"/>
      <c r="AAQ4" s="59"/>
      <c r="AAR4" s="59"/>
      <c r="AAS4" s="59"/>
      <c r="AAT4" s="59"/>
      <c r="AAU4" s="59"/>
      <c r="AAV4" s="59"/>
      <c r="AAW4" s="59"/>
      <c r="AAX4" s="59"/>
      <c r="AAY4" s="59"/>
      <c r="AAZ4" s="59"/>
      <c r="ABA4" s="59"/>
      <c r="ABB4" s="59"/>
      <c r="ABC4" s="59"/>
      <c r="ABD4" s="59"/>
      <c r="ABE4" s="59"/>
      <c r="ABF4" s="59"/>
      <c r="ABG4" s="59"/>
      <c r="ABH4" s="59"/>
      <c r="ABI4" s="59"/>
      <c r="ABJ4" s="59"/>
      <c r="ABK4" s="59"/>
      <c r="ABL4" s="59"/>
      <c r="ABM4" s="59"/>
      <c r="ABN4" s="59"/>
      <c r="ABO4" s="59"/>
      <c r="ABP4" s="59"/>
      <c r="ABQ4" s="59"/>
      <c r="ABR4" s="59"/>
      <c r="ABS4" s="59"/>
      <c r="ABT4" s="59"/>
      <c r="ABU4" s="59"/>
      <c r="ABV4" s="59"/>
      <c r="ABW4" s="59"/>
      <c r="ABX4" s="59"/>
      <c r="ABY4" s="59"/>
      <c r="ABZ4" s="59"/>
      <c r="ACA4" s="59"/>
      <c r="ACB4" s="59"/>
      <c r="ACC4" s="59"/>
      <c r="ACD4" s="59"/>
      <c r="ACE4" s="59"/>
      <c r="ACF4" s="59"/>
      <c r="ACG4" s="59"/>
      <c r="ACH4" s="59"/>
      <c r="ACI4" s="59"/>
      <c r="ACJ4" s="59"/>
      <c r="ACK4" s="59"/>
      <c r="ACL4" s="59"/>
      <c r="ACM4" s="59"/>
      <c r="ACN4" s="59"/>
      <c r="ACO4" s="59"/>
      <c r="ACP4" s="59"/>
      <c r="ACQ4" s="59"/>
      <c r="ACR4" s="59"/>
      <c r="ACS4" s="59"/>
      <c r="ACT4" s="59"/>
      <c r="ACU4" s="59"/>
      <c r="ACV4" s="59"/>
      <c r="ACW4" s="59"/>
      <c r="ACX4" s="59"/>
      <c r="ACY4" s="59"/>
      <c r="ACZ4" s="59"/>
      <c r="ADA4" s="59"/>
      <c r="ADB4" s="59"/>
      <c r="ADC4" s="59"/>
      <c r="ADD4" s="59"/>
      <c r="ADE4" s="59"/>
      <c r="ADF4" s="59"/>
      <c r="ADG4" s="59"/>
      <c r="ADH4" s="59"/>
      <c r="ADI4" s="59"/>
      <c r="ADJ4" s="59"/>
      <c r="ADK4" s="59"/>
      <c r="ADL4" s="59"/>
      <c r="ADM4" s="59"/>
      <c r="ADN4" s="59"/>
      <c r="ADO4" s="59"/>
      <c r="ADP4" s="59"/>
      <c r="ADQ4" s="59"/>
      <c r="ADR4" s="59"/>
      <c r="ADS4" s="59"/>
      <c r="ADT4" s="59"/>
      <c r="ADU4" s="59"/>
      <c r="ADV4" s="59"/>
      <c r="ADW4" s="59"/>
      <c r="ADX4" s="59"/>
      <c r="ADY4" s="59"/>
      <c r="ADZ4" s="59"/>
      <c r="AEA4" s="59"/>
      <c r="AEB4" s="59"/>
      <c r="AEC4" s="59"/>
      <c r="AED4" s="59"/>
      <c r="AEE4" s="59"/>
      <c r="AEF4" s="59"/>
      <c r="AEG4" s="59"/>
      <c r="AEH4" s="59"/>
      <c r="AEI4" s="59"/>
      <c r="AEJ4" s="59"/>
      <c r="AEK4" s="59"/>
      <c r="AEL4" s="59"/>
      <c r="AEM4" s="59"/>
      <c r="AEN4" s="59"/>
      <c r="AEO4" s="59"/>
      <c r="AEP4" s="59"/>
      <c r="AEQ4" s="59"/>
      <c r="AER4" s="59"/>
      <c r="AES4" s="59"/>
      <c r="AET4" s="59"/>
      <c r="AEU4" s="59"/>
      <c r="AEV4" s="59"/>
      <c r="AEW4" s="59"/>
      <c r="AEX4" s="59"/>
      <c r="AEY4" s="59"/>
      <c r="AEZ4" s="59"/>
      <c r="AFA4" s="59"/>
      <c r="AFB4" s="59"/>
      <c r="AFC4" s="59"/>
      <c r="AFD4" s="59"/>
      <c r="AFE4" s="59"/>
      <c r="AFF4" s="59"/>
      <c r="AFG4" s="59"/>
      <c r="AFH4" s="59"/>
      <c r="AFI4" s="59"/>
      <c r="AFJ4" s="59"/>
      <c r="AFK4" s="59"/>
      <c r="AFL4" s="59"/>
      <c r="AFM4" s="59"/>
      <c r="AFN4" s="59"/>
      <c r="AFO4" s="59"/>
      <c r="AFP4" s="59"/>
      <c r="AFQ4" s="59"/>
      <c r="AFR4" s="59"/>
      <c r="AFS4" s="59"/>
      <c r="AFT4" s="59"/>
      <c r="AFU4" s="59"/>
      <c r="AFV4" s="59"/>
      <c r="AFW4" s="59"/>
      <c r="AFX4" s="59"/>
      <c r="AFY4" s="59"/>
      <c r="AFZ4" s="59"/>
      <c r="AGA4" s="59"/>
      <c r="AGB4" s="59"/>
      <c r="AGC4" s="59"/>
      <c r="AGD4" s="59"/>
      <c r="AGE4" s="59"/>
      <c r="AGF4" s="59"/>
      <c r="AGG4" s="59"/>
      <c r="AGH4" s="59"/>
      <c r="AGI4" s="59"/>
      <c r="AGJ4" s="59"/>
      <c r="AGK4" s="59"/>
      <c r="AGL4" s="59"/>
      <c r="AGM4" s="59"/>
      <c r="AGN4" s="59"/>
      <c r="AGO4" s="59"/>
      <c r="AGP4" s="59"/>
      <c r="AGQ4" s="59"/>
      <c r="AGR4" s="59"/>
      <c r="AGS4" s="59"/>
      <c r="AGT4" s="59"/>
      <c r="AGU4" s="59"/>
      <c r="AGV4" s="59"/>
      <c r="AGW4" s="59"/>
      <c r="AGX4" s="59"/>
      <c r="AGY4" s="59"/>
      <c r="AGZ4" s="59"/>
      <c r="AHA4" s="59"/>
      <c r="AHB4" s="59"/>
      <c r="AHC4" s="59"/>
      <c r="AHD4" s="59"/>
      <c r="AHE4" s="59"/>
      <c r="AHF4" s="59"/>
      <c r="AHG4" s="59"/>
      <c r="AHH4" s="59"/>
      <c r="AHI4" s="59"/>
      <c r="AHJ4" s="59"/>
      <c r="AHK4" s="59"/>
      <c r="AHL4" s="59"/>
      <c r="AHM4" s="59"/>
      <c r="AHN4" s="59"/>
      <c r="AHO4" s="59"/>
      <c r="AHP4" s="59"/>
      <c r="AHQ4" s="59"/>
      <c r="AHR4" s="59"/>
      <c r="AHS4" s="59"/>
      <c r="AHT4" s="59"/>
      <c r="AHU4" s="59"/>
      <c r="AHV4" s="59"/>
      <c r="AHW4" s="59"/>
      <c r="AHX4" s="59"/>
      <c r="AHY4" s="59"/>
      <c r="AHZ4" s="59"/>
      <c r="AIA4" s="59"/>
      <c r="AIB4" s="59"/>
      <c r="AIC4" s="59"/>
      <c r="AID4" s="59"/>
      <c r="AIE4" s="59"/>
      <c r="AIF4" s="59"/>
      <c r="AIG4" s="59"/>
      <c r="AIH4" s="59"/>
      <c r="AII4" s="59"/>
      <c r="AIJ4" s="59"/>
      <c r="AIK4" s="59"/>
      <c r="AIL4" s="59"/>
      <c r="AIM4" s="59"/>
      <c r="AIN4" s="59"/>
      <c r="AIO4" s="59"/>
      <c r="AIP4" s="59"/>
      <c r="AIQ4" s="59"/>
      <c r="AIR4" s="59"/>
      <c r="AIS4" s="59"/>
      <c r="AIT4" s="59"/>
      <c r="AIU4" s="59"/>
      <c r="AIV4" s="59"/>
      <c r="AIW4" s="59"/>
      <c r="AIX4" s="59"/>
      <c r="AIY4" s="59"/>
      <c r="AIZ4" s="59"/>
      <c r="AJA4" s="59"/>
      <c r="AJB4" s="59"/>
      <c r="AJC4" s="59"/>
      <c r="AJD4" s="59"/>
      <c r="AJE4" s="59"/>
      <c r="AJF4" s="59"/>
      <c r="AJG4" s="59"/>
      <c r="AJH4" s="59"/>
      <c r="AJI4" s="59"/>
      <c r="AJJ4" s="59"/>
      <c r="AJK4" s="59"/>
      <c r="AJL4" s="59"/>
      <c r="AJM4" s="59"/>
      <c r="AJN4" s="59"/>
      <c r="AJO4" s="59"/>
      <c r="AJP4" s="59"/>
      <c r="AJQ4" s="59"/>
      <c r="AJR4" s="59"/>
      <c r="AJS4" s="59"/>
      <c r="AJT4" s="59"/>
      <c r="AJU4" s="59"/>
      <c r="AJV4" s="59"/>
      <c r="AJW4" s="59"/>
      <c r="AJX4" s="59"/>
      <c r="AJY4" s="59"/>
      <c r="AJZ4" s="59"/>
      <c r="AKA4" s="59"/>
      <c r="AKB4" s="59"/>
      <c r="AKC4" s="59"/>
      <c r="AKD4" s="59"/>
      <c r="AKE4" s="59"/>
      <c r="AKF4" s="59"/>
      <c r="AKG4" s="59"/>
      <c r="AKH4" s="59"/>
      <c r="AKI4" s="59"/>
      <c r="AKJ4" s="59"/>
      <c r="AKK4" s="59"/>
      <c r="AKL4" s="59"/>
      <c r="AKM4" s="59"/>
      <c r="AKN4" s="59"/>
      <c r="AKO4" s="59"/>
      <c r="AKP4" s="59"/>
      <c r="AKQ4" s="59"/>
      <c r="AKR4" s="59"/>
      <c r="AKS4" s="59"/>
      <c r="AKT4" s="59"/>
      <c r="AKU4" s="59"/>
      <c r="AKV4" s="59"/>
      <c r="AKW4" s="59"/>
      <c r="AKX4" s="59"/>
      <c r="AKY4" s="59"/>
      <c r="AKZ4" s="59"/>
      <c r="ALA4" s="59"/>
      <c r="ALB4" s="59"/>
      <c r="ALC4" s="59"/>
      <c r="ALD4" s="59"/>
      <c r="ALE4" s="59"/>
      <c r="ALF4" s="59"/>
      <c r="ALG4" s="59"/>
      <c r="ALH4" s="59"/>
      <c r="ALI4" s="59"/>
      <c r="ALJ4" s="59"/>
      <c r="ALK4" s="59"/>
      <c r="ALL4" s="59"/>
      <c r="ALM4" s="59"/>
      <c r="ALN4" s="59"/>
      <c r="ALO4" s="59"/>
      <c r="ALP4" s="59"/>
      <c r="ALQ4" s="59"/>
      <c r="ALR4" s="59"/>
      <c r="ALS4" s="59"/>
      <c r="ALT4" s="59"/>
      <c r="ALU4" s="59"/>
      <c r="ALV4" s="59"/>
      <c r="ALW4" s="59"/>
      <c r="ALX4" s="59"/>
      <c r="ALY4" s="59"/>
      <c r="ALZ4" s="59"/>
      <c r="AMA4" s="59"/>
      <c r="AMB4" s="59"/>
      <c r="AMC4" s="59"/>
      <c r="AMD4" s="59"/>
      <c r="AME4" s="59"/>
      <c r="AMF4" s="59"/>
      <c r="AMG4" s="59"/>
      <c r="AMH4" s="59"/>
      <c r="AMI4" s="59"/>
      <c r="AMJ4" s="59"/>
      <c r="AMK4" s="59"/>
      <c r="AML4" s="59"/>
      <c r="AMM4" s="59"/>
      <c r="AMN4" s="59"/>
      <c r="AMO4" s="59"/>
      <c r="AMP4" s="59"/>
      <c r="AMQ4" s="59"/>
      <c r="AMR4" s="59"/>
      <c r="AMS4" s="59"/>
      <c r="AMT4" s="59"/>
      <c r="AMU4" s="59"/>
      <c r="AMV4" s="59"/>
      <c r="AMW4" s="59"/>
      <c r="AMX4" s="59"/>
      <c r="AMY4" s="59"/>
      <c r="AMZ4" s="59"/>
      <c r="ANA4" s="59"/>
      <c r="ANB4" s="59"/>
      <c r="ANC4" s="59"/>
      <c r="AND4" s="59"/>
      <c r="ANE4" s="59"/>
      <c r="ANF4" s="59"/>
      <c r="ANG4" s="59"/>
      <c r="ANH4" s="59"/>
      <c r="ANI4" s="59"/>
      <c r="ANJ4" s="59"/>
      <c r="ANK4" s="59"/>
      <c r="ANL4" s="59"/>
      <c r="ANM4" s="59"/>
      <c r="ANN4" s="59"/>
      <c r="ANO4" s="59"/>
      <c r="ANP4" s="59"/>
      <c r="ANQ4" s="59"/>
      <c r="ANR4" s="59"/>
      <c r="ANS4" s="59"/>
      <c r="ANT4" s="59"/>
      <c r="ANU4" s="59"/>
      <c r="ANV4" s="59"/>
      <c r="ANW4" s="59"/>
      <c r="ANX4" s="59"/>
      <c r="ANY4" s="59"/>
      <c r="ANZ4" s="59"/>
      <c r="AOA4" s="59"/>
      <c r="AOB4" s="59"/>
      <c r="AOC4" s="59"/>
      <c r="AOD4" s="59"/>
      <c r="AOE4" s="59"/>
      <c r="AOF4" s="59"/>
      <c r="AOG4" s="59"/>
      <c r="AOH4" s="59"/>
      <c r="AOI4" s="59"/>
      <c r="AOJ4" s="59"/>
      <c r="AOK4" s="59"/>
      <c r="AOL4" s="59"/>
      <c r="AOM4" s="59"/>
      <c r="AON4" s="59"/>
      <c r="AOO4" s="59"/>
      <c r="AOP4" s="59"/>
      <c r="AOQ4" s="59"/>
      <c r="AOR4" s="59"/>
      <c r="AOS4" s="59"/>
      <c r="AOT4" s="59"/>
      <c r="AOU4" s="59"/>
      <c r="AOV4" s="59"/>
      <c r="AOW4" s="59"/>
      <c r="AOX4" s="59"/>
      <c r="AOY4" s="59"/>
      <c r="AOZ4" s="59"/>
      <c r="APA4" s="59"/>
      <c r="APB4" s="59"/>
      <c r="APC4" s="59"/>
      <c r="APD4" s="59"/>
      <c r="APE4" s="59"/>
      <c r="APF4" s="59"/>
      <c r="APG4" s="59"/>
      <c r="APH4" s="59"/>
      <c r="API4" s="59"/>
      <c r="APJ4" s="59"/>
      <c r="APK4" s="59"/>
      <c r="APL4" s="59"/>
      <c r="APM4" s="59"/>
      <c r="APN4" s="59"/>
      <c r="APO4" s="59"/>
      <c r="APP4" s="59"/>
      <c r="APQ4" s="59"/>
      <c r="APR4" s="59"/>
      <c r="APS4" s="59"/>
      <c r="APT4" s="59"/>
      <c r="APU4" s="59"/>
      <c r="APV4" s="59"/>
      <c r="APW4" s="59"/>
      <c r="APX4" s="59"/>
      <c r="APY4" s="59"/>
      <c r="APZ4" s="59"/>
      <c r="AQA4" s="59"/>
      <c r="AQB4" s="59"/>
      <c r="AQC4" s="59"/>
      <c r="AQD4" s="59"/>
      <c r="AQE4" s="59"/>
      <c r="AQF4" s="59"/>
      <c r="AQG4" s="59"/>
      <c r="AQH4" s="59"/>
      <c r="AQI4" s="59"/>
      <c r="AQJ4" s="59"/>
      <c r="AQK4" s="59"/>
      <c r="AQL4" s="59"/>
      <c r="AQM4" s="59"/>
      <c r="AQN4" s="59"/>
      <c r="AQO4" s="59"/>
      <c r="AQP4" s="59"/>
      <c r="AQQ4" s="59"/>
      <c r="AQR4" s="59"/>
      <c r="AQS4" s="59"/>
      <c r="AQT4" s="59"/>
      <c r="AQU4" s="59"/>
      <c r="AQV4" s="59"/>
      <c r="AQW4" s="59"/>
      <c r="AQX4" s="59"/>
      <c r="AQY4" s="59"/>
      <c r="AQZ4" s="59"/>
      <c r="ARA4" s="59"/>
      <c r="ARB4" s="59"/>
      <c r="ARC4" s="59"/>
      <c r="ARD4" s="59"/>
      <c r="ARE4" s="59"/>
      <c r="ARF4" s="59"/>
      <c r="ARG4" s="59"/>
      <c r="ARH4" s="59"/>
      <c r="ARI4" s="59"/>
      <c r="ARJ4" s="59"/>
      <c r="ARK4" s="59"/>
      <c r="ARL4" s="59"/>
      <c r="ARM4" s="59"/>
      <c r="ARN4" s="59"/>
      <c r="ARO4" s="59"/>
      <c r="ARP4" s="59"/>
      <c r="ARQ4" s="59"/>
      <c r="ARR4" s="59"/>
      <c r="ARS4" s="59"/>
      <c r="ART4" s="59"/>
      <c r="ARU4" s="59"/>
      <c r="ARV4" s="59"/>
      <c r="ARW4" s="59"/>
      <c r="ARX4" s="59"/>
      <c r="ARY4" s="59"/>
      <c r="ARZ4" s="59"/>
      <c r="ASA4" s="59"/>
      <c r="ASB4" s="59"/>
      <c r="ASC4" s="59"/>
      <c r="ASD4" s="59"/>
      <c r="ASE4" s="59"/>
      <c r="ASF4" s="59"/>
      <c r="ASG4" s="59"/>
      <c r="ASH4" s="59"/>
      <c r="ASI4" s="59"/>
      <c r="ASJ4" s="59"/>
      <c r="ASK4" s="59"/>
      <c r="ASL4" s="59"/>
      <c r="ASM4" s="59"/>
      <c r="ASN4" s="59"/>
      <c r="ASO4" s="59"/>
      <c r="ASP4" s="59"/>
      <c r="ASQ4" s="59"/>
      <c r="ASR4" s="59"/>
      <c r="ASS4" s="59"/>
      <c r="AST4" s="59"/>
      <c r="ASU4" s="59"/>
      <c r="ASV4" s="59"/>
      <c r="ASW4" s="59"/>
      <c r="ASX4" s="59"/>
      <c r="ASY4" s="59"/>
      <c r="ASZ4" s="59"/>
      <c r="ATA4" s="59"/>
      <c r="ATB4" s="59"/>
      <c r="ATC4" s="59"/>
      <c r="ATD4" s="59"/>
      <c r="ATE4" s="59"/>
      <c r="ATF4" s="59"/>
      <c r="ATG4" s="59"/>
      <c r="ATH4" s="59"/>
      <c r="ATI4" s="59"/>
      <c r="ATJ4" s="59"/>
      <c r="ATK4" s="59"/>
      <c r="ATL4" s="59"/>
      <c r="ATM4" s="59"/>
      <c r="ATN4" s="59"/>
      <c r="ATO4" s="59"/>
      <c r="ATP4" s="59"/>
      <c r="ATQ4" s="59"/>
      <c r="ATR4" s="59"/>
      <c r="ATS4" s="59"/>
      <c r="ATT4" s="59"/>
      <c r="ATU4" s="59"/>
      <c r="ATV4" s="59"/>
      <c r="ATW4" s="59"/>
      <c r="ATX4" s="59"/>
      <c r="ATY4" s="59"/>
      <c r="ATZ4" s="59"/>
      <c r="AUA4" s="59"/>
      <c r="AUB4" s="59"/>
      <c r="AUC4" s="59"/>
      <c r="AUD4" s="59"/>
      <c r="AUE4" s="59"/>
      <c r="AUF4" s="59"/>
      <c r="AUG4" s="59"/>
      <c r="AUH4" s="59"/>
      <c r="AUI4" s="59"/>
      <c r="AUJ4" s="59"/>
      <c r="AUK4" s="59"/>
      <c r="AUL4" s="59"/>
      <c r="AUM4" s="59"/>
      <c r="AUN4" s="59"/>
      <c r="AUO4" s="59"/>
      <c r="AUP4" s="59"/>
      <c r="AUQ4" s="59"/>
      <c r="AUR4" s="59"/>
      <c r="AUS4" s="59"/>
      <c r="AUT4" s="59"/>
      <c r="AUU4" s="59"/>
      <c r="AUV4" s="59"/>
      <c r="AUW4" s="59"/>
      <c r="AUX4" s="59"/>
      <c r="AUY4" s="59"/>
      <c r="AUZ4" s="59"/>
      <c r="AVA4" s="59"/>
      <c r="AVB4" s="59"/>
      <c r="AVC4" s="59"/>
      <c r="AVD4" s="59"/>
      <c r="AVE4" s="59"/>
      <c r="AVF4" s="59"/>
      <c r="AVG4" s="59"/>
      <c r="AVH4" s="59"/>
      <c r="AVI4" s="59"/>
      <c r="AVJ4" s="59"/>
      <c r="AVK4" s="59"/>
      <c r="AVL4" s="59"/>
      <c r="AVM4" s="59"/>
      <c r="AVN4" s="59"/>
      <c r="AVO4" s="59"/>
      <c r="AVP4" s="59"/>
      <c r="AVQ4" s="59"/>
      <c r="AVR4" s="59"/>
      <c r="AVS4" s="59"/>
      <c r="AVT4" s="59"/>
      <c r="AVU4" s="59"/>
      <c r="AVV4" s="59"/>
      <c r="AVW4" s="59"/>
      <c r="AVX4" s="59"/>
      <c r="AVY4" s="59"/>
      <c r="AVZ4" s="59"/>
      <c r="AWA4" s="59"/>
      <c r="AWB4" s="59"/>
      <c r="AWC4" s="59"/>
      <c r="AWD4" s="59"/>
      <c r="AWE4" s="59"/>
      <c r="AWF4" s="59"/>
      <c r="AWG4" s="59"/>
      <c r="AWH4" s="59"/>
      <c r="AWI4" s="59"/>
      <c r="AWJ4" s="59"/>
      <c r="AWK4" s="59"/>
      <c r="AWL4" s="59"/>
      <c r="AWM4" s="59"/>
      <c r="AWN4" s="59"/>
      <c r="AWO4" s="59"/>
      <c r="AWP4" s="59"/>
      <c r="AWQ4" s="59"/>
      <c r="AWR4" s="59"/>
      <c r="AWS4" s="59"/>
      <c r="AWT4" s="59"/>
      <c r="AWU4" s="59"/>
      <c r="AWV4" s="59"/>
      <c r="AWW4" s="59"/>
      <c r="AWX4" s="59"/>
      <c r="AWY4" s="59"/>
      <c r="AWZ4" s="59"/>
      <c r="AXA4" s="59"/>
      <c r="AXB4" s="59"/>
      <c r="AXC4" s="59"/>
      <c r="AXD4" s="59"/>
      <c r="AXE4" s="59"/>
      <c r="AXF4" s="59"/>
      <c r="AXG4" s="59"/>
      <c r="AXH4" s="59"/>
      <c r="AXI4" s="59"/>
      <c r="AXJ4" s="59"/>
      <c r="AXK4" s="59"/>
      <c r="AXL4" s="59"/>
      <c r="AXM4" s="59"/>
      <c r="AXN4" s="59"/>
      <c r="AXO4" s="59"/>
      <c r="AXP4" s="59"/>
      <c r="AXQ4" s="59"/>
      <c r="AXR4" s="59"/>
      <c r="AXS4" s="59"/>
      <c r="AXT4" s="59"/>
      <c r="AXU4" s="59"/>
      <c r="AXV4" s="59"/>
      <c r="AXW4" s="59"/>
      <c r="AXX4" s="59"/>
      <c r="AXY4" s="59"/>
      <c r="AXZ4" s="59"/>
      <c r="AYA4" s="59"/>
      <c r="AYB4" s="59"/>
      <c r="AYC4" s="59"/>
      <c r="AYD4" s="59"/>
      <c r="AYE4" s="59"/>
      <c r="AYF4" s="59"/>
      <c r="AYG4" s="59"/>
      <c r="AYH4" s="59"/>
      <c r="AYI4" s="59"/>
      <c r="AYJ4" s="59"/>
      <c r="AYK4" s="59"/>
      <c r="AYL4" s="59"/>
      <c r="AYM4" s="59"/>
      <c r="AYN4" s="59"/>
      <c r="AYO4" s="59"/>
      <c r="AYP4" s="59"/>
      <c r="AYQ4" s="59"/>
      <c r="AYR4" s="59"/>
      <c r="AYS4" s="59"/>
      <c r="AYT4" s="59"/>
      <c r="AYU4" s="59"/>
      <c r="AYV4" s="59"/>
      <c r="AYW4" s="59"/>
      <c r="AYX4" s="59"/>
      <c r="AYY4" s="59"/>
      <c r="AYZ4" s="59"/>
      <c r="AZA4" s="59"/>
      <c r="AZB4" s="59"/>
      <c r="AZC4" s="59"/>
      <c r="AZD4" s="59"/>
      <c r="AZE4" s="59"/>
      <c r="AZF4" s="59"/>
      <c r="AZG4" s="59"/>
      <c r="AZH4" s="59"/>
      <c r="AZI4" s="59"/>
      <c r="AZJ4" s="59"/>
      <c r="AZK4" s="59"/>
      <c r="AZL4" s="59"/>
      <c r="AZM4" s="59"/>
      <c r="AZN4" s="59"/>
      <c r="AZO4" s="59"/>
      <c r="AZP4" s="59"/>
      <c r="AZQ4" s="59"/>
      <c r="AZR4" s="59"/>
      <c r="AZS4" s="59"/>
      <c r="AZT4" s="59"/>
      <c r="AZU4" s="59"/>
      <c r="AZV4" s="59"/>
      <c r="AZW4" s="59"/>
      <c r="AZX4" s="59"/>
      <c r="AZY4" s="59"/>
      <c r="AZZ4" s="59"/>
      <c r="BAA4" s="59"/>
      <c r="BAB4" s="59"/>
      <c r="BAC4" s="59"/>
      <c r="BAD4" s="59"/>
      <c r="BAE4" s="59"/>
      <c r="BAF4" s="59"/>
      <c r="BAG4" s="59"/>
      <c r="BAH4" s="59"/>
      <c r="BAI4" s="59"/>
      <c r="BAJ4" s="59"/>
      <c r="BAK4" s="59"/>
      <c r="BAL4" s="59"/>
      <c r="BAM4" s="59"/>
      <c r="BAN4" s="59"/>
      <c r="BAO4" s="59"/>
      <c r="BAP4" s="59"/>
      <c r="BAQ4" s="59"/>
      <c r="BAR4" s="59"/>
      <c r="BAS4" s="59"/>
      <c r="BAT4" s="59"/>
      <c r="BAU4" s="59"/>
      <c r="BAV4" s="59"/>
      <c r="BAW4" s="59"/>
      <c r="BAX4" s="59"/>
      <c r="BAY4" s="59"/>
      <c r="BAZ4" s="59"/>
      <c r="BBA4" s="59"/>
      <c r="BBB4" s="59"/>
      <c r="BBC4" s="59"/>
      <c r="BBD4" s="59"/>
      <c r="BBE4" s="59"/>
      <c r="BBF4" s="59"/>
      <c r="BBG4" s="59"/>
      <c r="BBH4" s="59"/>
      <c r="BBI4" s="59"/>
      <c r="BBJ4" s="59"/>
      <c r="BBK4" s="59"/>
      <c r="BBL4" s="59"/>
      <c r="BBM4" s="59"/>
      <c r="BBN4" s="59"/>
      <c r="BBO4" s="59"/>
      <c r="BBP4" s="59"/>
      <c r="BBQ4" s="59"/>
      <c r="BBR4" s="59"/>
      <c r="BBS4" s="59"/>
      <c r="BBT4" s="59"/>
      <c r="BBU4" s="59"/>
      <c r="BBV4" s="59"/>
      <c r="BBW4" s="59"/>
      <c r="BBX4" s="59"/>
      <c r="BBY4" s="59"/>
      <c r="BBZ4" s="59"/>
      <c r="BCA4" s="59"/>
      <c r="BCB4" s="59"/>
      <c r="BCC4" s="59"/>
      <c r="BCD4" s="59"/>
      <c r="BCE4" s="59"/>
      <c r="BCF4" s="59"/>
      <c r="BCG4" s="59"/>
      <c r="BCH4" s="59"/>
      <c r="BCI4" s="59"/>
      <c r="BCJ4" s="59"/>
      <c r="BCK4" s="59"/>
      <c r="BCL4" s="59"/>
      <c r="BCM4" s="59"/>
      <c r="BCN4" s="59"/>
      <c r="BCO4" s="59"/>
      <c r="BCP4" s="59"/>
      <c r="BCQ4" s="59"/>
      <c r="BCR4" s="59"/>
      <c r="BCS4" s="59"/>
      <c r="BCT4" s="59"/>
      <c r="BCU4" s="59"/>
      <c r="BCV4" s="59"/>
      <c r="BCW4" s="59"/>
      <c r="BCX4" s="59"/>
      <c r="BCY4" s="59"/>
      <c r="BCZ4" s="59"/>
      <c r="BDA4" s="59"/>
      <c r="BDB4" s="59"/>
      <c r="BDC4" s="59"/>
      <c r="BDD4" s="59"/>
      <c r="BDE4" s="59"/>
      <c r="BDF4" s="59"/>
      <c r="BDG4" s="59"/>
      <c r="BDH4" s="59"/>
      <c r="BDI4" s="59"/>
      <c r="BDJ4" s="59"/>
      <c r="BDK4" s="59"/>
      <c r="BDL4" s="59"/>
      <c r="BDM4" s="59"/>
      <c r="BDN4" s="59"/>
      <c r="BDO4" s="59"/>
      <c r="BDP4" s="59"/>
      <c r="BDQ4" s="59"/>
      <c r="BDR4" s="59"/>
      <c r="BDS4" s="59"/>
      <c r="BDT4" s="59"/>
      <c r="BDU4" s="59"/>
      <c r="BDV4" s="59"/>
      <c r="BDW4" s="59"/>
      <c r="BDX4" s="59"/>
      <c r="BDY4" s="59"/>
      <c r="BDZ4" s="59"/>
      <c r="BEA4" s="59"/>
      <c r="BEB4" s="59"/>
      <c r="BEC4" s="59"/>
      <c r="BED4" s="59"/>
      <c r="BEE4" s="59"/>
      <c r="BEF4" s="59"/>
      <c r="BEG4" s="59"/>
      <c r="BEH4" s="59"/>
      <c r="BEI4" s="59"/>
      <c r="BEJ4" s="59"/>
      <c r="BEK4" s="59"/>
      <c r="BEL4" s="59"/>
      <c r="BEM4" s="59"/>
      <c r="BEN4" s="59"/>
      <c r="BEO4" s="59"/>
      <c r="BEP4" s="59"/>
      <c r="BEQ4" s="59"/>
      <c r="BER4" s="59"/>
      <c r="BES4" s="59"/>
      <c r="BET4" s="59"/>
      <c r="BEU4" s="59"/>
      <c r="BEV4" s="59"/>
      <c r="BEW4" s="59"/>
      <c r="BEX4" s="59"/>
      <c r="BEY4" s="59"/>
      <c r="BEZ4" s="59"/>
      <c r="BFA4" s="59"/>
      <c r="BFB4" s="59"/>
      <c r="BFC4" s="59"/>
      <c r="BFD4" s="59"/>
      <c r="BFE4" s="59"/>
      <c r="BFF4" s="59"/>
      <c r="BFG4" s="59"/>
      <c r="BFH4" s="59"/>
      <c r="BFI4" s="59"/>
      <c r="BFJ4" s="59"/>
      <c r="BFK4" s="59"/>
      <c r="BFL4" s="59"/>
      <c r="BFM4" s="59"/>
      <c r="BFN4" s="59"/>
      <c r="BFO4" s="59"/>
      <c r="BFP4" s="59"/>
      <c r="BFQ4" s="59"/>
      <c r="BFR4" s="59"/>
      <c r="BFS4" s="59"/>
      <c r="BFT4" s="59"/>
      <c r="BFU4" s="59"/>
      <c r="BFV4" s="59"/>
      <c r="BFW4" s="59"/>
      <c r="BFX4" s="59"/>
      <c r="BFY4" s="59"/>
      <c r="BFZ4" s="59"/>
      <c r="BGA4" s="59"/>
      <c r="BGB4" s="59"/>
      <c r="BGC4" s="59"/>
      <c r="BGD4" s="59"/>
      <c r="BGE4" s="59"/>
      <c r="BGF4" s="59"/>
      <c r="BGG4" s="59"/>
      <c r="BGH4" s="59"/>
      <c r="BGI4" s="59"/>
      <c r="BGJ4" s="59"/>
      <c r="BGK4" s="59"/>
      <c r="BGL4" s="59"/>
      <c r="BGM4" s="59"/>
      <c r="BGN4" s="59"/>
      <c r="BGO4" s="59"/>
      <c r="BGP4" s="59"/>
      <c r="BGQ4" s="59"/>
      <c r="BGR4" s="59"/>
      <c r="BGS4" s="59"/>
      <c r="BGT4" s="59"/>
      <c r="BGU4" s="59"/>
      <c r="BGV4" s="59"/>
      <c r="BGW4" s="59"/>
      <c r="BGX4" s="59"/>
      <c r="BGY4" s="59"/>
      <c r="BGZ4" s="59"/>
      <c r="BHA4" s="59"/>
      <c r="BHB4" s="59"/>
      <c r="BHC4" s="59"/>
      <c r="BHD4" s="59"/>
      <c r="BHE4" s="59"/>
      <c r="BHF4" s="59"/>
      <c r="BHG4" s="59"/>
      <c r="BHH4" s="59"/>
      <c r="BHI4" s="59"/>
      <c r="BHJ4" s="59"/>
      <c r="BHK4" s="59"/>
      <c r="BHL4" s="59"/>
      <c r="BHM4" s="59"/>
      <c r="BHN4" s="59"/>
      <c r="BHO4" s="59"/>
      <c r="BHP4" s="59"/>
      <c r="BHQ4" s="59"/>
      <c r="BHR4" s="59"/>
      <c r="BHS4" s="59"/>
      <c r="BHT4" s="59"/>
      <c r="BHU4" s="59"/>
      <c r="BHV4" s="59"/>
      <c r="BHW4" s="59"/>
      <c r="BHX4" s="59"/>
      <c r="BHY4" s="59"/>
      <c r="BHZ4" s="59"/>
      <c r="BIA4" s="59"/>
      <c r="BIB4" s="59"/>
      <c r="BIC4" s="59"/>
      <c r="BID4" s="59"/>
      <c r="BIE4" s="59"/>
      <c r="BIF4" s="59"/>
      <c r="BIG4" s="59"/>
      <c r="BIH4" s="59"/>
      <c r="BII4" s="59"/>
      <c r="BIJ4" s="59"/>
      <c r="BIK4" s="59"/>
      <c r="BIL4" s="59"/>
      <c r="BIM4" s="59"/>
      <c r="BIN4" s="59"/>
      <c r="BIO4" s="59"/>
      <c r="BIP4" s="59"/>
      <c r="BIQ4" s="59"/>
      <c r="BIR4" s="59"/>
      <c r="BIS4" s="59"/>
      <c r="BIT4" s="59"/>
      <c r="BIU4" s="59"/>
      <c r="BIV4" s="59"/>
      <c r="BIW4" s="59"/>
      <c r="BIX4" s="59"/>
      <c r="BIY4" s="59"/>
      <c r="BIZ4" s="59"/>
      <c r="BJA4" s="59"/>
      <c r="BJB4" s="59"/>
      <c r="BJC4" s="59"/>
      <c r="BJD4" s="59"/>
      <c r="BJE4" s="59"/>
      <c r="BJF4" s="59"/>
      <c r="BJG4" s="59"/>
      <c r="BJH4" s="59"/>
      <c r="BJI4" s="59"/>
      <c r="BJJ4" s="59"/>
      <c r="BJK4" s="59"/>
      <c r="BJL4" s="59"/>
      <c r="BJM4" s="59"/>
      <c r="BJN4" s="59"/>
      <c r="BJO4" s="59"/>
      <c r="BJP4" s="59"/>
      <c r="BJQ4" s="59"/>
      <c r="BJR4" s="59"/>
      <c r="BJS4" s="59"/>
      <c r="BJT4" s="59"/>
      <c r="BJU4" s="59"/>
      <c r="BJV4" s="59"/>
      <c r="BJW4" s="59"/>
      <c r="BJX4" s="59"/>
      <c r="BJY4" s="59"/>
      <c r="BJZ4" s="59"/>
      <c r="BKA4" s="59"/>
      <c r="BKB4" s="59"/>
      <c r="BKC4" s="59"/>
      <c r="BKD4" s="59"/>
      <c r="BKE4" s="59"/>
      <c r="BKF4" s="59"/>
      <c r="BKG4" s="59"/>
      <c r="BKH4" s="59"/>
      <c r="BKI4" s="59"/>
      <c r="BKJ4" s="59"/>
      <c r="BKK4" s="59"/>
      <c r="BKL4" s="59"/>
      <c r="BKM4" s="59"/>
      <c r="BKN4" s="59"/>
      <c r="BKO4" s="59"/>
      <c r="BKP4" s="59"/>
      <c r="BKQ4" s="59"/>
      <c r="BKR4" s="59"/>
      <c r="BKS4" s="59"/>
      <c r="BKT4" s="59"/>
      <c r="BKU4" s="59"/>
      <c r="BKV4" s="59"/>
      <c r="BKW4" s="59"/>
      <c r="BKX4" s="59"/>
      <c r="BKY4" s="59"/>
      <c r="BKZ4" s="59"/>
      <c r="BLA4" s="59"/>
      <c r="BLB4" s="59"/>
      <c r="BLC4" s="59"/>
      <c r="BLD4" s="59"/>
      <c r="BLE4" s="59"/>
      <c r="BLF4" s="59"/>
      <c r="BLG4" s="59"/>
      <c r="BLH4" s="59"/>
      <c r="BLI4" s="59"/>
      <c r="BLJ4" s="59"/>
      <c r="BLK4" s="59"/>
      <c r="BLL4" s="59"/>
      <c r="BLM4" s="59"/>
      <c r="BLN4" s="59"/>
      <c r="BLO4" s="59"/>
      <c r="BLP4" s="59"/>
      <c r="BLQ4" s="59"/>
      <c r="BLR4" s="59"/>
      <c r="BLS4" s="59"/>
      <c r="BLT4" s="59"/>
      <c r="BLU4" s="59"/>
      <c r="BLV4" s="59"/>
      <c r="BLW4" s="59"/>
      <c r="BLX4" s="59"/>
      <c r="BLY4" s="59"/>
      <c r="BLZ4" s="59"/>
      <c r="BMA4" s="59"/>
      <c r="BMB4" s="59"/>
      <c r="BMC4" s="59"/>
      <c r="BMD4" s="59"/>
      <c r="BME4" s="59"/>
      <c r="BMF4" s="59"/>
      <c r="BMG4" s="59"/>
      <c r="BMH4" s="59"/>
      <c r="BMI4" s="59"/>
      <c r="BMJ4" s="59"/>
      <c r="BMK4" s="59"/>
      <c r="BML4" s="59"/>
      <c r="BMM4" s="59"/>
      <c r="BMN4" s="59"/>
      <c r="BMO4" s="59"/>
      <c r="BMP4" s="59"/>
      <c r="BMQ4" s="59"/>
      <c r="BMR4" s="59"/>
      <c r="BMS4" s="59"/>
      <c r="BMT4" s="59"/>
      <c r="BMU4" s="59"/>
      <c r="BMV4" s="59"/>
      <c r="BMW4" s="59"/>
      <c r="BMX4" s="59"/>
      <c r="BMY4" s="59"/>
      <c r="BMZ4" s="59"/>
      <c r="BNA4" s="59"/>
      <c r="BNB4" s="59"/>
      <c r="BNC4" s="59"/>
      <c r="BND4" s="59"/>
      <c r="BNE4" s="59"/>
      <c r="BNF4" s="59"/>
      <c r="BNG4" s="59"/>
      <c r="BNH4" s="59"/>
      <c r="BNI4" s="59"/>
      <c r="BNJ4" s="59"/>
      <c r="BNK4" s="59"/>
      <c r="BNL4" s="59"/>
      <c r="BNM4" s="59"/>
      <c r="BNN4" s="59"/>
      <c r="BNO4" s="59"/>
      <c r="BNP4" s="59"/>
      <c r="BNQ4" s="59"/>
      <c r="BNR4" s="59"/>
      <c r="BNS4" s="59"/>
      <c r="BNT4" s="59"/>
      <c r="BNU4" s="59"/>
      <c r="BNV4" s="59"/>
      <c r="BNW4" s="59"/>
      <c r="BNX4" s="59"/>
      <c r="BNY4" s="59"/>
      <c r="BNZ4" s="59"/>
      <c r="BOA4" s="59"/>
      <c r="BOB4" s="59"/>
      <c r="BOC4" s="59"/>
      <c r="BOD4" s="59"/>
      <c r="BOE4" s="59"/>
      <c r="BOF4" s="59"/>
      <c r="BOG4" s="59"/>
      <c r="BOH4" s="59"/>
      <c r="BOI4" s="59"/>
      <c r="BOJ4" s="59"/>
      <c r="BOK4" s="59"/>
      <c r="BOL4" s="59"/>
      <c r="BOM4" s="59"/>
      <c r="BON4" s="59"/>
      <c r="BOO4" s="59"/>
      <c r="BOP4" s="59"/>
      <c r="BOQ4" s="59"/>
      <c r="BOR4" s="59"/>
      <c r="BOS4" s="59"/>
      <c r="BOT4" s="59"/>
      <c r="BOU4" s="59"/>
      <c r="BOV4" s="59"/>
      <c r="BOW4" s="59"/>
      <c r="BOX4" s="59"/>
      <c r="BOY4" s="59"/>
      <c r="BOZ4" s="59"/>
      <c r="BPA4" s="59"/>
      <c r="BPB4" s="59"/>
      <c r="BPC4" s="59"/>
      <c r="BPD4" s="59"/>
      <c r="BPE4" s="59"/>
      <c r="BPF4" s="59"/>
      <c r="BPG4" s="59"/>
      <c r="BPH4" s="59"/>
      <c r="BPI4" s="59"/>
      <c r="BPJ4" s="59"/>
      <c r="BPK4" s="59"/>
      <c r="BPL4" s="59"/>
      <c r="BPM4" s="59"/>
      <c r="BPN4" s="59"/>
      <c r="BPO4" s="59"/>
      <c r="BPP4" s="59"/>
      <c r="BPQ4" s="59"/>
      <c r="BPR4" s="59"/>
      <c r="BPS4" s="59"/>
      <c r="BPT4" s="59"/>
      <c r="BPU4" s="59"/>
      <c r="BPV4" s="59"/>
      <c r="BPW4" s="59"/>
      <c r="BPX4" s="59"/>
      <c r="BPY4" s="59"/>
      <c r="BPZ4" s="59"/>
      <c r="BQA4" s="59"/>
      <c r="BQB4" s="59"/>
      <c r="BQC4" s="59"/>
      <c r="BQD4" s="59"/>
      <c r="BQE4" s="59"/>
      <c r="BQF4" s="59"/>
      <c r="BQG4" s="59"/>
      <c r="BQH4" s="59"/>
      <c r="BQI4" s="59"/>
      <c r="BQJ4" s="59"/>
      <c r="BQK4" s="59"/>
      <c r="BQL4" s="59"/>
      <c r="BQM4" s="59"/>
      <c r="BQN4" s="59"/>
      <c r="BQO4" s="59"/>
      <c r="BQP4" s="59"/>
      <c r="BQQ4" s="59"/>
      <c r="BQR4" s="59"/>
      <c r="BQS4" s="59"/>
      <c r="BQT4" s="59"/>
      <c r="BQU4" s="59"/>
      <c r="BQV4" s="59"/>
      <c r="BQW4" s="59"/>
      <c r="BQX4" s="59"/>
      <c r="BQY4" s="59"/>
      <c r="BQZ4" s="59"/>
      <c r="BRA4" s="59"/>
      <c r="BRB4" s="59"/>
      <c r="BRC4" s="59"/>
      <c r="BRD4" s="59"/>
      <c r="BRE4" s="59"/>
      <c r="BRF4" s="59"/>
      <c r="BRG4" s="59"/>
      <c r="BRH4" s="59"/>
      <c r="BRI4" s="59"/>
      <c r="BRJ4" s="59"/>
      <c r="BRK4" s="59"/>
      <c r="BRL4" s="59"/>
      <c r="BRM4" s="59"/>
      <c r="BRN4" s="59"/>
      <c r="BRO4" s="59"/>
      <c r="BRP4" s="59"/>
      <c r="BRQ4" s="59"/>
      <c r="BRR4" s="59"/>
      <c r="BRS4" s="59"/>
      <c r="BRT4" s="59"/>
      <c r="BRU4" s="59"/>
      <c r="BRV4" s="59"/>
      <c r="BRW4" s="59"/>
      <c r="BRX4" s="59"/>
      <c r="BRY4" s="59"/>
      <c r="BRZ4" s="59"/>
      <c r="BSA4" s="59"/>
      <c r="BSB4" s="59"/>
      <c r="BSC4" s="59"/>
      <c r="BSD4" s="59"/>
      <c r="BSE4" s="59"/>
      <c r="BSF4" s="59"/>
      <c r="BSG4" s="59"/>
      <c r="BSH4" s="59"/>
      <c r="BSI4" s="59"/>
      <c r="BSJ4" s="59"/>
      <c r="BSK4" s="59"/>
      <c r="BSL4" s="59"/>
      <c r="BSM4" s="59"/>
      <c r="BSN4" s="59"/>
      <c r="BSO4" s="59"/>
      <c r="BSP4" s="59"/>
      <c r="BSQ4" s="59"/>
      <c r="BSR4" s="59"/>
      <c r="BSS4" s="59"/>
      <c r="BST4" s="59"/>
      <c r="BSU4" s="59"/>
      <c r="BSV4" s="59"/>
      <c r="BSW4" s="59"/>
      <c r="BSX4" s="59"/>
      <c r="BSY4" s="59"/>
      <c r="BSZ4" s="59"/>
      <c r="BTA4" s="59"/>
      <c r="BTB4" s="59"/>
      <c r="BTC4" s="59"/>
      <c r="BTD4" s="59"/>
      <c r="BTE4" s="59"/>
      <c r="BTF4" s="59"/>
      <c r="BTG4" s="59"/>
      <c r="BTH4" s="59"/>
      <c r="BTI4" s="59"/>
      <c r="BTJ4" s="59"/>
      <c r="BTK4" s="59"/>
      <c r="BTL4" s="59"/>
      <c r="BTM4" s="59"/>
      <c r="BTN4" s="59"/>
      <c r="BTO4" s="59"/>
      <c r="BTP4" s="59"/>
      <c r="BTQ4" s="59"/>
      <c r="BTR4" s="59"/>
      <c r="BTS4" s="59"/>
      <c r="BTT4" s="59"/>
      <c r="BTU4" s="59"/>
      <c r="BTV4" s="59"/>
      <c r="BTW4" s="59"/>
      <c r="BTX4" s="59"/>
      <c r="BTY4" s="59"/>
      <c r="BTZ4" s="59"/>
      <c r="BUA4" s="59"/>
      <c r="BUB4" s="59"/>
      <c r="BUC4" s="59"/>
      <c r="BUD4" s="59"/>
      <c r="BUE4" s="59"/>
      <c r="BUF4" s="59"/>
      <c r="BUG4" s="59"/>
      <c r="BUH4" s="59"/>
      <c r="BUI4" s="59"/>
      <c r="BUJ4" s="59"/>
      <c r="BUK4" s="59"/>
      <c r="BUL4" s="59"/>
      <c r="BUM4" s="59"/>
      <c r="BUN4" s="59"/>
      <c r="BUO4" s="59"/>
      <c r="BUP4" s="59"/>
      <c r="BUQ4" s="59"/>
      <c r="BUR4" s="59"/>
      <c r="BUS4" s="59"/>
      <c r="BUT4" s="59"/>
      <c r="BUU4" s="59"/>
      <c r="BUV4" s="59"/>
      <c r="BUW4" s="59"/>
      <c r="BUX4" s="59"/>
      <c r="BUY4" s="59"/>
      <c r="BUZ4" s="59"/>
      <c r="BVA4" s="59"/>
      <c r="BVB4" s="59"/>
      <c r="BVC4" s="59"/>
      <c r="BVD4" s="59"/>
      <c r="BVE4" s="59"/>
      <c r="BVF4" s="59"/>
      <c r="BVG4" s="59"/>
      <c r="BVH4" s="59"/>
      <c r="BVI4" s="59"/>
      <c r="BVJ4" s="59"/>
      <c r="BVK4" s="59"/>
      <c r="BVL4" s="59"/>
      <c r="BVM4" s="59"/>
      <c r="BVN4" s="59"/>
      <c r="BVO4" s="59"/>
      <c r="BVP4" s="59"/>
      <c r="BVQ4" s="59"/>
      <c r="BVR4" s="59"/>
      <c r="BVS4" s="59"/>
      <c r="BVT4" s="59"/>
      <c r="BVU4" s="59"/>
      <c r="BVV4" s="59"/>
      <c r="BVW4" s="59"/>
      <c r="BVX4" s="59"/>
      <c r="BVY4" s="59"/>
      <c r="BVZ4" s="59"/>
      <c r="BWA4" s="59"/>
      <c r="BWB4" s="59"/>
      <c r="BWC4" s="59"/>
      <c r="BWD4" s="59"/>
      <c r="BWE4" s="59"/>
      <c r="BWF4" s="59"/>
      <c r="BWG4" s="59"/>
      <c r="BWH4" s="59"/>
      <c r="BWI4" s="59"/>
      <c r="BWJ4" s="59"/>
      <c r="BWK4" s="59"/>
      <c r="BWL4" s="59"/>
      <c r="BWM4" s="59"/>
      <c r="BWN4" s="59"/>
      <c r="BWO4" s="59"/>
      <c r="BWP4" s="59"/>
      <c r="BWQ4" s="59"/>
      <c r="BWR4" s="59"/>
      <c r="BWS4" s="59"/>
      <c r="BWT4" s="59"/>
      <c r="BWU4" s="59"/>
      <c r="BWV4" s="59"/>
      <c r="BWW4" s="59"/>
      <c r="BWX4" s="59"/>
      <c r="BWY4" s="59"/>
      <c r="BWZ4" s="59"/>
      <c r="BXA4" s="59"/>
      <c r="BXB4" s="59"/>
      <c r="BXC4" s="59"/>
      <c r="BXD4" s="59"/>
      <c r="BXE4" s="59"/>
      <c r="BXF4" s="59"/>
      <c r="BXG4" s="59"/>
      <c r="BXH4" s="59"/>
      <c r="BXI4" s="59"/>
      <c r="BXJ4" s="59"/>
      <c r="BXK4" s="59"/>
      <c r="BXL4" s="59"/>
      <c r="BXM4" s="59"/>
      <c r="BXN4" s="59"/>
      <c r="BXO4" s="59"/>
      <c r="BXP4" s="59"/>
      <c r="BXQ4" s="59"/>
      <c r="BXR4" s="59"/>
      <c r="BXS4" s="59"/>
      <c r="BXT4" s="59"/>
      <c r="BXU4" s="59"/>
      <c r="BXV4" s="59"/>
      <c r="BXW4" s="59"/>
      <c r="BXX4" s="59"/>
      <c r="BXY4" s="59"/>
      <c r="BXZ4" s="59"/>
      <c r="BYA4" s="59"/>
      <c r="BYB4" s="59"/>
      <c r="BYC4" s="59"/>
      <c r="BYD4" s="59"/>
      <c r="BYE4" s="59"/>
      <c r="BYF4" s="59"/>
      <c r="BYG4" s="59"/>
      <c r="BYH4" s="59"/>
      <c r="BYI4" s="59"/>
      <c r="BYJ4" s="59"/>
      <c r="BYK4" s="59"/>
      <c r="BYL4" s="59"/>
      <c r="BYM4" s="59"/>
      <c r="BYN4" s="59"/>
      <c r="BYO4" s="59"/>
      <c r="BYP4" s="59"/>
      <c r="BYQ4" s="59"/>
      <c r="BYR4" s="59"/>
      <c r="BYS4" s="59"/>
      <c r="BYT4" s="59"/>
      <c r="BYU4" s="59"/>
      <c r="BYV4" s="59"/>
      <c r="BYW4" s="59"/>
      <c r="BYX4" s="59"/>
      <c r="BYY4" s="59"/>
      <c r="BYZ4" s="59"/>
      <c r="BZA4" s="59"/>
      <c r="BZB4" s="59"/>
      <c r="BZC4" s="59"/>
      <c r="BZD4" s="59"/>
      <c r="BZE4" s="59"/>
      <c r="BZF4" s="59"/>
      <c r="BZG4" s="59"/>
      <c r="BZH4" s="59"/>
      <c r="BZI4" s="59"/>
      <c r="BZJ4" s="59"/>
      <c r="BZK4" s="59"/>
      <c r="BZL4" s="59"/>
      <c r="BZM4" s="59"/>
      <c r="BZN4" s="59"/>
      <c r="BZO4" s="59"/>
      <c r="BZP4" s="59"/>
      <c r="BZQ4" s="59"/>
      <c r="BZR4" s="59"/>
      <c r="BZS4" s="59"/>
      <c r="BZT4" s="59"/>
      <c r="BZU4" s="59"/>
      <c r="BZV4" s="59"/>
      <c r="BZW4" s="59"/>
      <c r="BZX4" s="59"/>
      <c r="BZY4" s="59"/>
      <c r="BZZ4" s="59"/>
      <c r="CAA4" s="59"/>
      <c r="CAB4" s="59"/>
      <c r="CAC4" s="59"/>
      <c r="CAD4" s="59"/>
      <c r="CAE4" s="59"/>
      <c r="CAF4" s="59"/>
      <c r="CAG4" s="59"/>
      <c r="CAH4" s="59"/>
      <c r="CAI4" s="59"/>
      <c r="CAJ4" s="59"/>
      <c r="CAK4" s="59"/>
      <c r="CAL4" s="59"/>
      <c r="CAM4" s="59"/>
      <c r="CAN4" s="59"/>
      <c r="CAO4" s="59"/>
      <c r="CAP4" s="59"/>
      <c r="CAQ4" s="59"/>
      <c r="CAR4" s="59"/>
      <c r="CAS4" s="59"/>
      <c r="CAT4" s="59"/>
      <c r="CAU4" s="59"/>
      <c r="CAV4" s="59"/>
      <c r="CAW4" s="59"/>
      <c r="CAX4" s="59"/>
      <c r="CAY4" s="59"/>
      <c r="CAZ4" s="59"/>
      <c r="CBA4" s="59"/>
      <c r="CBB4" s="59"/>
      <c r="CBC4" s="59"/>
      <c r="CBD4" s="59"/>
      <c r="CBE4" s="59"/>
      <c r="CBF4" s="59"/>
      <c r="CBG4" s="59"/>
      <c r="CBH4" s="59"/>
      <c r="CBI4" s="59"/>
      <c r="CBJ4" s="59"/>
      <c r="CBK4" s="59"/>
      <c r="CBL4" s="59"/>
      <c r="CBM4" s="59"/>
      <c r="CBN4" s="59"/>
      <c r="CBO4" s="59"/>
      <c r="CBP4" s="59"/>
      <c r="CBQ4" s="59"/>
      <c r="CBR4" s="59"/>
      <c r="CBS4" s="59"/>
      <c r="CBT4" s="59"/>
      <c r="CBU4" s="59"/>
      <c r="CBV4" s="59"/>
      <c r="CBW4" s="59"/>
      <c r="CBX4" s="59"/>
      <c r="CBY4" s="59"/>
      <c r="CBZ4" s="59"/>
      <c r="CCA4" s="59"/>
      <c r="CCB4" s="59"/>
      <c r="CCC4" s="59"/>
      <c r="CCD4" s="59"/>
      <c r="CCE4" s="59"/>
      <c r="CCF4" s="59"/>
      <c r="CCG4" s="59"/>
      <c r="CCH4" s="59"/>
      <c r="CCI4" s="59"/>
      <c r="CCJ4" s="59"/>
      <c r="CCK4" s="59"/>
      <c r="CCL4" s="59"/>
      <c r="CCM4" s="59"/>
      <c r="CCN4" s="59"/>
      <c r="CCO4" s="59"/>
      <c r="CCP4" s="59"/>
      <c r="CCQ4" s="59"/>
      <c r="CCR4" s="59"/>
      <c r="CCS4" s="59"/>
      <c r="CCT4" s="59"/>
      <c r="CCU4" s="59"/>
      <c r="CCV4" s="59"/>
      <c r="CCW4" s="59"/>
      <c r="CCX4" s="59"/>
      <c r="CCY4" s="59"/>
      <c r="CCZ4" s="59"/>
      <c r="CDA4" s="59"/>
      <c r="CDB4" s="59"/>
      <c r="CDC4" s="59"/>
      <c r="CDD4" s="59"/>
      <c r="CDE4" s="59"/>
      <c r="CDF4" s="59"/>
      <c r="CDG4" s="59"/>
      <c r="CDH4" s="59"/>
      <c r="CDI4" s="59"/>
      <c r="CDJ4" s="59"/>
      <c r="CDK4" s="59"/>
      <c r="CDL4" s="59"/>
      <c r="CDM4" s="59"/>
      <c r="CDN4" s="59"/>
      <c r="CDO4" s="59"/>
      <c r="CDP4" s="59"/>
      <c r="CDQ4" s="59"/>
      <c r="CDR4" s="59"/>
      <c r="CDS4" s="59"/>
      <c r="CDT4" s="59"/>
      <c r="CDU4" s="59"/>
      <c r="CDV4" s="59"/>
      <c r="CDW4" s="59"/>
      <c r="CDX4" s="59"/>
      <c r="CDY4" s="59"/>
      <c r="CDZ4" s="59"/>
      <c r="CEA4" s="59"/>
      <c r="CEB4" s="59"/>
      <c r="CEC4" s="59"/>
      <c r="CED4" s="59"/>
      <c r="CEE4" s="59"/>
      <c r="CEF4" s="59"/>
      <c r="CEG4" s="59"/>
      <c r="CEH4" s="59"/>
      <c r="CEI4" s="59"/>
      <c r="CEJ4" s="59"/>
      <c r="CEK4" s="59"/>
      <c r="CEL4" s="59"/>
      <c r="CEM4" s="59"/>
      <c r="CEN4" s="59"/>
      <c r="CEO4" s="59"/>
      <c r="CEP4" s="59"/>
      <c r="CEQ4" s="59"/>
      <c r="CER4" s="59"/>
      <c r="CES4" s="59"/>
      <c r="CET4" s="59"/>
      <c r="CEU4" s="59"/>
      <c r="CEV4" s="59"/>
      <c r="CEW4" s="59"/>
      <c r="CEX4" s="59"/>
      <c r="CEY4" s="59"/>
      <c r="CEZ4" s="59"/>
      <c r="CFA4" s="59"/>
      <c r="CFB4" s="59"/>
      <c r="CFC4" s="59"/>
      <c r="CFD4" s="59"/>
      <c r="CFE4" s="59"/>
      <c r="CFF4" s="59"/>
      <c r="CFG4" s="59"/>
      <c r="CFH4" s="59"/>
      <c r="CFI4" s="59"/>
      <c r="CFJ4" s="59"/>
      <c r="CFK4" s="59"/>
      <c r="CFL4" s="59"/>
      <c r="CFM4" s="59"/>
      <c r="CFN4" s="59"/>
      <c r="CFO4" s="59"/>
      <c r="CFP4" s="59"/>
      <c r="CFQ4" s="59"/>
      <c r="CFR4" s="59"/>
      <c r="CFS4" s="59"/>
      <c r="CFT4" s="59"/>
      <c r="CFU4" s="59"/>
      <c r="CFV4" s="59"/>
      <c r="CFW4" s="59"/>
      <c r="CFX4" s="59"/>
      <c r="CFY4" s="59"/>
      <c r="CFZ4" s="59"/>
      <c r="CGA4" s="59"/>
      <c r="CGB4" s="59"/>
      <c r="CGC4" s="59"/>
      <c r="CGD4" s="59"/>
      <c r="CGE4" s="59"/>
      <c r="CGF4" s="59"/>
      <c r="CGG4" s="59"/>
      <c r="CGH4" s="59"/>
      <c r="CGI4" s="59"/>
      <c r="CGJ4" s="59"/>
      <c r="CGK4" s="59"/>
      <c r="CGL4" s="59"/>
      <c r="CGM4" s="59"/>
      <c r="CGN4" s="59"/>
      <c r="CGO4" s="59"/>
      <c r="CGP4" s="59"/>
      <c r="CGQ4" s="59"/>
      <c r="CGR4" s="59"/>
      <c r="CGS4" s="59"/>
      <c r="CGT4" s="59"/>
      <c r="CGU4" s="59"/>
      <c r="CGV4" s="59"/>
      <c r="CGW4" s="59"/>
      <c r="CGX4" s="59"/>
      <c r="CGY4" s="59"/>
      <c r="CGZ4" s="59"/>
      <c r="CHA4" s="59"/>
      <c r="CHB4" s="59"/>
      <c r="CHC4" s="59"/>
      <c r="CHD4" s="59"/>
      <c r="CHE4" s="59"/>
      <c r="CHF4" s="59"/>
      <c r="CHG4" s="59"/>
      <c r="CHH4" s="59"/>
      <c r="CHI4" s="59"/>
      <c r="CHJ4" s="59"/>
      <c r="CHK4" s="59"/>
      <c r="CHL4" s="59"/>
      <c r="CHM4" s="59"/>
      <c r="CHN4" s="59"/>
      <c r="CHO4" s="59"/>
      <c r="CHP4" s="59"/>
      <c r="CHQ4" s="59"/>
      <c r="CHR4" s="59"/>
      <c r="CHS4" s="59"/>
      <c r="CHT4" s="59"/>
      <c r="CHU4" s="59"/>
      <c r="CHV4" s="59"/>
      <c r="CHW4" s="59"/>
      <c r="CHX4" s="59"/>
      <c r="CHY4" s="59"/>
      <c r="CHZ4" s="59"/>
      <c r="CIA4" s="59"/>
      <c r="CIB4" s="59"/>
      <c r="CIC4" s="59"/>
      <c r="CID4" s="59"/>
      <c r="CIE4" s="59"/>
      <c r="CIF4" s="59"/>
      <c r="CIG4" s="59"/>
      <c r="CIH4" s="59"/>
      <c r="CII4" s="59"/>
      <c r="CIJ4" s="59"/>
      <c r="CIK4" s="59"/>
      <c r="CIL4" s="59"/>
      <c r="CIM4" s="59"/>
      <c r="CIN4" s="59"/>
      <c r="CIO4" s="59"/>
      <c r="CIP4" s="59"/>
      <c r="CIQ4" s="59"/>
      <c r="CIR4" s="59"/>
      <c r="CIS4" s="59"/>
      <c r="CIT4" s="59"/>
      <c r="CIU4" s="59"/>
      <c r="CIV4" s="59"/>
      <c r="CIW4" s="59"/>
      <c r="CIX4" s="59"/>
      <c r="CIY4" s="59"/>
      <c r="CIZ4" s="59"/>
      <c r="CJA4" s="59"/>
      <c r="CJB4" s="59"/>
      <c r="CJC4" s="59"/>
      <c r="CJD4" s="59"/>
      <c r="CJE4" s="59"/>
      <c r="CJF4" s="59"/>
      <c r="CJG4" s="59"/>
      <c r="CJH4" s="59"/>
      <c r="CJI4" s="59"/>
      <c r="CJJ4" s="59"/>
      <c r="CJK4" s="59"/>
      <c r="CJL4" s="59"/>
      <c r="CJM4" s="59"/>
      <c r="CJN4" s="59"/>
      <c r="CJO4" s="59"/>
      <c r="CJP4" s="59"/>
      <c r="CJQ4" s="59"/>
      <c r="CJR4" s="59"/>
      <c r="CJS4" s="59"/>
      <c r="CJT4" s="59"/>
      <c r="CJU4" s="59"/>
      <c r="CJV4" s="59"/>
      <c r="CJW4" s="59"/>
      <c r="CJX4" s="59"/>
      <c r="CJY4" s="59"/>
      <c r="CJZ4" s="59"/>
      <c r="CKA4" s="59"/>
      <c r="CKB4" s="59"/>
      <c r="CKC4" s="59"/>
      <c r="CKD4" s="59"/>
      <c r="CKE4" s="59"/>
      <c r="CKF4" s="59"/>
      <c r="CKG4" s="59"/>
      <c r="CKH4" s="59"/>
      <c r="CKI4" s="59"/>
      <c r="CKJ4" s="59"/>
      <c r="CKK4" s="59"/>
      <c r="CKL4" s="59"/>
      <c r="CKM4" s="59"/>
      <c r="CKN4" s="59"/>
      <c r="CKO4" s="59"/>
      <c r="CKP4" s="59"/>
      <c r="CKQ4" s="59"/>
      <c r="CKR4" s="59"/>
      <c r="CKS4" s="59"/>
      <c r="CKT4" s="59"/>
      <c r="CKU4" s="59"/>
      <c r="CKV4" s="59"/>
      <c r="CKW4" s="59"/>
      <c r="CKX4" s="59"/>
      <c r="CKY4" s="59"/>
      <c r="CKZ4" s="59"/>
      <c r="CLA4" s="59"/>
      <c r="CLB4" s="59"/>
      <c r="CLC4" s="59"/>
      <c r="CLD4" s="59"/>
      <c r="CLE4" s="59"/>
      <c r="CLF4" s="59"/>
      <c r="CLG4" s="59"/>
      <c r="CLH4" s="59"/>
      <c r="CLI4" s="59"/>
      <c r="CLJ4" s="59"/>
      <c r="CLK4" s="59"/>
      <c r="CLL4" s="59"/>
      <c r="CLM4" s="59"/>
      <c r="CLN4" s="59"/>
      <c r="CLO4" s="59"/>
      <c r="CLP4" s="59"/>
      <c r="CLQ4" s="59"/>
      <c r="CLR4" s="59"/>
      <c r="CLS4" s="59"/>
      <c r="CLT4" s="59"/>
      <c r="CLU4" s="59"/>
      <c r="CLV4" s="59"/>
      <c r="CLW4" s="59"/>
      <c r="CLX4" s="59"/>
      <c r="CLY4" s="59"/>
      <c r="CLZ4" s="59"/>
      <c r="CMA4" s="59"/>
      <c r="CMB4" s="59"/>
      <c r="CMC4" s="59"/>
      <c r="CMD4" s="59"/>
      <c r="CME4" s="59"/>
      <c r="CMF4" s="59"/>
      <c r="CMG4" s="59"/>
      <c r="CMH4" s="59"/>
      <c r="CMI4" s="59"/>
      <c r="CMJ4" s="59"/>
      <c r="CMK4" s="59"/>
      <c r="CML4" s="59"/>
      <c r="CMM4" s="59"/>
      <c r="CMN4" s="59"/>
      <c r="CMO4" s="59"/>
      <c r="CMP4" s="59"/>
      <c r="CMQ4" s="59"/>
      <c r="CMR4" s="59"/>
      <c r="CMS4" s="59"/>
      <c r="CMT4" s="59"/>
      <c r="CMU4" s="59"/>
      <c r="CMV4" s="59"/>
      <c r="CMW4" s="59"/>
      <c r="CMX4" s="59"/>
      <c r="CMY4" s="59"/>
      <c r="CMZ4" s="59"/>
      <c r="CNA4" s="59"/>
      <c r="CNB4" s="59"/>
      <c r="CNC4" s="59"/>
      <c r="CND4" s="59"/>
      <c r="CNE4" s="59"/>
      <c r="CNF4" s="59"/>
      <c r="CNG4" s="59"/>
      <c r="CNH4" s="59"/>
      <c r="CNI4" s="59"/>
      <c r="CNJ4" s="59"/>
      <c r="CNK4" s="59"/>
      <c r="CNL4" s="59"/>
      <c r="CNM4" s="59"/>
      <c r="CNN4" s="59"/>
      <c r="CNO4" s="59"/>
      <c r="CNP4" s="59"/>
      <c r="CNQ4" s="59"/>
      <c r="CNR4" s="59"/>
      <c r="CNS4" s="59"/>
      <c r="CNT4" s="59"/>
      <c r="CNU4" s="59"/>
      <c r="CNV4" s="59"/>
      <c r="CNW4" s="59"/>
      <c r="CNX4" s="59"/>
      <c r="CNY4" s="59"/>
      <c r="CNZ4" s="59"/>
      <c r="COA4" s="59"/>
      <c r="COB4" s="59"/>
      <c r="COC4" s="59"/>
      <c r="COD4" s="59"/>
      <c r="COE4" s="59"/>
      <c r="COF4" s="59"/>
      <c r="COG4" s="59"/>
      <c r="COH4" s="59"/>
      <c r="COI4" s="59"/>
      <c r="COJ4" s="59"/>
      <c r="COK4" s="59"/>
      <c r="COL4" s="59"/>
      <c r="COM4" s="59"/>
      <c r="CON4" s="59"/>
      <c r="COO4" s="59"/>
      <c r="COP4" s="59"/>
      <c r="COQ4" s="59"/>
      <c r="COR4" s="59"/>
      <c r="COS4" s="59"/>
      <c r="COT4" s="59"/>
      <c r="COU4" s="59"/>
      <c r="COV4" s="59"/>
      <c r="COW4" s="59"/>
      <c r="COX4" s="59"/>
      <c r="COY4" s="59"/>
      <c r="COZ4" s="59"/>
      <c r="CPA4" s="59"/>
      <c r="CPB4" s="59"/>
      <c r="CPC4" s="59"/>
      <c r="CPD4" s="59"/>
      <c r="CPE4" s="59"/>
      <c r="CPF4" s="59"/>
      <c r="CPG4" s="59"/>
      <c r="CPH4" s="59"/>
      <c r="CPI4" s="59"/>
      <c r="CPJ4" s="59"/>
      <c r="CPK4" s="59"/>
      <c r="CPL4" s="59"/>
      <c r="CPM4" s="59"/>
      <c r="CPN4" s="59"/>
      <c r="CPO4" s="59"/>
      <c r="CPP4" s="59"/>
      <c r="CPQ4" s="59"/>
      <c r="CPR4" s="59"/>
      <c r="CPS4" s="59"/>
      <c r="CPT4" s="59"/>
      <c r="CPU4" s="59"/>
      <c r="CPV4" s="59"/>
      <c r="CPW4" s="59"/>
      <c r="CPX4" s="59"/>
      <c r="CPY4" s="59"/>
      <c r="CPZ4" s="59"/>
      <c r="CQA4" s="59"/>
      <c r="CQB4" s="59"/>
      <c r="CQC4" s="59"/>
      <c r="CQD4" s="59"/>
      <c r="CQE4" s="59"/>
      <c r="CQF4" s="59"/>
      <c r="CQG4" s="59"/>
      <c r="CQH4" s="59"/>
      <c r="CQI4" s="59"/>
      <c r="CQJ4" s="59"/>
      <c r="CQK4" s="59"/>
      <c r="CQL4" s="59"/>
      <c r="CQM4" s="59"/>
      <c r="CQN4" s="59"/>
      <c r="CQO4" s="59"/>
      <c r="CQP4" s="59"/>
      <c r="CQQ4" s="59"/>
      <c r="CQR4" s="59"/>
      <c r="CQS4" s="59"/>
      <c r="CQT4" s="59"/>
      <c r="CQU4" s="59"/>
      <c r="CQV4" s="59"/>
      <c r="CQW4" s="59"/>
      <c r="CQX4" s="59"/>
      <c r="CQY4" s="59"/>
      <c r="CQZ4" s="59"/>
      <c r="CRA4" s="59"/>
      <c r="CRB4" s="59"/>
      <c r="CRC4" s="59"/>
      <c r="CRD4" s="59"/>
      <c r="CRE4" s="59"/>
      <c r="CRF4" s="59"/>
      <c r="CRG4" s="59"/>
      <c r="CRH4" s="59"/>
      <c r="CRI4" s="59"/>
      <c r="CRJ4" s="59"/>
      <c r="CRK4" s="59"/>
      <c r="CRL4" s="59"/>
      <c r="CRM4" s="59"/>
      <c r="CRN4" s="59"/>
      <c r="CRO4" s="59"/>
      <c r="CRP4" s="59"/>
      <c r="CRQ4" s="59"/>
      <c r="CRR4" s="59"/>
      <c r="CRS4" s="59"/>
      <c r="CRT4" s="59"/>
      <c r="CRU4" s="59"/>
      <c r="CRV4" s="59"/>
      <c r="CRW4" s="59"/>
      <c r="CRX4" s="59"/>
      <c r="CRY4" s="59"/>
      <c r="CRZ4" s="59"/>
      <c r="CSA4" s="59"/>
      <c r="CSB4" s="59"/>
      <c r="CSC4" s="59"/>
      <c r="CSD4" s="59"/>
      <c r="CSE4" s="59"/>
      <c r="CSF4" s="59"/>
      <c r="CSG4" s="59"/>
      <c r="CSH4" s="59"/>
      <c r="CSI4" s="59"/>
      <c r="CSJ4" s="59"/>
      <c r="CSK4" s="59"/>
      <c r="CSL4" s="59"/>
      <c r="CSM4" s="59"/>
      <c r="CSN4" s="59"/>
      <c r="CSO4" s="59"/>
      <c r="CSP4" s="59"/>
      <c r="CSQ4" s="59"/>
      <c r="CSR4" s="59"/>
      <c r="CSS4" s="59"/>
      <c r="CST4" s="59"/>
      <c r="CSU4" s="59"/>
      <c r="CSV4" s="59"/>
      <c r="CSW4" s="59"/>
      <c r="CSX4" s="59"/>
      <c r="CSY4" s="59"/>
      <c r="CSZ4" s="59"/>
      <c r="CTA4" s="59"/>
      <c r="CTB4" s="59"/>
      <c r="CTC4" s="59"/>
      <c r="CTD4" s="59"/>
      <c r="CTE4" s="59"/>
      <c r="CTF4" s="59"/>
      <c r="CTG4" s="59"/>
      <c r="CTH4" s="59"/>
      <c r="CTI4" s="59"/>
      <c r="CTJ4" s="59"/>
      <c r="CTK4" s="59"/>
      <c r="CTL4" s="59"/>
      <c r="CTM4" s="59"/>
      <c r="CTN4" s="59"/>
      <c r="CTO4" s="59"/>
      <c r="CTP4" s="59"/>
      <c r="CTQ4" s="59"/>
      <c r="CTR4" s="59"/>
      <c r="CTS4" s="59"/>
      <c r="CTT4" s="59"/>
      <c r="CTU4" s="59"/>
      <c r="CTV4" s="59"/>
      <c r="CTW4" s="59"/>
      <c r="CTX4" s="59"/>
      <c r="CTY4" s="59"/>
      <c r="CTZ4" s="59"/>
      <c r="CUA4" s="59"/>
      <c r="CUB4" s="59"/>
      <c r="CUC4" s="59"/>
      <c r="CUD4" s="59"/>
      <c r="CUE4" s="59"/>
      <c r="CUF4" s="59"/>
      <c r="CUG4" s="59"/>
      <c r="CUH4" s="59"/>
      <c r="CUI4" s="59"/>
      <c r="CUJ4" s="59"/>
      <c r="CUK4" s="59"/>
      <c r="CUL4" s="59"/>
      <c r="CUM4" s="59"/>
      <c r="CUN4" s="59"/>
      <c r="CUO4" s="59"/>
      <c r="CUP4" s="59"/>
      <c r="CUQ4" s="59"/>
      <c r="CUR4" s="59"/>
      <c r="CUS4" s="59"/>
      <c r="CUT4" s="59"/>
      <c r="CUU4" s="59"/>
      <c r="CUV4" s="59"/>
      <c r="CUW4" s="59"/>
      <c r="CUX4" s="59"/>
      <c r="CUY4" s="59"/>
      <c r="CUZ4" s="59"/>
      <c r="CVA4" s="59"/>
      <c r="CVB4" s="59"/>
      <c r="CVC4" s="59"/>
      <c r="CVD4" s="59"/>
      <c r="CVE4" s="59"/>
      <c r="CVF4" s="59"/>
      <c r="CVG4" s="59"/>
      <c r="CVH4" s="59"/>
      <c r="CVI4" s="59"/>
      <c r="CVJ4" s="59"/>
      <c r="CVK4" s="59"/>
      <c r="CVL4" s="59"/>
      <c r="CVM4" s="59"/>
      <c r="CVN4" s="59"/>
      <c r="CVO4" s="59"/>
      <c r="CVP4" s="59"/>
      <c r="CVQ4" s="59"/>
      <c r="CVR4" s="59"/>
      <c r="CVS4" s="59"/>
      <c r="CVT4" s="59"/>
      <c r="CVU4" s="59"/>
      <c r="CVV4" s="59"/>
      <c r="CVW4" s="59"/>
      <c r="CVX4" s="59"/>
      <c r="CVY4" s="59"/>
      <c r="CVZ4" s="59"/>
      <c r="CWA4" s="59"/>
      <c r="CWB4" s="59"/>
      <c r="CWC4" s="59"/>
      <c r="CWD4" s="59"/>
      <c r="CWE4" s="59"/>
      <c r="CWF4" s="59"/>
      <c r="CWG4" s="59"/>
      <c r="CWH4" s="59"/>
      <c r="CWI4" s="59"/>
      <c r="CWJ4" s="59"/>
      <c r="CWK4" s="59"/>
      <c r="CWL4" s="59"/>
      <c r="CWM4" s="59"/>
      <c r="CWN4" s="59"/>
      <c r="CWO4" s="59"/>
      <c r="CWP4" s="59"/>
      <c r="CWQ4" s="59"/>
      <c r="CWR4" s="59"/>
      <c r="CWS4" s="59"/>
      <c r="CWT4" s="59"/>
      <c r="CWU4" s="59"/>
      <c r="CWV4" s="59"/>
      <c r="CWW4" s="59"/>
      <c r="CWX4" s="59"/>
      <c r="CWY4" s="59"/>
      <c r="CWZ4" s="59"/>
      <c r="CXA4" s="59"/>
      <c r="CXB4" s="59"/>
      <c r="CXC4" s="59"/>
      <c r="CXD4" s="59"/>
      <c r="CXE4" s="59"/>
      <c r="CXF4" s="59"/>
      <c r="CXG4" s="59"/>
      <c r="CXH4" s="59"/>
      <c r="CXI4" s="59"/>
      <c r="CXJ4" s="59"/>
      <c r="CXK4" s="59"/>
      <c r="CXL4" s="59"/>
      <c r="CXM4" s="59"/>
      <c r="CXN4" s="59"/>
      <c r="CXO4" s="59"/>
      <c r="CXP4" s="59"/>
      <c r="CXQ4" s="59"/>
      <c r="CXR4" s="59"/>
      <c r="CXS4" s="59"/>
      <c r="CXT4" s="59"/>
      <c r="CXU4" s="59"/>
      <c r="CXV4" s="59"/>
      <c r="CXW4" s="59"/>
      <c r="CXX4" s="59"/>
      <c r="CXY4" s="59"/>
      <c r="CXZ4" s="59"/>
      <c r="CYA4" s="59"/>
      <c r="CYB4" s="59"/>
      <c r="CYC4" s="59"/>
      <c r="CYD4" s="59"/>
      <c r="CYE4" s="59"/>
      <c r="CYF4" s="59"/>
      <c r="CYG4" s="59"/>
      <c r="CYH4" s="59"/>
      <c r="CYI4" s="59"/>
      <c r="CYJ4" s="59"/>
      <c r="CYK4" s="59"/>
      <c r="CYL4" s="59"/>
      <c r="CYM4" s="59"/>
      <c r="CYN4" s="59"/>
      <c r="CYO4" s="59"/>
      <c r="CYP4" s="59"/>
      <c r="CYQ4" s="59"/>
      <c r="CYR4" s="59"/>
      <c r="CYS4" s="59"/>
      <c r="CYT4" s="59"/>
      <c r="CYU4" s="59"/>
      <c r="CYV4" s="59"/>
      <c r="CYW4" s="59"/>
      <c r="CYX4" s="59"/>
      <c r="CYY4" s="59"/>
      <c r="CYZ4" s="59"/>
      <c r="CZA4" s="59"/>
      <c r="CZB4" s="59"/>
      <c r="CZC4" s="59"/>
      <c r="CZD4" s="59"/>
      <c r="CZE4" s="59"/>
      <c r="CZF4" s="59"/>
      <c r="CZG4" s="59"/>
      <c r="CZH4" s="59"/>
      <c r="CZI4" s="59"/>
      <c r="CZJ4" s="59"/>
      <c r="CZK4" s="59"/>
      <c r="CZL4" s="59"/>
      <c r="CZM4" s="59"/>
      <c r="CZN4" s="59"/>
      <c r="CZO4" s="59"/>
      <c r="CZP4" s="59"/>
      <c r="CZQ4" s="59"/>
      <c r="CZR4" s="59"/>
      <c r="CZS4" s="59"/>
      <c r="CZT4" s="59"/>
      <c r="CZU4" s="59"/>
      <c r="CZV4" s="59"/>
      <c r="CZW4" s="59"/>
      <c r="CZX4" s="59"/>
      <c r="CZY4" s="59"/>
      <c r="CZZ4" s="59"/>
      <c r="DAA4" s="59"/>
      <c r="DAB4" s="59"/>
      <c r="DAC4" s="59"/>
      <c r="DAD4" s="59"/>
      <c r="DAE4" s="59"/>
      <c r="DAF4" s="59"/>
      <c r="DAG4" s="59"/>
      <c r="DAH4" s="59"/>
      <c r="DAI4" s="59"/>
      <c r="DAJ4" s="59"/>
      <c r="DAK4" s="59"/>
      <c r="DAL4" s="59"/>
      <c r="DAM4" s="59"/>
      <c r="DAN4" s="59"/>
      <c r="DAO4" s="59"/>
      <c r="DAP4" s="59"/>
      <c r="DAQ4" s="59"/>
      <c r="DAR4" s="59"/>
      <c r="DAS4" s="59"/>
      <c r="DAT4" s="59"/>
      <c r="DAU4" s="59"/>
      <c r="DAV4" s="59"/>
      <c r="DAW4" s="59"/>
      <c r="DAX4" s="59"/>
      <c r="DAY4" s="59"/>
      <c r="DAZ4" s="59"/>
      <c r="DBA4" s="59"/>
      <c r="DBB4" s="59"/>
      <c r="DBC4" s="59"/>
      <c r="DBD4" s="59"/>
      <c r="DBE4" s="59"/>
      <c r="DBF4" s="59"/>
      <c r="DBG4" s="59"/>
      <c r="DBH4" s="59"/>
      <c r="DBI4" s="59"/>
      <c r="DBJ4" s="59"/>
      <c r="DBK4" s="59"/>
      <c r="DBL4" s="59"/>
      <c r="DBM4" s="59"/>
      <c r="DBN4" s="59"/>
      <c r="DBO4" s="59"/>
      <c r="DBP4" s="59"/>
      <c r="DBQ4" s="59"/>
      <c r="DBR4" s="59"/>
      <c r="DBS4" s="59"/>
      <c r="DBT4" s="59"/>
      <c r="DBU4" s="59"/>
      <c r="DBV4" s="59"/>
      <c r="DBW4" s="59"/>
      <c r="DBX4" s="59"/>
      <c r="DBY4" s="59"/>
      <c r="DBZ4" s="59"/>
      <c r="DCA4" s="59"/>
      <c r="DCB4" s="59"/>
      <c r="DCC4" s="59"/>
      <c r="DCD4" s="59"/>
      <c r="DCE4" s="59"/>
      <c r="DCF4" s="59"/>
      <c r="DCG4" s="59"/>
      <c r="DCH4" s="59"/>
      <c r="DCI4" s="59"/>
      <c r="DCJ4" s="59"/>
      <c r="DCK4" s="59"/>
      <c r="DCL4" s="59"/>
      <c r="DCM4" s="59"/>
      <c r="DCN4" s="59"/>
      <c r="DCO4" s="59"/>
      <c r="DCP4" s="59"/>
      <c r="DCQ4" s="59"/>
      <c r="DCR4" s="59"/>
      <c r="DCS4" s="59"/>
      <c r="DCT4" s="59"/>
      <c r="DCU4" s="59"/>
      <c r="DCV4" s="59"/>
      <c r="DCW4" s="59"/>
      <c r="DCX4" s="59"/>
      <c r="DCY4" s="59"/>
      <c r="DCZ4" s="59"/>
      <c r="DDA4" s="59"/>
      <c r="DDB4" s="59"/>
      <c r="DDC4" s="59"/>
      <c r="DDD4" s="59"/>
      <c r="DDE4" s="59"/>
      <c r="DDF4" s="59"/>
      <c r="DDG4" s="59"/>
      <c r="DDH4" s="59"/>
      <c r="DDI4" s="59"/>
      <c r="DDJ4" s="59"/>
      <c r="DDK4" s="59"/>
      <c r="DDL4" s="59"/>
      <c r="DDM4" s="59"/>
      <c r="DDN4" s="59"/>
      <c r="DDO4" s="59"/>
      <c r="DDP4" s="59"/>
      <c r="DDQ4" s="59"/>
      <c r="DDR4" s="59"/>
      <c r="DDS4" s="59"/>
      <c r="DDT4" s="59"/>
      <c r="DDU4" s="59"/>
      <c r="DDV4" s="59"/>
      <c r="DDW4" s="59"/>
      <c r="DDX4" s="59"/>
      <c r="DDY4" s="59"/>
      <c r="DDZ4" s="59"/>
      <c r="DEA4" s="59"/>
      <c r="DEB4" s="59"/>
      <c r="DEC4" s="59"/>
      <c r="DED4" s="59"/>
      <c r="DEE4" s="59"/>
      <c r="DEF4" s="59"/>
      <c r="DEG4" s="59"/>
      <c r="DEH4" s="59"/>
      <c r="DEI4" s="59"/>
      <c r="DEJ4" s="59"/>
      <c r="DEK4" s="59"/>
      <c r="DEL4" s="59"/>
      <c r="DEM4" s="59"/>
      <c r="DEN4" s="59"/>
      <c r="DEO4" s="59"/>
      <c r="DEP4" s="59"/>
      <c r="DEQ4" s="59"/>
      <c r="DER4" s="59"/>
      <c r="DES4" s="59"/>
      <c r="DET4" s="59"/>
      <c r="DEU4" s="59"/>
      <c r="DEV4" s="59"/>
      <c r="DEW4" s="59"/>
      <c r="DEX4" s="59"/>
      <c r="DEY4" s="59"/>
      <c r="DEZ4" s="59"/>
      <c r="DFA4" s="59"/>
      <c r="DFB4" s="59"/>
      <c r="DFC4" s="59"/>
      <c r="DFD4" s="59"/>
      <c r="DFE4" s="59"/>
      <c r="DFF4" s="59"/>
      <c r="DFG4" s="59"/>
      <c r="DFH4" s="59"/>
      <c r="DFI4" s="59"/>
      <c r="DFJ4" s="59"/>
      <c r="DFK4" s="59"/>
      <c r="DFL4" s="59"/>
      <c r="DFM4" s="59"/>
      <c r="DFN4" s="59"/>
      <c r="DFO4" s="59"/>
      <c r="DFP4" s="59"/>
      <c r="DFQ4" s="59"/>
      <c r="DFR4" s="59"/>
      <c r="DFS4" s="59"/>
      <c r="DFT4" s="59"/>
      <c r="DFU4" s="59"/>
      <c r="DFV4" s="59"/>
      <c r="DFW4" s="59"/>
      <c r="DFX4" s="59"/>
      <c r="DFY4" s="59"/>
      <c r="DFZ4" s="59"/>
      <c r="DGA4" s="59"/>
      <c r="DGB4" s="59"/>
      <c r="DGC4" s="59"/>
      <c r="DGD4" s="59"/>
      <c r="DGE4" s="59"/>
      <c r="DGF4" s="59"/>
      <c r="DGG4" s="59"/>
      <c r="DGH4" s="59"/>
      <c r="DGI4" s="59"/>
      <c r="DGJ4" s="59"/>
      <c r="DGK4" s="59"/>
      <c r="DGL4" s="59"/>
      <c r="DGM4" s="59"/>
      <c r="DGN4" s="59"/>
      <c r="DGO4" s="59"/>
      <c r="DGP4" s="59"/>
      <c r="DGQ4" s="59"/>
      <c r="DGR4" s="59"/>
      <c r="DGS4" s="59"/>
      <c r="DGT4" s="59"/>
      <c r="DGU4" s="59"/>
      <c r="DGV4" s="59"/>
      <c r="DGW4" s="59"/>
      <c r="DGX4" s="59"/>
      <c r="DGY4" s="59"/>
      <c r="DGZ4" s="59"/>
      <c r="DHA4" s="59"/>
      <c r="DHB4" s="59"/>
      <c r="DHC4" s="59"/>
      <c r="DHD4" s="59"/>
      <c r="DHE4" s="59"/>
      <c r="DHF4" s="59"/>
      <c r="DHG4" s="59"/>
      <c r="DHH4" s="59"/>
      <c r="DHI4" s="59"/>
      <c r="DHJ4" s="59"/>
      <c r="DHK4" s="59"/>
      <c r="DHL4" s="59"/>
      <c r="DHM4" s="59"/>
      <c r="DHN4" s="59"/>
      <c r="DHO4" s="59"/>
      <c r="DHP4" s="59"/>
      <c r="DHQ4" s="59"/>
      <c r="DHR4" s="59"/>
      <c r="DHS4" s="59"/>
      <c r="DHT4" s="59"/>
      <c r="DHU4" s="59"/>
      <c r="DHV4" s="59"/>
      <c r="DHW4" s="59"/>
      <c r="DHX4" s="59"/>
      <c r="DHY4" s="59"/>
      <c r="DHZ4" s="59"/>
      <c r="DIA4" s="59"/>
      <c r="DIB4" s="59"/>
      <c r="DIC4" s="59"/>
      <c r="DID4" s="59"/>
      <c r="DIE4" s="59"/>
      <c r="DIF4" s="59"/>
      <c r="DIG4" s="59"/>
      <c r="DIH4" s="59"/>
      <c r="DII4" s="59"/>
      <c r="DIJ4" s="59"/>
      <c r="DIK4" s="59"/>
      <c r="DIL4" s="59"/>
      <c r="DIM4" s="59"/>
      <c r="DIN4" s="59"/>
      <c r="DIO4" s="59"/>
      <c r="DIP4" s="59"/>
      <c r="DIQ4" s="59"/>
      <c r="DIR4" s="59"/>
      <c r="DIS4" s="59"/>
      <c r="DIT4" s="59"/>
      <c r="DIU4" s="59"/>
      <c r="DIV4" s="59"/>
      <c r="DIW4" s="59"/>
      <c r="DIX4" s="59"/>
      <c r="DIY4" s="59"/>
      <c r="DIZ4" s="59"/>
      <c r="DJA4" s="59"/>
      <c r="DJB4" s="59"/>
      <c r="DJC4" s="59"/>
      <c r="DJD4" s="59"/>
      <c r="DJE4" s="59"/>
      <c r="DJF4" s="59"/>
      <c r="DJG4" s="59"/>
      <c r="DJH4" s="59"/>
      <c r="DJI4" s="59"/>
      <c r="DJJ4" s="59"/>
      <c r="DJK4" s="59"/>
      <c r="DJL4" s="59"/>
      <c r="DJM4" s="59"/>
      <c r="DJN4" s="59"/>
      <c r="DJO4" s="59"/>
      <c r="DJP4" s="59"/>
      <c r="DJQ4" s="59"/>
      <c r="DJR4" s="59"/>
      <c r="DJS4" s="59"/>
      <c r="DJT4" s="59"/>
      <c r="DJU4" s="59"/>
      <c r="DJV4" s="59"/>
      <c r="DJW4" s="59"/>
      <c r="DJX4" s="59"/>
      <c r="DJY4" s="59"/>
      <c r="DJZ4" s="59"/>
      <c r="DKA4" s="59"/>
      <c r="DKB4" s="59"/>
      <c r="DKC4" s="59"/>
      <c r="DKD4" s="59"/>
      <c r="DKE4" s="59"/>
      <c r="DKF4" s="59"/>
      <c r="DKG4" s="59"/>
      <c r="DKH4" s="59"/>
      <c r="DKI4" s="59"/>
      <c r="DKJ4" s="59"/>
      <c r="DKK4" s="59"/>
      <c r="DKL4" s="59"/>
      <c r="DKM4" s="59"/>
      <c r="DKN4" s="59"/>
      <c r="DKO4" s="59"/>
      <c r="DKP4" s="59"/>
      <c r="DKQ4" s="59"/>
      <c r="DKR4" s="59"/>
      <c r="DKS4" s="59"/>
      <c r="DKT4" s="59"/>
      <c r="DKU4" s="59"/>
      <c r="DKV4" s="59"/>
      <c r="DKW4" s="59"/>
      <c r="DKX4" s="59"/>
      <c r="DKY4" s="59"/>
      <c r="DKZ4" s="59"/>
      <c r="DLA4" s="59"/>
      <c r="DLB4" s="59"/>
      <c r="DLC4" s="59"/>
      <c r="DLD4" s="59"/>
      <c r="DLE4" s="59"/>
      <c r="DLF4" s="59"/>
      <c r="DLG4" s="59"/>
      <c r="DLH4" s="59"/>
      <c r="DLI4" s="59"/>
      <c r="DLJ4" s="59"/>
      <c r="DLK4" s="59"/>
      <c r="DLL4" s="59"/>
      <c r="DLM4" s="59"/>
      <c r="DLN4" s="59"/>
      <c r="DLO4" s="59"/>
      <c r="DLP4" s="59"/>
      <c r="DLQ4" s="59"/>
      <c r="DLR4" s="59"/>
      <c r="DLS4" s="59"/>
      <c r="DLT4" s="59"/>
      <c r="DLU4" s="59"/>
      <c r="DLV4" s="59"/>
      <c r="DLW4" s="59"/>
      <c r="DLX4" s="59"/>
      <c r="DLY4" s="59"/>
      <c r="DLZ4" s="59"/>
      <c r="DMA4" s="59"/>
      <c r="DMB4" s="59"/>
      <c r="DMC4" s="59"/>
      <c r="DMD4" s="59"/>
      <c r="DME4" s="59"/>
      <c r="DMF4" s="59"/>
      <c r="DMG4" s="59"/>
      <c r="DMH4" s="59"/>
      <c r="DMI4" s="59"/>
      <c r="DMJ4" s="59"/>
      <c r="DMK4" s="59"/>
      <c r="DML4" s="59"/>
      <c r="DMM4" s="59"/>
      <c r="DMN4" s="59"/>
      <c r="DMO4" s="59"/>
      <c r="DMP4" s="59"/>
      <c r="DMQ4" s="59"/>
      <c r="DMR4" s="59"/>
      <c r="DMS4" s="59"/>
      <c r="DMT4" s="59"/>
      <c r="DMU4" s="59"/>
      <c r="DMV4" s="59"/>
      <c r="DMW4" s="59"/>
      <c r="DMX4" s="59"/>
      <c r="DMY4" s="59"/>
      <c r="DMZ4" s="59"/>
      <c r="DNA4" s="59"/>
      <c r="DNB4" s="59"/>
      <c r="DNC4" s="59"/>
      <c r="DND4" s="59"/>
      <c r="DNE4" s="59"/>
      <c r="DNF4" s="59"/>
      <c r="DNG4" s="59"/>
      <c r="DNH4" s="59"/>
      <c r="DNI4" s="59"/>
      <c r="DNJ4" s="59"/>
      <c r="DNK4" s="59"/>
      <c r="DNL4" s="59"/>
      <c r="DNM4" s="59"/>
      <c r="DNN4" s="59"/>
      <c r="DNO4" s="59"/>
      <c r="DNP4" s="59"/>
      <c r="DNQ4" s="59"/>
      <c r="DNR4" s="59"/>
      <c r="DNS4" s="59"/>
      <c r="DNT4" s="59"/>
      <c r="DNU4" s="59"/>
      <c r="DNV4" s="59"/>
      <c r="DNW4" s="59"/>
      <c r="DNX4" s="59"/>
      <c r="DNY4" s="59"/>
      <c r="DNZ4" s="59"/>
      <c r="DOA4" s="59"/>
      <c r="DOB4" s="59"/>
      <c r="DOC4" s="59"/>
      <c r="DOD4" s="59"/>
      <c r="DOE4" s="59"/>
      <c r="DOF4" s="59"/>
      <c r="DOG4" s="59"/>
      <c r="DOH4" s="59"/>
      <c r="DOI4" s="59"/>
      <c r="DOJ4" s="59"/>
      <c r="DOK4" s="59"/>
      <c r="DOL4" s="59"/>
      <c r="DOM4" s="59"/>
      <c r="DON4" s="59"/>
      <c r="DOO4" s="59"/>
      <c r="DOP4" s="59"/>
      <c r="DOQ4" s="59"/>
      <c r="DOR4" s="59"/>
      <c r="DOS4" s="59"/>
      <c r="DOT4" s="59"/>
      <c r="DOU4" s="59"/>
      <c r="DOV4" s="59"/>
      <c r="DOW4" s="59"/>
      <c r="DOX4" s="59"/>
      <c r="DOY4" s="59"/>
      <c r="DOZ4" s="59"/>
      <c r="DPA4" s="59"/>
      <c r="DPB4" s="59"/>
      <c r="DPC4" s="59"/>
      <c r="DPD4" s="59"/>
      <c r="DPE4" s="59"/>
      <c r="DPF4" s="59"/>
      <c r="DPG4" s="59"/>
      <c r="DPH4" s="59"/>
      <c r="DPI4" s="59"/>
      <c r="DPJ4" s="59"/>
      <c r="DPK4" s="59"/>
      <c r="DPL4" s="59"/>
      <c r="DPM4" s="59"/>
      <c r="DPN4" s="59"/>
      <c r="DPO4" s="59"/>
      <c r="DPP4" s="59"/>
      <c r="DPQ4" s="59"/>
      <c r="DPR4" s="59"/>
      <c r="DPS4" s="59"/>
      <c r="DPT4" s="59"/>
      <c r="DPU4" s="59"/>
      <c r="DPV4" s="59"/>
      <c r="DPW4" s="59"/>
      <c r="DPX4" s="59"/>
      <c r="DPY4" s="59"/>
      <c r="DPZ4" s="59"/>
      <c r="DQA4" s="59"/>
      <c r="DQB4" s="59"/>
      <c r="DQC4" s="59"/>
      <c r="DQD4" s="59"/>
      <c r="DQE4" s="59"/>
      <c r="DQF4" s="59"/>
      <c r="DQG4" s="59"/>
      <c r="DQH4" s="59"/>
      <c r="DQI4" s="59"/>
      <c r="DQJ4" s="59"/>
      <c r="DQK4" s="59"/>
      <c r="DQL4" s="59"/>
      <c r="DQM4" s="59"/>
      <c r="DQN4" s="59"/>
      <c r="DQO4" s="59"/>
      <c r="DQP4" s="59"/>
      <c r="DQQ4" s="59"/>
      <c r="DQR4" s="59"/>
      <c r="DQS4" s="59"/>
      <c r="DQT4" s="59"/>
      <c r="DQU4" s="59"/>
      <c r="DQV4" s="59"/>
      <c r="DQW4" s="59"/>
      <c r="DQX4" s="59"/>
      <c r="DQY4" s="59"/>
      <c r="DQZ4" s="59"/>
      <c r="DRA4" s="59"/>
      <c r="DRB4" s="59"/>
      <c r="DRC4" s="59"/>
      <c r="DRD4" s="59"/>
      <c r="DRE4" s="59"/>
      <c r="DRF4" s="59"/>
      <c r="DRG4" s="59"/>
      <c r="DRH4" s="59"/>
      <c r="DRI4" s="59"/>
      <c r="DRJ4" s="59"/>
      <c r="DRK4" s="59"/>
      <c r="DRL4" s="59"/>
      <c r="DRM4" s="59"/>
      <c r="DRN4" s="59"/>
      <c r="DRO4" s="59"/>
      <c r="DRP4" s="59"/>
      <c r="DRQ4" s="59"/>
      <c r="DRR4" s="59"/>
      <c r="DRS4" s="59"/>
      <c r="DRT4" s="59"/>
      <c r="DRU4" s="59"/>
      <c r="DRV4" s="59"/>
      <c r="DRW4" s="59"/>
      <c r="DRX4" s="59"/>
      <c r="DRY4" s="59"/>
      <c r="DRZ4" s="59"/>
      <c r="DSA4" s="59"/>
      <c r="DSB4" s="59"/>
      <c r="DSC4" s="59"/>
      <c r="DSD4" s="59"/>
      <c r="DSE4" s="59"/>
      <c r="DSF4" s="59"/>
      <c r="DSG4" s="59"/>
      <c r="DSH4" s="59"/>
      <c r="DSI4" s="59"/>
      <c r="DSJ4" s="59"/>
      <c r="DSK4" s="59"/>
      <c r="DSL4" s="59"/>
      <c r="DSM4" s="59"/>
      <c r="DSN4" s="59"/>
      <c r="DSO4" s="59"/>
      <c r="DSP4" s="59"/>
      <c r="DSQ4" s="59"/>
      <c r="DSR4" s="59"/>
      <c r="DSS4" s="59"/>
      <c r="DST4" s="59"/>
      <c r="DSU4" s="59"/>
      <c r="DSV4" s="59"/>
      <c r="DSW4" s="59"/>
      <c r="DSX4" s="59"/>
      <c r="DSY4" s="59"/>
      <c r="DSZ4" s="59"/>
      <c r="DTA4" s="59"/>
      <c r="DTB4" s="59"/>
      <c r="DTC4" s="59"/>
      <c r="DTD4" s="59"/>
      <c r="DTE4" s="59"/>
      <c r="DTF4" s="59"/>
      <c r="DTG4" s="59"/>
      <c r="DTH4" s="59"/>
      <c r="DTI4" s="59"/>
      <c r="DTJ4" s="59"/>
      <c r="DTK4" s="59"/>
      <c r="DTL4" s="59"/>
      <c r="DTM4" s="59"/>
      <c r="DTN4" s="59"/>
      <c r="DTO4" s="59"/>
      <c r="DTP4" s="59"/>
      <c r="DTQ4" s="59"/>
      <c r="DTR4" s="59"/>
      <c r="DTS4" s="59"/>
      <c r="DTT4" s="59"/>
      <c r="DTU4" s="59"/>
      <c r="DTV4" s="59"/>
      <c r="DTW4" s="59"/>
      <c r="DTX4" s="59"/>
      <c r="DTY4" s="59"/>
      <c r="DTZ4" s="59"/>
      <c r="DUA4" s="59"/>
      <c r="DUB4" s="59"/>
      <c r="DUC4" s="59"/>
      <c r="DUD4" s="59"/>
      <c r="DUE4" s="59"/>
      <c r="DUF4" s="59"/>
      <c r="DUG4" s="59"/>
      <c r="DUH4" s="59"/>
      <c r="DUI4" s="59"/>
      <c r="DUJ4" s="59"/>
      <c r="DUK4" s="59"/>
      <c r="DUL4" s="59"/>
      <c r="DUM4" s="59"/>
      <c r="DUN4" s="59"/>
      <c r="DUO4" s="59"/>
      <c r="DUP4" s="59"/>
      <c r="DUQ4" s="59"/>
      <c r="DUR4" s="59"/>
      <c r="DUS4" s="59"/>
      <c r="DUT4" s="59"/>
      <c r="DUU4" s="59"/>
      <c r="DUV4" s="59"/>
      <c r="DUW4" s="59"/>
      <c r="DUX4" s="59"/>
      <c r="DUY4" s="59"/>
      <c r="DUZ4" s="59"/>
      <c r="DVA4" s="59"/>
      <c r="DVB4" s="59"/>
      <c r="DVC4" s="59"/>
      <c r="DVD4" s="59"/>
      <c r="DVE4" s="59"/>
      <c r="DVF4" s="59"/>
      <c r="DVG4" s="59"/>
      <c r="DVH4" s="59"/>
      <c r="DVI4" s="59"/>
      <c r="DVJ4" s="59"/>
      <c r="DVK4" s="59"/>
      <c r="DVL4" s="59"/>
      <c r="DVM4" s="59"/>
      <c r="DVN4" s="59"/>
      <c r="DVO4" s="59"/>
      <c r="DVP4" s="59"/>
      <c r="DVQ4" s="59"/>
      <c r="DVR4" s="59"/>
      <c r="DVS4" s="59"/>
      <c r="DVT4" s="59"/>
      <c r="DVU4" s="59"/>
      <c r="DVV4" s="59"/>
      <c r="DVW4" s="59"/>
      <c r="DVX4" s="59"/>
      <c r="DVY4" s="59"/>
      <c r="DVZ4" s="59"/>
      <c r="DWA4" s="59"/>
      <c r="DWB4" s="59"/>
      <c r="DWC4" s="59"/>
      <c r="DWD4" s="59"/>
      <c r="DWE4" s="59"/>
      <c r="DWF4" s="59"/>
      <c r="DWG4" s="59"/>
      <c r="DWH4" s="59"/>
      <c r="DWI4" s="59"/>
      <c r="DWJ4" s="59"/>
      <c r="DWK4" s="59"/>
      <c r="DWL4" s="59"/>
      <c r="DWM4" s="59"/>
      <c r="DWN4" s="59"/>
      <c r="DWO4" s="59"/>
      <c r="DWP4" s="59"/>
      <c r="DWQ4" s="59"/>
      <c r="DWR4" s="59"/>
      <c r="DWS4" s="59"/>
      <c r="DWT4" s="59"/>
      <c r="DWU4" s="59"/>
      <c r="DWV4" s="59"/>
      <c r="DWW4" s="59"/>
      <c r="DWX4" s="59"/>
      <c r="DWY4" s="59"/>
      <c r="DWZ4" s="59"/>
      <c r="DXA4" s="59"/>
      <c r="DXB4" s="59"/>
      <c r="DXC4" s="59"/>
      <c r="DXD4" s="59"/>
      <c r="DXE4" s="59"/>
      <c r="DXF4" s="59"/>
      <c r="DXG4" s="59"/>
      <c r="DXH4" s="59"/>
      <c r="DXI4" s="59"/>
      <c r="DXJ4" s="59"/>
      <c r="DXK4" s="59"/>
      <c r="DXL4" s="59"/>
      <c r="DXM4" s="59"/>
      <c r="DXN4" s="59"/>
      <c r="DXO4" s="59"/>
      <c r="DXP4" s="59"/>
      <c r="DXQ4" s="59"/>
      <c r="DXR4" s="59"/>
      <c r="DXS4" s="59"/>
      <c r="DXT4" s="59"/>
      <c r="DXU4" s="59"/>
      <c r="DXV4" s="59"/>
      <c r="DXW4" s="59"/>
      <c r="DXX4" s="59"/>
      <c r="DXY4" s="59"/>
      <c r="DXZ4" s="59"/>
      <c r="DYA4" s="59"/>
      <c r="DYB4" s="59"/>
      <c r="DYC4" s="59"/>
      <c r="DYD4" s="59"/>
      <c r="DYE4" s="59"/>
      <c r="DYF4" s="59"/>
      <c r="DYG4" s="59"/>
      <c r="DYH4" s="59"/>
      <c r="DYI4" s="59"/>
      <c r="DYJ4" s="59"/>
      <c r="DYK4" s="59"/>
      <c r="DYL4" s="59"/>
      <c r="DYM4" s="59"/>
      <c r="DYN4" s="59"/>
      <c r="DYO4" s="59"/>
      <c r="DYP4" s="59"/>
      <c r="DYQ4" s="59"/>
      <c r="DYR4" s="59"/>
      <c r="DYS4" s="59"/>
      <c r="DYT4" s="59"/>
      <c r="DYU4" s="59"/>
      <c r="DYV4" s="59"/>
      <c r="DYW4" s="59"/>
      <c r="DYX4" s="59"/>
      <c r="DYY4" s="59"/>
      <c r="DYZ4" s="59"/>
      <c r="DZA4" s="59"/>
      <c r="DZB4" s="59"/>
      <c r="DZC4" s="59"/>
      <c r="DZD4" s="59"/>
      <c r="DZE4" s="59"/>
      <c r="DZF4" s="59"/>
      <c r="DZG4" s="59"/>
      <c r="DZH4" s="59"/>
      <c r="DZI4" s="59"/>
      <c r="DZJ4" s="59"/>
      <c r="DZK4" s="59"/>
      <c r="DZL4" s="59"/>
      <c r="DZM4" s="59"/>
      <c r="DZN4" s="59"/>
      <c r="DZO4" s="59"/>
      <c r="DZP4" s="59"/>
      <c r="DZQ4" s="59"/>
      <c r="DZR4" s="59"/>
      <c r="DZS4" s="59"/>
      <c r="DZT4" s="59"/>
      <c r="DZU4" s="59"/>
      <c r="DZV4" s="59"/>
      <c r="DZW4" s="59"/>
      <c r="DZX4" s="59"/>
      <c r="DZY4" s="59"/>
      <c r="DZZ4" s="59"/>
      <c r="EAA4" s="59"/>
      <c r="EAB4" s="59"/>
      <c r="EAC4" s="59"/>
      <c r="EAD4" s="59"/>
      <c r="EAE4" s="59"/>
      <c r="EAF4" s="59"/>
      <c r="EAG4" s="59"/>
      <c r="EAH4" s="59"/>
      <c r="EAI4" s="59"/>
      <c r="EAJ4" s="59"/>
      <c r="EAK4" s="59"/>
      <c r="EAL4" s="59"/>
      <c r="EAM4" s="59"/>
      <c r="EAN4" s="59"/>
      <c r="EAO4" s="59"/>
      <c r="EAP4" s="59"/>
      <c r="EAQ4" s="59"/>
      <c r="EAR4" s="59"/>
      <c r="EAS4" s="59"/>
      <c r="EAT4" s="59"/>
      <c r="EAU4" s="59"/>
      <c r="EAV4" s="59"/>
      <c r="EAW4" s="59"/>
      <c r="EAX4" s="59"/>
      <c r="EAY4" s="59"/>
      <c r="EAZ4" s="59"/>
      <c r="EBA4" s="59"/>
      <c r="EBB4" s="59"/>
      <c r="EBC4" s="59"/>
      <c r="EBD4" s="59"/>
      <c r="EBE4" s="59"/>
      <c r="EBF4" s="59"/>
      <c r="EBG4" s="59"/>
      <c r="EBH4" s="59"/>
      <c r="EBI4" s="59"/>
      <c r="EBJ4" s="59"/>
      <c r="EBK4" s="59"/>
      <c r="EBL4" s="59"/>
      <c r="EBM4" s="59"/>
      <c r="EBN4" s="59"/>
      <c r="EBO4" s="59"/>
      <c r="EBP4" s="59"/>
      <c r="EBQ4" s="59"/>
      <c r="EBR4" s="59"/>
      <c r="EBS4" s="59"/>
      <c r="EBT4" s="59"/>
      <c r="EBU4" s="59"/>
      <c r="EBV4" s="59"/>
      <c r="EBW4" s="59"/>
      <c r="EBX4" s="59"/>
      <c r="EBY4" s="59"/>
      <c r="EBZ4" s="59"/>
      <c r="ECA4" s="59"/>
      <c r="ECB4" s="59"/>
      <c r="ECC4" s="59"/>
      <c r="ECD4" s="59"/>
      <c r="ECE4" s="59"/>
      <c r="ECF4" s="59"/>
      <c r="ECG4" s="59"/>
      <c r="ECH4" s="59"/>
      <c r="ECI4" s="59"/>
      <c r="ECJ4" s="59"/>
      <c r="ECK4" s="59"/>
      <c r="ECL4" s="59"/>
      <c r="ECM4" s="59"/>
      <c r="ECN4" s="59"/>
      <c r="ECO4" s="59"/>
      <c r="ECP4" s="59"/>
      <c r="ECQ4" s="59"/>
      <c r="ECR4" s="59"/>
      <c r="ECS4" s="59"/>
      <c r="ECT4" s="59"/>
      <c r="ECU4" s="59"/>
      <c r="ECV4" s="59"/>
      <c r="ECW4" s="59"/>
      <c r="ECX4" s="59"/>
      <c r="ECY4" s="59"/>
      <c r="ECZ4" s="59"/>
      <c r="EDA4" s="59"/>
      <c r="EDB4" s="59"/>
      <c r="EDC4" s="59"/>
      <c r="EDD4" s="59"/>
      <c r="EDE4" s="59"/>
      <c r="EDF4" s="59"/>
      <c r="EDG4" s="59"/>
      <c r="EDH4" s="59"/>
      <c r="EDI4" s="59"/>
      <c r="EDJ4" s="59"/>
      <c r="EDK4" s="59"/>
      <c r="EDL4" s="59"/>
      <c r="EDM4" s="59"/>
      <c r="EDN4" s="59"/>
      <c r="EDO4" s="59"/>
      <c r="EDP4" s="59"/>
      <c r="EDQ4" s="59"/>
      <c r="EDR4" s="59"/>
      <c r="EDS4" s="59"/>
      <c r="EDT4" s="59"/>
      <c r="EDU4" s="59"/>
      <c r="EDV4" s="59"/>
      <c r="EDW4" s="59"/>
      <c r="EDX4" s="59"/>
      <c r="EDY4" s="59"/>
      <c r="EDZ4" s="59"/>
      <c r="EEA4" s="59"/>
      <c r="EEB4" s="59"/>
      <c r="EEC4" s="59"/>
      <c r="EED4" s="59"/>
      <c r="EEE4" s="59"/>
      <c r="EEF4" s="59"/>
      <c r="EEG4" s="59"/>
      <c r="EEH4" s="59"/>
      <c r="EEI4" s="59"/>
      <c r="EEJ4" s="59"/>
      <c r="EEK4" s="59"/>
      <c r="EEL4" s="59"/>
      <c r="EEM4" s="59"/>
      <c r="EEN4" s="59"/>
      <c r="EEO4" s="59"/>
      <c r="EEP4" s="59"/>
      <c r="EEQ4" s="59"/>
      <c r="EER4" s="59"/>
      <c r="EES4" s="59"/>
      <c r="EET4" s="59"/>
      <c r="EEU4" s="59"/>
      <c r="EEV4" s="59"/>
      <c r="EEW4" s="59"/>
      <c r="EEX4" s="59"/>
      <c r="EEY4" s="59"/>
      <c r="EEZ4" s="59"/>
      <c r="EFA4" s="59"/>
      <c r="EFB4" s="59"/>
      <c r="EFC4" s="59"/>
      <c r="EFD4" s="59"/>
      <c r="EFE4" s="59"/>
      <c r="EFF4" s="59"/>
      <c r="EFG4" s="59"/>
      <c r="EFH4" s="59"/>
      <c r="EFI4" s="59"/>
      <c r="EFJ4" s="59"/>
      <c r="EFK4" s="59"/>
      <c r="EFL4" s="59"/>
      <c r="EFM4" s="59"/>
      <c r="EFN4" s="59"/>
      <c r="EFO4" s="59"/>
      <c r="EFP4" s="59"/>
      <c r="EFQ4" s="59"/>
      <c r="EFR4" s="59"/>
      <c r="EFS4" s="59"/>
      <c r="EFT4" s="59"/>
      <c r="EFU4" s="59"/>
      <c r="EFV4" s="59"/>
      <c r="EFW4" s="59"/>
      <c r="EFX4" s="59"/>
      <c r="EFY4" s="59"/>
      <c r="EFZ4" s="59"/>
      <c r="EGA4" s="59"/>
      <c r="EGB4" s="59"/>
      <c r="EGC4" s="59"/>
      <c r="EGD4" s="59"/>
      <c r="EGE4" s="59"/>
      <c r="EGF4" s="59"/>
      <c r="EGG4" s="59"/>
      <c r="EGH4" s="59"/>
      <c r="EGI4" s="59"/>
      <c r="EGJ4" s="59"/>
      <c r="EGK4" s="59"/>
      <c r="EGL4" s="59"/>
      <c r="EGM4" s="59"/>
      <c r="EGN4" s="59"/>
      <c r="EGO4" s="59"/>
      <c r="EGP4" s="59"/>
      <c r="EGQ4" s="59"/>
      <c r="EGR4" s="59"/>
      <c r="EGS4" s="59"/>
      <c r="EGT4" s="59"/>
      <c r="EGU4" s="59"/>
      <c r="EGV4" s="59"/>
      <c r="EGW4" s="59"/>
      <c r="EGX4" s="59"/>
      <c r="EGY4" s="59"/>
      <c r="EGZ4" s="59"/>
      <c r="EHA4" s="59"/>
      <c r="EHB4" s="59"/>
      <c r="EHC4" s="59"/>
      <c r="EHD4" s="59"/>
      <c r="EHE4" s="59"/>
      <c r="EHF4" s="59"/>
      <c r="EHG4" s="59"/>
      <c r="EHH4" s="59"/>
      <c r="EHI4" s="59"/>
      <c r="EHJ4" s="59"/>
      <c r="EHK4" s="59"/>
      <c r="EHL4" s="59"/>
      <c r="EHM4" s="59"/>
      <c r="EHN4" s="59"/>
      <c r="EHO4" s="59"/>
      <c r="EHP4" s="59"/>
      <c r="EHQ4" s="59"/>
      <c r="EHR4" s="59"/>
      <c r="EHS4" s="59"/>
      <c r="EHT4" s="59"/>
      <c r="EHU4" s="59"/>
      <c r="EHV4" s="59"/>
      <c r="EHW4" s="59"/>
      <c r="EHX4" s="59"/>
      <c r="EHY4" s="59"/>
      <c r="EHZ4" s="59"/>
      <c r="EIA4" s="59"/>
      <c r="EIB4" s="59"/>
      <c r="EIC4" s="59"/>
      <c r="EID4" s="59"/>
      <c r="EIE4" s="59"/>
      <c r="EIF4" s="59"/>
      <c r="EIG4" s="59"/>
      <c r="EIH4" s="59"/>
      <c r="EII4" s="59"/>
      <c r="EIJ4" s="59"/>
      <c r="EIK4" s="59"/>
      <c r="EIL4" s="59"/>
      <c r="EIM4" s="59"/>
      <c r="EIN4" s="59"/>
      <c r="EIO4" s="59"/>
      <c r="EIP4" s="59"/>
      <c r="EIQ4" s="59"/>
      <c r="EIR4" s="59"/>
      <c r="EIS4" s="59"/>
      <c r="EIT4" s="59"/>
      <c r="EIU4" s="59"/>
      <c r="EIV4" s="59"/>
      <c r="EIW4" s="59"/>
      <c r="EIX4" s="59"/>
      <c r="EIY4" s="59"/>
      <c r="EIZ4" s="59"/>
      <c r="EJA4" s="59"/>
      <c r="EJB4" s="59"/>
      <c r="EJC4" s="59"/>
      <c r="EJD4" s="59"/>
      <c r="EJE4" s="59"/>
      <c r="EJF4" s="59"/>
      <c r="EJG4" s="59"/>
      <c r="EJH4" s="59"/>
      <c r="EJI4" s="59"/>
      <c r="EJJ4" s="59"/>
      <c r="EJK4" s="59"/>
      <c r="EJL4" s="59"/>
      <c r="EJM4" s="59"/>
      <c r="EJN4" s="59"/>
      <c r="EJO4" s="59"/>
      <c r="EJP4" s="59"/>
      <c r="EJQ4" s="59"/>
      <c r="EJR4" s="59"/>
      <c r="EJS4" s="59"/>
      <c r="EJT4" s="59"/>
      <c r="EJU4" s="59"/>
      <c r="EJV4" s="59"/>
      <c r="EJW4" s="59"/>
      <c r="EJX4" s="59"/>
      <c r="EJY4" s="59"/>
      <c r="EJZ4" s="59"/>
      <c r="EKA4" s="59"/>
      <c r="EKB4" s="59"/>
      <c r="EKC4" s="59"/>
      <c r="EKD4" s="59"/>
      <c r="EKE4" s="59"/>
      <c r="EKF4" s="59"/>
      <c r="EKG4" s="59"/>
      <c r="EKH4" s="59"/>
      <c r="EKI4" s="59"/>
      <c r="EKJ4" s="59"/>
      <c r="EKK4" s="59"/>
      <c r="EKL4" s="59"/>
      <c r="EKM4" s="59"/>
      <c r="EKN4" s="59"/>
      <c r="EKO4" s="59"/>
      <c r="EKP4" s="59"/>
      <c r="EKQ4" s="59"/>
      <c r="EKR4" s="59"/>
      <c r="EKS4" s="59"/>
      <c r="EKT4" s="59"/>
      <c r="EKU4" s="59"/>
      <c r="EKV4" s="59"/>
      <c r="EKW4" s="59"/>
      <c r="EKX4" s="59"/>
      <c r="EKY4" s="59"/>
      <c r="EKZ4" s="59"/>
      <c r="ELA4" s="59"/>
      <c r="ELB4" s="59"/>
      <c r="ELC4" s="59"/>
      <c r="ELD4" s="59"/>
      <c r="ELE4" s="59"/>
      <c r="ELF4" s="59"/>
      <c r="ELG4" s="59"/>
      <c r="ELH4" s="59"/>
      <c r="ELI4" s="59"/>
      <c r="ELJ4" s="59"/>
      <c r="ELK4" s="59"/>
      <c r="ELL4" s="59"/>
      <c r="ELM4" s="59"/>
      <c r="ELN4" s="59"/>
      <c r="ELO4" s="59"/>
      <c r="ELP4" s="59"/>
      <c r="ELQ4" s="59"/>
      <c r="ELR4" s="59"/>
      <c r="ELS4" s="59"/>
      <c r="ELT4" s="59"/>
      <c r="ELU4" s="59"/>
      <c r="ELV4" s="59"/>
      <c r="ELW4" s="59"/>
      <c r="ELX4" s="59"/>
      <c r="ELY4" s="59"/>
      <c r="ELZ4" s="59"/>
      <c r="EMA4" s="59"/>
      <c r="EMB4" s="59"/>
      <c r="EMC4" s="59"/>
      <c r="EMD4" s="59"/>
      <c r="EME4" s="59"/>
      <c r="EMF4" s="59"/>
      <c r="EMG4" s="59"/>
      <c r="EMH4" s="59"/>
      <c r="EMI4" s="59"/>
      <c r="EMJ4" s="59"/>
      <c r="EMK4" s="59"/>
      <c r="EML4" s="59"/>
      <c r="EMM4" s="59"/>
      <c r="EMN4" s="59"/>
      <c r="EMO4" s="59"/>
      <c r="EMP4" s="59"/>
      <c r="EMQ4" s="59"/>
      <c r="EMR4" s="59"/>
      <c r="EMS4" s="59"/>
      <c r="EMT4" s="59"/>
      <c r="EMU4" s="59"/>
      <c r="EMV4" s="59"/>
      <c r="EMW4" s="59"/>
      <c r="EMX4" s="59"/>
      <c r="EMY4" s="59"/>
      <c r="EMZ4" s="59"/>
      <c r="ENA4" s="59"/>
      <c r="ENB4" s="59"/>
      <c r="ENC4" s="59"/>
      <c r="END4" s="59"/>
      <c r="ENE4" s="59"/>
      <c r="ENF4" s="59"/>
      <c r="ENG4" s="59"/>
      <c r="ENH4" s="59"/>
      <c r="ENI4" s="59"/>
      <c r="ENJ4" s="59"/>
      <c r="ENK4" s="59"/>
      <c r="ENL4" s="59"/>
      <c r="ENM4" s="59"/>
      <c r="ENN4" s="59"/>
      <c r="ENO4" s="59"/>
      <c r="ENP4" s="59"/>
      <c r="ENQ4" s="59"/>
      <c r="ENR4" s="59"/>
      <c r="ENS4" s="59"/>
      <c r="ENT4" s="59"/>
      <c r="ENU4" s="59"/>
      <c r="ENV4" s="59"/>
      <c r="ENW4" s="59"/>
      <c r="ENX4" s="59"/>
      <c r="ENY4" s="59"/>
      <c r="ENZ4" s="59"/>
      <c r="EOA4" s="59"/>
      <c r="EOB4" s="59"/>
      <c r="EOC4" s="59"/>
      <c r="EOD4" s="59"/>
      <c r="EOE4" s="59"/>
      <c r="EOF4" s="59"/>
      <c r="EOG4" s="59"/>
      <c r="EOH4" s="59"/>
      <c r="EOI4" s="59"/>
      <c r="EOJ4" s="59"/>
      <c r="EOK4" s="59"/>
      <c r="EOL4" s="59"/>
      <c r="EOM4" s="59"/>
      <c r="EON4" s="59"/>
      <c r="EOO4" s="59"/>
      <c r="EOP4" s="59"/>
      <c r="EOQ4" s="59"/>
      <c r="EOR4" s="59"/>
      <c r="EOS4" s="59"/>
      <c r="EOT4" s="59"/>
      <c r="EOU4" s="59"/>
      <c r="EOV4" s="59"/>
      <c r="EOW4" s="59"/>
      <c r="EOX4" s="59"/>
      <c r="EOY4" s="59"/>
      <c r="EOZ4" s="59"/>
      <c r="EPA4" s="59"/>
      <c r="EPB4" s="59"/>
      <c r="EPC4" s="59"/>
      <c r="EPD4" s="59"/>
      <c r="EPE4" s="59"/>
      <c r="EPF4" s="59"/>
      <c r="EPG4" s="59"/>
      <c r="EPH4" s="59"/>
      <c r="EPI4" s="59"/>
      <c r="EPJ4" s="59"/>
      <c r="EPK4" s="59"/>
      <c r="EPL4" s="59"/>
      <c r="EPM4" s="59"/>
      <c r="EPN4" s="59"/>
      <c r="EPO4" s="59"/>
      <c r="EPP4" s="59"/>
      <c r="EPQ4" s="59"/>
      <c r="EPR4" s="59"/>
      <c r="EPS4" s="59"/>
      <c r="EPT4" s="59"/>
      <c r="EPU4" s="59"/>
      <c r="EPV4" s="59"/>
      <c r="EPW4" s="59"/>
      <c r="EPX4" s="59"/>
      <c r="EPY4" s="59"/>
      <c r="EPZ4" s="59"/>
      <c r="EQA4" s="59"/>
      <c r="EQB4" s="59"/>
      <c r="EQC4" s="59"/>
      <c r="EQD4" s="59"/>
      <c r="EQE4" s="59"/>
      <c r="EQF4" s="59"/>
      <c r="EQG4" s="59"/>
      <c r="EQH4" s="59"/>
      <c r="EQI4" s="59"/>
      <c r="EQJ4" s="59"/>
      <c r="EQK4" s="59"/>
      <c r="EQL4" s="59"/>
      <c r="EQM4" s="59"/>
      <c r="EQN4" s="59"/>
      <c r="EQO4" s="59"/>
      <c r="EQP4" s="59"/>
      <c r="EQQ4" s="59"/>
      <c r="EQR4" s="59"/>
      <c r="EQS4" s="59"/>
      <c r="EQT4" s="59"/>
      <c r="EQU4" s="59"/>
      <c r="EQV4" s="59"/>
      <c r="EQW4" s="59"/>
      <c r="EQX4" s="59"/>
      <c r="EQY4" s="59"/>
      <c r="EQZ4" s="59"/>
      <c r="ERA4" s="59"/>
      <c r="ERB4" s="59"/>
      <c r="ERC4" s="59"/>
      <c r="ERD4" s="59"/>
      <c r="ERE4" s="59"/>
      <c r="ERF4" s="59"/>
      <c r="ERG4" s="59"/>
      <c r="ERH4" s="59"/>
      <c r="ERI4" s="59"/>
      <c r="ERJ4" s="59"/>
      <c r="ERK4" s="59"/>
      <c r="ERL4" s="59"/>
      <c r="ERM4" s="59"/>
      <c r="ERN4" s="59"/>
      <c r="ERO4" s="59"/>
      <c r="ERP4" s="59"/>
      <c r="ERQ4" s="59"/>
      <c r="ERR4" s="59"/>
      <c r="ERS4" s="59"/>
      <c r="ERT4" s="59"/>
      <c r="ERU4" s="59"/>
      <c r="ERV4" s="59"/>
      <c r="ERW4" s="59"/>
      <c r="ERX4" s="59"/>
      <c r="ERY4" s="59"/>
      <c r="ERZ4" s="59"/>
      <c r="ESA4" s="59"/>
      <c r="ESB4" s="59"/>
      <c r="ESC4" s="59"/>
      <c r="ESD4" s="59"/>
      <c r="ESE4" s="59"/>
      <c r="ESF4" s="59"/>
      <c r="ESG4" s="59"/>
      <c r="ESH4" s="59"/>
      <c r="ESI4" s="59"/>
      <c r="ESJ4" s="59"/>
      <c r="ESK4" s="59"/>
      <c r="ESL4" s="59"/>
      <c r="ESM4" s="59"/>
      <c r="ESN4" s="59"/>
      <c r="ESO4" s="59"/>
      <c r="ESP4" s="59"/>
      <c r="ESQ4" s="59"/>
      <c r="ESR4" s="59"/>
      <c r="ESS4" s="59"/>
      <c r="EST4" s="59"/>
      <c r="ESU4" s="59"/>
      <c r="ESV4" s="59"/>
      <c r="ESW4" s="59"/>
      <c r="ESX4" s="59"/>
      <c r="ESY4" s="59"/>
      <c r="ESZ4" s="59"/>
      <c r="ETA4" s="59"/>
      <c r="ETB4" s="59"/>
      <c r="ETC4" s="59"/>
      <c r="ETD4" s="59"/>
      <c r="ETE4" s="59"/>
      <c r="ETF4" s="59"/>
      <c r="ETG4" s="59"/>
      <c r="ETH4" s="59"/>
      <c r="ETI4" s="59"/>
      <c r="ETJ4" s="59"/>
      <c r="ETK4" s="59"/>
      <c r="ETL4" s="59"/>
      <c r="ETM4" s="59"/>
      <c r="ETN4" s="59"/>
      <c r="ETO4" s="59"/>
      <c r="ETP4" s="59"/>
      <c r="ETQ4" s="59"/>
      <c r="ETR4" s="59"/>
      <c r="ETS4" s="59"/>
      <c r="ETT4" s="59"/>
      <c r="ETU4" s="59"/>
      <c r="ETV4" s="59"/>
      <c r="ETW4" s="59"/>
      <c r="ETX4" s="59"/>
      <c r="ETY4" s="59"/>
      <c r="ETZ4" s="59"/>
      <c r="EUA4" s="59"/>
      <c r="EUB4" s="59"/>
      <c r="EUC4" s="59"/>
      <c r="EUD4" s="59"/>
      <c r="EUE4" s="59"/>
      <c r="EUF4" s="59"/>
      <c r="EUG4" s="59"/>
      <c r="EUH4" s="59"/>
      <c r="EUI4" s="59"/>
      <c r="EUJ4" s="59"/>
      <c r="EUK4" s="59"/>
      <c r="EUL4" s="59"/>
      <c r="EUM4" s="59"/>
      <c r="EUN4" s="59"/>
      <c r="EUO4" s="59"/>
      <c r="EUP4" s="59"/>
      <c r="EUQ4" s="59"/>
      <c r="EUR4" s="59"/>
      <c r="EUS4" s="59"/>
      <c r="EUT4" s="59"/>
      <c r="EUU4" s="59"/>
      <c r="EUV4" s="59"/>
      <c r="EUW4" s="59"/>
      <c r="EUX4" s="59"/>
      <c r="EUY4" s="59"/>
      <c r="EUZ4" s="59"/>
      <c r="EVA4" s="59"/>
      <c r="EVB4" s="59"/>
      <c r="EVC4" s="59"/>
      <c r="EVD4" s="59"/>
      <c r="EVE4" s="59"/>
      <c r="EVF4" s="59"/>
      <c r="EVG4" s="59"/>
      <c r="EVH4" s="59"/>
      <c r="EVI4" s="59"/>
      <c r="EVJ4" s="59"/>
      <c r="EVK4" s="59"/>
      <c r="EVL4" s="59"/>
      <c r="EVM4" s="59"/>
      <c r="EVN4" s="59"/>
      <c r="EVO4" s="59"/>
      <c r="EVP4" s="59"/>
      <c r="EVQ4" s="59"/>
      <c r="EVR4" s="59"/>
      <c r="EVS4" s="59"/>
      <c r="EVT4" s="59"/>
      <c r="EVU4" s="59"/>
      <c r="EVV4" s="59"/>
      <c r="EVW4" s="59"/>
      <c r="EVX4" s="59"/>
      <c r="EVY4" s="59"/>
      <c r="EVZ4" s="59"/>
      <c r="EWA4" s="59"/>
      <c r="EWB4" s="59"/>
      <c r="EWC4" s="59"/>
      <c r="EWD4" s="59"/>
      <c r="EWE4" s="59"/>
      <c r="EWF4" s="59"/>
      <c r="EWG4" s="59"/>
      <c r="EWH4" s="59"/>
      <c r="EWI4" s="59"/>
      <c r="EWJ4" s="59"/>
      <c r="EWK4" s="59"/>
      <c r="EWL4" s="59"/>
      <c r="EWM4" s="59"/>
      <c r="EWN4" s="59"/>
      <c r="EWO4" s="59"/>
      <c r="EWP4" s="59"/>
      <c r="EWQ4" s="59"/>
      <c r="EWR4" s="59"/>
      <c r="EWS4" s="59"/>
      <c r="EWT4" s="59"/>
      <c r="EWU4" s="59"/>
      <c r="EWV4" s="59"/>
      <c r="EWW4" s="59"/>
      <c r="EWX4" s="59"/>
      <c r="EWY4" s="59"/>
      <c r="EWZ4" s="59"/>
      <c r="EXA4" s="59"/>
      <c r="EXB4" s="59"/>
      <c r="EXC4" s="59"/>
      <c r="EXD4" s="59"/>
      <c r="EXE4" s="59"/>
      <c r="EXF4" s="59"/>
      <c r="EXG4" s="59"/>
      <c r="EXH4" s="59"/>
      <c r="EXI4" s="59"/>
      <c r="EXJ4" s="59"/>
      <c r="EXK4" s="59"/>
      <c r="EXL4" s="59"/>
      <c r="EXM4" s="59"/>
      <c r="EXN4" s="59"/>
      <c r="EXO4" s="59"/>
      <c r="EXP4" s="59"/>
      <c r="EXQ4" s="59"/>
      <c r="EXR4" s="59"/>
      <c r="EXS4" s="59"/>
      <c r="EXT4" s="59"/>
      <c r="EXU4" s="59"/>
      <c r="EXV4" s="59"/>
      <c r="EXW4" s="59"/>
      <c r="EXX4" s="59"/>
      <c r="EXY4" s="59"/>
      <c r="EXZ4" s="59"/>
      <c r="EYA4" s="59"/>
      <c r="EYB4" s="59"/>
      <c r="EYC4" s="59"/>
      <c r="EYD4" s="59"/>
      <c r="EYE4" s="59"/>
      <c r="EYF4" s="59"/>
      <c r="EYG4" s="59"/>
      <c r="EYH4" s="59"/>
      <c r="EYI4" s="59"/>
      <c r="EYJ4" s="59"/>
      <c r="EYK4" s="59"/>
      <c r="EYL4" s="59"/>
      <c r="EYM4" s="59"/>
      <c r="EYN4" s="59"/>
      <c r="EYO4" s="59"/>
      <c r="EYP4" s="59"/>
      <c r="EYQ4" s="59"/>
      <c r="EYR4" s="59"/>
      <c r="EYS4" s="59"/>
      <c r="EYT4" s="59"/>
      <c r="EYU4" s="59"/>
      <c r="EYV4" s="59"/>
      <c r="EYW4" s="59"/>
      <c r="EYX4" s="59"/>
      <c r="EYY4" s="59"/>
      <c r="EYZ4" s="59"/>
      <c r="EZA4" s="59"/>
      <c r="EZB4" s="59"/>
      <c r="EZC4" s="59"/>
      <c r="EZD4" s="59"/>
      <c r="EZE4" s="59"/>
      <c r="EZF4" s="59"/>
      <c r="EZG4" s="59"/>
      <c r="EZH4" s="59"/>
      <c r="EZI4" s="59"/>
      <c r="EZJ4" s="59"/>
      <c r="EZK4" s="59"/>
      <c r="EZL4" s="59"/>
      <c r="EZM4" s="59"/>
      <c r="EZN4" s="59"/>
      <c r="EZO4" s="59"/>
      <c r="EZP4" s="59"/>
      <c r="EZQ4" s="59"/>
      <c r="EZR4" s="59"/>
      <c r="EZS4" s="59"/>
      <c r="EZT4" s="59"/>
      <c r="EZU4" s="59"/>
      <c r="EZV4" s="59"/>
      <c r="EZW4" s="59"/>
      <c r="EZX4" s="59"/>
      <c r="EZY4" s="59"/>
      <c r="EZZ4" s="59"/>
      <c r="FAA4" s="59"/>
      <c r="FAB4" s="59"/>
      <c r="FAC4" s="59"/>
      <c r="FAD4" s="59"/>
      <c r="FAE4" s="59"/>
      <c r="FAF4" s="59"/>
      <c r="FAG4" s="59"/>
      <c r="FAH4" s="59"/>
      <c r="FAI4" s="59"/>
      <c r="FAJ4" s="59"/>
      <c r="FAK4" s="59"/>
      <c r="FAL4" s="59"/>
      <c r="FAM4" s="59"/>
      <c r="FAN4" s="59"/>
      <c r="FAO4" s="59"/>
      <c r="FAP4" s="59"/>
      <c r="FAQ4" s="59"/>
      <c r="FAR4" s="59"/>
      <c r="FAS4" s="59"/>
      <c r="FAT4" s="59"/>
      <c r="FAU4" s="59"/>
      <c r="FAV4" s="59"/>
      <c r="FAW4" s="59"/>
      <c r="FAX4" s="59"/>
      <c r="FAY4" s="59"/>
      <c r="FAZ4" s="59"/>
      <c r="FBA4" s="59"/>
      <c r="FBB4" s="59"/>
      <c r="FBC4" s="59"/>
      <c r="FBD4" s="59"/>
      <c r="FBE4" s="59"/>
      <c r="FBF4" s="59"/>
      <c r="FBG4" s="59"/>
      <c r="FBH4" s="59"/>
      <c r="FBI4" s="59"/>
      <c r="FBJ4" s="59"/>
      <c r="FBK4" s="59"/>
      <c r="FBL4" s="59"/>
      <c r="FBM4" s="59"/>
      <c r="FBN4" s="59"/>
      <c r="FBO4" s="59"/>
      <c r="FBP4" s="59"/>
      <c r="FBQ4" s="59"/>
      <c r="FBR4" s="59"/>
      <c r="FBS4" s="59"/>
      <c r="FBT4" s="59"/>
      <c r="FBU4" s="59"/>
      <c r="FBV4" s="59"/>
      <c r="FBW4" s="59"/>
      <c r="FBX4" s="59"/>
      <c r="FBY4" s="59"/>
      <c r="FBZ4" s="59"/>
      <c r="FCA4" s="59"/>
      <c r="FCB4" s="59"/>
      <c r="FCC4" s="59"/>
      <c r="FCD4" s="59"/>
      <c r="FCE4" s="59"/>
      <c r="FCF4" s="59"/>
      <c r="FCG4" s="59"/>
      <c r="FCH4" s="59"/>
      <c r="FCI4" s="59"/>
      <c r="FCJ4" s="59"/>
      <c r="FCK4" s="59"/>
      <c r="FCL4" s="59"/>
      <c r="FCM4" s="59"/>
      <c r="FCN4" s="59"/>
      <c r="FCO4" s="59"/>
      <c r="FCP4" s="59"/>
      <c r="FCQ4" s="59"/>
      <c r="FCR4" s="59"/>
      <c r="FCS4" s="59"/>
      <c r="FCT4" s="59"/>
      <c r="FCU4" s="59"/>
      <c r="FCV4" s="59"/>
      <c r="FCW4" s="59"/>
      <c r="FCX4" s="59"/>
      <c r="FCY4" s="59"/>
      <c r="FCZ4" s="59"/>
      <c r="FDA4" s="59"/>
      <c r="FDB4" s="59"/>
      <c r="FDC4" s="59"/>
      <c r="FDD4" s="59"/>
      <c r="FDE4" s="59"/>
      <c r="FDF4" s="59"/>
      <c r="FDG4" s="59"/>
      <c r="FDH4" s="59"/>
      <c r="FDI4" s="59"/>
      <c r="FDJ4" s="59"/>
      <c r="FDK4" s="59"/>
      <c r="FDL4" s="59"/>
      <c r="FDM4" s="59"/>
      <c r="FDN4" s="59"/>
      <c r="FDO4" s="59"/>
      <c r="FDP4" s="59"/>
      <c r="FDQ4" s="59"/>
      <c r="FDR4" s="59"/>
      <c r="FDS4" s="59"/>
      <c r="FDT4" s="59"/>
      <c r="FDU4" s="59"/>
      <c r="FDV4" s="59"/>
      <c r="FDW4" s="59"/>
      <c r="FDX4" s="59"/>
      <c r="FDY4" s="59"/>
      <c r="FDZ4" s="59"/>
      <c r="FEA4" s="59"/>
      <c r="FEB4" s="59"/>
      <c r="FEC4" s="59"/>
      <c r="FED4" s="59"/>
      <c r="FEE4" s="59"/>
      <c r="FEF4" s="59"/>
      <c r="FEG4" s="59"/>
      <c r="FEH4" s="59"/>
      <c r="FEI4" s="59"/>
      <c r="FEJ4" s="59"/>
      <c r="FEK4" s="59"/>
      <c r="FEL4" s="59"/>
      <c r="FEM4" s="59"/>
      <c r="FEN4" s="59"/>
      <c r="FEO4" s="59"/>
      <c r="FEP4" s="59"/>
      <c r="FEQ4" s="59"/>
      <c r="FER4" s="59"/>
      <c r="FES4" s="59"/>
      <c r="FET4" s="59"/>
      <c r="FEU4" s="59"/>
      <c r="FEV4" s="59"/>
      <c r="FEW4" s="59"/>
      <c r="FEX4" s="59"/>
      <c r="FEY4" s="59"/>
      <c r="FEZ4" s="59"/>
      <c r="FFA4" s="59"/>
      <c r="FFB4" s="59"/>
      <c r="FFC4" s="59"/>
      <c r="FFD4" s="59"/>
      <c r="FFE4" s="59"/>
      <c r="FFF4" s="59"/>
      <c r="FFG4" s="59"/>
      <c r="FFH4" s="59"/>
      <c r="FFI4" s="59"/>
      <c r="FFJ4" s="59"/>
      <c r="FFK4" s="59"/>
      <c r="FFL4" s="59"/>
      <c r="FFM4" s="59"/>
      <c r="FFN4" s="59"/>
      <c r="FFO4" s="59"/>
      <c r="FFP4" s="59"/>
      <c r="FFQ4" s="59"/>
      <c r="FFR4" s="59"/>
      <c r="FFS4" s="59"/>
      <c r="FFT4" s="59"/>
      <c r="FFU4" s="59"/>
      <c r="FFV4" s="59"/>
      <c r="FFW4" s="59"/>
      <c r="FFX4" s="59"/>
      <c r="FFY4" s="59"/>
      <c r="FFZ4" s="59"/>
      <c r="FGA4" s="59"/>
      <c r="FGB4" s="59"/>
      <c r="FGC4" s="59"/>
      <c r="FGD4" s="59"/>
      <c r="FGE4" s="59"/>
      <c r="FGF4" s="59"/>
      <c r="FGG4" s="59"/>
      <c r="FGH4" s="59"/>
      <c r="FGI4" s="59"/>
      <c r="FGJ4" s="59"/>
      <c r="FGK4" s="59"/>
      <c r="FGL4" s="59"/>
      <c r="FGM4" s="59"/>
      <c r="FGN4" s="59"/>
      <c r="FGO4" s="59"/>
      <c r="FGP4" s="59"/>
      <c r="FGQ4" s="59"/>
      <c r="FGR4" s="59"/>
      <c r="FGS4" s="59"/>
      <c r="FGT4" s="59"/>
      <c r="FGU4" s="59"/>
      <c r="FGV4" s="59"/>
      <c r="FGW4" s="59"/>
      <c r="FGX4" s="59"/>
      <c r="FGY4" s="59"/>
      <c r="FGZ4" s="59"/>
      <c r="FHA4" s="59"/>
      <c r="FHB4" s="59"/>
      <c r="FHC4" s="59"/>
      <c r="FHD4" s="59"/>
      <c r="FHE4" s="59"/>
      <c r="FHF4" s="59"/>
      <c r="FHG4" s="59"/>
      <c r="FHH4" s="59"/>
      <c r="FHI4" s="59"/>
      <c r="FHJ4" s="59"/>
      <c r="FHK4" s="59"/>
      <c r="FHL4" s="59"/>
      <c r="FHM4" s="59"/>
      <c r="FHN4" s="59"/>
      <c r="FHO4" s="59"/>
      <c r="FHP4" s="59"/>
      <c r="FHQ4" s="59"/>
      <c r="FHR4" s="59"/>
      <c r="FHS4" s="59"/>
      <c r="FHT4" s="59"/>
      <c r="FHU4" s="59"/>
      <c r="FHV4" s="59"/>
      <c r="FHW4" s="59"/>
      <c r="FHX4" s="59"/>
      <c r="FHY4" s="59"/>
      <c r="FHZ4" s="59"/>
      <c r="FIA4" s="59"/>
      <c r="FIB4" s="59"/>
      <c r="FIC4" s="59"/>
      <c r="FID4" s="59"/>
      <c r="FIE4" s="59"/>
      <c r="FIF4" s="59"/>
      <c r="FIG4" s="59"/>
      <c r="FIH4" s="59"/>
      <c r="FII4" s="59"/>
      <c r="FIJ4" s="59"/>
      <c r="FIK4" s="59"/>
      <c r="FIL4" s="59"/>
      <c r="FIM4" s="59"/>
      <c r="FIN4" s="59"/>
      <c r="FIO4" s="59"/>
      <c r="FIP4" s="59"/>
      <c r="FIQ4" s="59"/>
      <c r="FIR4" s="59"/>
      <c r="FIS4" s="59"/>
      <c r="FIT4" s="59"/>
      <c r="FIU4" s="59"/>
      <c r="FIV4" s="59"/>
      <c r="FIW4" s="59"/>
      <c r="FIX4" s="59"/>
      <c r="FIY4" s="59"/>
      <c r="FIZ4" s="59"/>
      <c r="FJA4" s="59"/>
      <c r="FJB4" s="59"/>
      <c r="FJC4" s="59"/>
      <c r="FJD4" s="59"/>
      <c r="FJE4" s="59"/>
      <c r="FJF4" s="59"/>
      <c r="FJG4" s="59"/>
      <c r="FJH4" s="59"/>
      <c r="FJI4" s="59"/>
      <c r="FJJ4" s="59"/>
      <c r="FJK4" s="59"/>
      <c r="FJL4" s="59"/>
      <c r="FJM4" s="59"/>
      <c r="FJN4" s="59"/>
      <c r="FJO4" s="59"/>
      <c r="FJP4" s="59"/>
      <c r="FJQ4" s="59"/>
      <c r="FJR4" s="59"/>
      <c r="FJS4" s="59"/>
      <c r="FJT4" s="59"/>
      <c r="FJU4" s="59"/>
      <c r="FJV4" s="59"/>
      <c r="FJW4" s="59"/>
      <c r="FJX4" s="59"/>
      <c r="FJY4" s="59"/>
      <c r="FJZ4" s="59"/>
      <c r="FKA4" s="59"/>
      <c r="FKB4" s="59"/>
      <c r="FKC4" s="59"/>
      <c r="FKD4" s="59"/>
      <c r="FKE4" s="59"/>
      <c r="FKF4" s="59"/>
      <c r="FKG4" s="59"/>
      <c r="FKH4" s="59"/>
      <c r="FKI4" s="59"/>
      <c r="FKJ4" s="59"/>
      <c r="FKK4" s="59"/>
      <c r="FKL4" s="59"/>
      <c r="FKM4" s="59"/>
      <c r="FKN4" s="59"/>
      <c r="FKO4" s="59"/>
      <c r="FKP4" s="59"/>
      <c r="FKQ4" s="59"/>
      <c r="FKR4" s="59"/>
      <c r="FKS4" s="59"/>
      <c r="FKT4" s="59"/>
      <c r="FKU4" s="59"/>
      <c r="FKV4" s="59"/>
      <c r="FKW4" s="59"/>
      <c r="FKX4" s="59"/>
      <c r="FKY4" s="59"/>
      <c r="FKZ4" s="59"/>
      <c r="FLA4" s="59"/>
      <c r="FLB4" s="59"/>
      <c r="FLC4" s="59"/>
      <c r="FLD4" s="59"/>
      <c r="FLE4" s="59"/>
      <c r="FLF4" s="59"/>
      <c r="FLG4" s="59"/>
      <c r="FLH4" s="59"/>
      <c r="FLI4" s="59"/>
      <c r="FLJ4" s="59"/>
      <c r="FLK4" s="59"/>
      <c r="FLL4" s="59"/>
      <c r="FLM4" s="59"/>
      <c r="FLN4" s="59"/>
      <c r="FLO4" s="59"/>
      <c r="FLP4" s="59"/>
      <c r="FLQ4" s="59"/>
      <c r="FLR4" s="59"/>
      <c r="FLS4" s="59"/>
      <c r="FLT4" s="59"/>
      <c r="FLU4" s="59"/>
      <c r="FLV4" s="59"/>
      <c r="FLW4" s="59"/>
      <c r="FLX4" s="59"/>
      <c r="FLY4" s="59"/>
      <c r="FLZ4" s="59"/>
      <c r="FMA4" s="59"/>
      <c r="FMB4" s="59"/>
      <c r="FMC4" s="59"/>
      <c r="FMD4" s="59"/>
      <c r="FME4" s="59"/>
      <c r="FMF4" s="59"/>
      <c r="FMG4" s="59"/>
      <c r="FMH4" s="59"/>
      <c r="FMI4" s="59"/>
      <c r="FMJ4" s="59"/>
      <c r="FMK4" s="59"/>
      <c r="FML4" s="59"/>
      <c r="FMM4" s="59"/>
      <c r="FMN4" s="59"/>
      <c r="FMO4" s="59"/>
      <c r="FMP4" s="59"/>
      <c r="FMQ4" s="59"/>
      <c r="FMR4" s="59"/>
      <c r="FMS4" s="59"/>
      <c r="FMT4" s="59"/>
      <c r="FMU4" s="59"/>
      <c r="FMV4" s="59"/>
      <c r="FMW4" s="59"/>
      <c r="FMX4" s="59"/>
      <c r="FMY4" s="59"/>
      <c r="FMZ4" s="59"/>
      <c r="FNA4" s="59"/>
      <c r="FNB4" s="59"/>
      <c r="FNC4" s="59"/>
      <c r="FND4" s="59"/>
      <c r="FNE4" s="59"/>
      <c r="FNF4" s="59"/>
      <c r="FNG4" s="59"/>
      <c r="FNH4" s="59"/>
      <c r="FNI4" s="59"/>
      <c r="FNJ4" s="59"/>
      <c r="FNK4" s="59"/>
      <c r="FNL4" s="59"/>
      <c r="FNM4" s="59"/>
      <c r="FNN4" s="59"/>
      <c r="FNO4" s="59"/>
      <c r="FNP4" s="59"/>
      <c r="FNQ4" s="59"/>
      <c r="FNR4" s="59"/>
      <c r="FNS4" s="59"/>
      <c r="FNT4" s="59"/>
      <c r="FNU4" s="59"/>
      <c r="FNV4" s="59"/>
      <c r="FNW4" s="59"/>
      <c r="FNX4" s="59"/>
      <c r="FNY4" s="59"/>
      <c r="FNZ4" s="59"/>
      <c r="FOA4" s="59"/>
      <c r="FOB4" s="59"/>
      <c r="FOC4" s="59"/>
      <c r="FOD4" s="59"/>
      <c r="FOE4" s="59"/>
      <c r="FOF4" s="59"/>
      <c r="FOG4" s="59"/>
      <c r="FOH4" s="59"/>
      <c r="FOI4" s="59"/>
      <c r="FOJ4" s="59"/>
      <c r="FOK4" s="59"/>
      <c r="FOL4" s="59"/>
      <c r="FOM4" s="59"/>
      <c r="FON4" s="59"/>
      <c r="FOO4" s="59"/>
      <c r="FOP4" s="59"/>
      <c r="FOQ4" s="59"/>
      <c r="FOR4" s="59"/>
      <c r="FOS4" s="59"/>
      <c r="FOT4" s="59"/>
      <c r="FOU4" s="59"/>
      <c r="FOV4" s="59"/>
      <c r="FOW4" s="59"/>
      <c r="FOX4" s="59"/>
      <c r="FOY4" s="59"/>
      <c r="FOZ4" s="59"/>
      <c r="FPA4" s="59"/>
      <c r="FPB4" s="59"/>
      <c r="FPC4" s="59"/>
      <c r="FPD4" s="59"/>
      <c r="FPE4" s="59"/>
      <c r="FPF4" s="59"/>
      <c r="FPG4" s="59"/>
      <c r="FPH4" s="59"/>
      <c r="FPI4" s="59"/>
      <c r="FPJ4" s="59"/>
      <c r="FPK4" s="59"/>
      <c r="FPL4" s="59"/>
      <c r="FPM4" s="59"/>
      <c r="FPN4" s="59"/>
      <c r="FPO4" s="59"/>
      <c r="FPP4" s="59"/>
      <c r="FPQ4" s="59"/>
      <c r="FPR4" s="59"/>
      <c r="FPS4" s="59"/>
      <c r="FPT4" s="59"/>
      <c r="FPU4" s="59"/>
      <c r="FPV4" s="59"/>
      <c r="FPW4" s="59"/>
      <c r="FPX4" s="59"/>
      <c r="FPY4" s="59"/>
      <c r="FPZ4" s="59"/>
      <c r="FQA4" s="59"/>
      <c r="FQB4" s="59"/>
      <c r="FQC4" s="59"/>
      <c r="FQD4" s="59"/>
      <c r="FQE4" s="59"/>
      <c r="FQF4" s="59"/>
      <c r="FQG4" s="59"/>
      <c r="FQH4" s="59"/>
      <c r="FQI4" s="59"/>
      <c r="FQJ4" s="59"/>
      <c r="FQK4" s="59"/>
      <c r="FQL4" s="59"/>
      <c r="FQM4" s="59"/>
      <c r="FQN4" s="59"/>
      <c r="FQO4" s="59"/>
      <c r="FQP4" s="59"/>
      <c r="FQQ4" s="59"/>
      <c r="FQR4" s="59"/>
      <c r="FQS4" s="59"/>
      <c r="FQT4" s="59"/>
      <c r="FQU4" s="59"/>
      <c r="FQV4" s="59"/>
      <c r="FQW4" s="59"/>
      <c r="FQX4" s="59"/>
      <c r="FQY4" s="59"/>
      <c r="FQZ4" s="59"/>
      <c r="FRA4" s="59"/>
      <c r="FRB4" s="59"/>
      <c r="FRC4" s="59"/>
      <c r="FRD4" s="59"/>
      <c r="FRE4" s="59"/>
      <c r="FRF4" s="59"/>
      <c r="FRG4" s="59"/>
      <c r="FRH4" s="59"/>
      <c r="FRI4" s="59"/>
      <c r="FRJ4" s="59"/>
      <c r="FRK4" s="59"/>
      <c r="FRL4" s="59"/>
      <c r="FRM4" s="59"/>
      <c r="FRN4" s="59"/>
      <c r="FRO4" s="59"/>
      <c r="FRP4" s="59"/>
      <c r="FRQ4" s="59"/>
      <c r="FRR4" s="59"/>
      <c r="FRS4" s="59"/>
      <c r="FRT4" s="59"/>
      <c r="FRU4" s="59"/>
      <c r="FRV4" s="59"/>
      <c r="FRW4" s="59"/>
      <c r="FRX4" s="59"/>
      <c r="FRY4" s="59"/>
      <c r="FRZ4" s="59"/>
      <c r="FSA4" s="59"/>
      <c r="FSB4" s="59"/>
      <c r="FSC4" s="59"/>
      <c r="FSD4" s="59"/>
      <c r="FSE4" s="59"/>
      <c r="FSF4" s="59"/>
      <c r="FSG4" s="59"/>
      <c r="FSH4" s="59"/>
      <c r="FSI4" s="59"/>
      <c r="FSJ4" s="59"/>
      <c r="FSK4" s="59"/>
      <c r="FSL4" s="59"/>
      <c r="FSM4" s="59"/>
      <c r="FSN4" s="59"/>
      <c r="FSO4" s="59"/>
      <c r="FSP4" s="59"/>
      <c r="FSQ4" s="59"/>
      <c r="FSR4" s="59"/>
      <c r="FSS4" s="59"/>
      <c r="FST4" s="59"/>
      <c r="FSU4" s="59"/>
      <c r="FSV4" s="59"/>
      <c r="FSW4" s="59"/>
      <c r="FSX4" s="59"/>
      <c r="FSY4" s="59"/>
      <c r="FSZ4" s="59"/>
      <c r="FTA4" s="59"/>
      <c r="FTB4" s="59"/>
      <c r="FTC4" s="59"/>
      <c r="FTD4" s="59"/>
      <c r="FTE4" s="59"/>
      <c r="FTF4" s="59"/>
      <c r="FTG4" s="59"/>
      <c r="FTH4" s="59"/>
      <c r="FTI4" s="59"/>
      <c r="FTJ4" s="59"/>
      <c r="FTK4" s="59"/>
      <c r="FTL4" s="59"/>
      <c r="FTM4" s="59"/>
      <c r="FTN4" s="59"/>
      <c r="FTO4" s="59"/>
      <c r="FTP4" s="59"/>
      <c r="FTQ4" s="59"/>
      <c r="FTR4" s="59"/>
      <c r="FTS4" s="59"/>
      <c r="FTT4" s="59"/>
      <c r="FTU4" s="59"/>
      <c r="FTV4" s="59"/>
      <c r="FTW4" s="59"/>
      <c r="FTX4" s="59"/>
      <c r="FTY4" s="59"/>
      <c r="FTZ4" s="59"/>
      <c r="FUA4" s="59"/>
      <c r="FUB4" s="59"/>
      <c r="FUC4" s="59"/>
      <c r="FUD4" s="59"/>
      <c r="FUE4" s="59"/>
      <c r="FUF4" s="59"/>
      <c r="FUG4" s="59"/>
      <c r="FUH4" s="59"/>
      <c r="FUI4" s="59"/>
      <c r="FUJ4" s="59"/>
      <c r="FUK4" s="59"/>
      <c r="FUL4" s="59"/>
      <c r="FUM4" s="59"/>
      <c r="FUN4" s="59"/>
      <c r="FUO4" s="59"/>
      <c r="FUP4" s="59"/>
      <c r="FUQ4" s="59"/>
      <c r="FUR4" s="59"/>
      <c r="FUS4" s="59"/>
      <c r="FUT4" s="59"/>
      <c r="FUU4" s="59"/>
      <c r="FUV4" s="59"/>
      <c r="FUW4" s="59"/>
      <c r="FUX4" s="59"/>
      <c r="FUY4" s="59"/>
      <c r="FUZ4" s="59"/>
      <c r="FVA4" s="59"/>
      <c r="FVB4" s="59"/>
      <c r="FVC4" s="59"/>
      <c r="FVD4" s="59"/>
      <c r="FVE4" s="59"/>
      <c r="FVF4" s="59"/>
      <c r="FVG4" s="59"/>
      <c r="FVH4" s="59"/>
      <c r="FVI4" s="59"/>
      <c r="FVJ4" s="59"/>
      <c r="FVK4" s="59"/>
      <c r="FVL4" s="59"/>
      <c r="FVM4" s="59"/>
      <c r="FVN4" s="59"/>
      <c r="FVO4" s="59"/>
      <c r="FVP4" s="59"/>
      <c r="FVQ4" s="59"/>
      <c r="FVR4" s="59"/>
      <c r="FVS4" s="59"/>
      <c r="FVT4" s="59"/>
      <c r="FVU4" s="59"/>
      <c r="FVV4" s="59"/>
      <c r="FVW4" s="59"/>
      <c r="FVX4" s="59"/>
      <c r="FVY4" s="59"/>
      <c r="FVZ4" s="59"/>
      <c r="FWA4" s="59"/>
      <c r="FWB4" s="59"/>
      <c r="FWC4" s="59"/>
      <c r="FWD4" s="59"/>
      <c r="FWE4" s="59"/>
      <c r="FWF4" s="59"/>
      <c r="FWG4" s="59"/>
      <c r="FWH4" s="59"/>
      <c r="FWI4" s="59"/>
      <c r="FWJ4" s="59"/>
      <c r="FWK4" s="59"/>
      <c r="FWL4" s="59"/>
      <c r="FWM4" s="59"/>
      <c r="FWN4" s="59"/>
      <c r="FWO4" s="59"/>
      <c r="FWP4" s="59"/>
      <c r="FWQ4" s="59"/>
      <c r="FWR4" s="59"/>
      <c r="FWS4" s="59"/>
      <c r="FWT4" s="59"/>
      <c r="FWU4" s="59"/>
      <c r="FWV4" s="59"/>
      <c r="FWW4" s="59"/>
      <c r="FWX4" s="59"/>
      <c r="FWY4" s="59"/>
      <c r="FWZ4" s="59"/>
      <c r="FXA4" s="59"/>
      <c r="FXB4" s="59"/>
      <c r="FXC4" s="59"/>
      <c r="FXD4" s="59"/>
      <c r="FXE4" s="59"/>
      <c r="FXF4" s="59"/>
      <c r="FXG4" s="59"/>
      <c r="FXH4" s="59"/>
      <c r="FXI4" s="59"/>
      <c r="FXJ4" s="59"/>
      <c r="FXK4" s="59"/>
      <c r="FXL4" s="59"/>
      <c r="FXM4" s="59"/>
      <c r="FXN4" s="59"/>
      <c r="FXO4" s="59"/>
      <c r="FXP4" s="59"/>
      <c r="FXQ4" s="59"/>
      <c r="FXR4" s="59"/>
      <c r="FXS4" s="59"/>
      <c r="FXT4" s="59"/>
      <c r="FXU4" s="59"/>
      <c r="FXV4" s="59"/>
      <c r="FXW4" s="59"/>
      <c r="FXX4" s="59"/>
      <c r="FXY4" s="59"/>
      <c r="FXZ4" s="59"/>
      <c r="FYA4" s="59"/>
      <c r="FYB4" s="59"/>
      <c r="FYC4" s="59"/>
      <c r="FYD4" s="59"/>
      <c r="FYE4" s="59"/>
      <c r="FYF4" s="59"/>
      <c r="FYG4" s="59"/>
      <c r="FYH4" s="59"/>
      <c r="FYI4" s="59"/>
      <c r="FYJ4" s="59"/>
      <c r="FYK4" s="59"/>
      <c r="FYL4" s="59"/>
      <c r="FYM4" s="59"/>
      <c r="FYN4" s="59"/>
      <c r="FYO4" s="59"/>
      <c r="FYP4" s="59"/>
      <c r="FYQ4" s="59"/>
      <c r="FYR4" s="59"/>
      <c r="FYS4" s="59"/>
      <c r="FYT4" s="59"/>
      <c r="FYU4" s="59"/>
      <c r="FYV4" s="59"/>
      <c r="FYW4" s="59"/>
      <c r="FYX4" s="59"/>
      <c r="FYY4" s="59"/>
      <c r="FYZ4" s="59"/>
      <c r="FZA4" s="59"/>
      <c r="FZB4" s="59"/>
      <c r="FZC4" s="59"/>
      <c r="FZD4" s="59"/>
      <c r="FZE4" s="59"/>
      <c r="FZF4" s="59"/>
      <c r="FZG4" s="59"/>
      <c r="FZH4" s="59"/>
      <c r="FZI4" s="59"/>
      <c r="FZJ4" s="59"/>
      <c r="FZK4" s="59"/>
      <c r="FZL4" s="59"/>
      <c r="FZM4" s="59"/>
      <c r="FZN4" s="59"/>
      <c r="FZO4" s="59"/>
      <c r="FZP4" s="59"/>
      <c r="FZQ4" s="59"/>
      <c r="FZR4" s="59"/>
      <c r="FZS4" s="59"/>
      <c r="FZT4" s="59"/>
      <c r="FZU4" s="59"/>
      <c r="FZV4" s="59"/>
      <c r="FZW4" s="59"/>
      <c r="FZX4" s="59"/>
      <c r="FZY4" s="59"/>
      <c r="FZZ4" s="59"/>
      <c r="GAA4" s="59"/>
      <c r="GAB4" s="59"/>
      <c r="GAC4" s="59"/>
      <c r="GAD4" s="59"/>
      <c r="GAE4" s="59"/>
      <c r="GAF4" s="59"/>
      <c r="GAG4" s="59"/>
      <c r="GAH4" s="59"/>
      <c r="GAI4" s="59"/>
      <c r="GAJ4" s="59"/>
      <c r="GAK4" s="59"/>
      <c r="GAL4" s="59"/>
      <c r="GAM4" s="59"/>
      <c r="GAN4" s="59"/>
      <c r="GAO4" s="59"/>
      <c r="GAP4" s="59"/>
      <c r="GAQ4" s="59"/>
      <c r="GAR4" s="59"/>
      <c r="GAS4" s="59"/>
      <c r="GAT4" s="59"/>
      <c r="GAU4" s="59"/>
      <c r="GAV4" s="59"/>
      <c r="GAW4" s="59"/>
      <c r="GAX4" s="59"/>
      <c r="GAY4" s="59"/>
      <c r="GAZ4" s="59"/>
      <c r="GBA4" s="59"/>
      <c r="GBB4" s="59"/>
      <c r="GBC4" s="59"/>
      <c r="GBD4" s="59"/>
      <c r="GBE4" s="59"/>
      <c r="GBF4" s="59"/>
      <c r="GBG4" s="59"/>
      <c r="GBH4" s="59"/>
      <c r="GBI4" s="59"/>
      <c r="GBJ4" s="59"/>
      <c r="GBK4" s="59"/>
      <c r="GBL4" s="59"/>
      <c r="GBM4" s="59"/>
      <c r="GBN4" s="59"/>
      <c r="GBO4" s="59"/>
      <c r="GBP4" s="59"/>
      <c r="GBQ4" s="59"/>
      <c r="GBR4" s="59"/>
      <c r="GBS4" s="59"/>
      <c r="GBT4" s="59"/>
      <c r="GBU4" s="59"/>
      <c r="GBV4" s="59"/>
      <c r="GBW4" s="59"/>
      <c r="GBX4" s="59"/>
      <c r="GBY4" s="59"/>
      <c r="GBZ4" s="59"/>
      <c r="GCA4" s="59"/>
      <c r="GCB4" s="59"/>
      <c r="GCC4" s="59"/>
      <c r="GCD4" s="59"/>
      <c r="GCE4" s="59"/>
      <c r="GCF4" s="59"/>
      <c r="GCG4" s="59"/>
      <c r="GCH4" s="59"/>
      <c r="GCI4" s="59"/>
      <c r="GCJ4" s="59"/>
      <c r="GCK4" s="59"/>
      <c r="GCL4" s="59"/>
      <c r="GCM4" s="59"/>
      <c r="GCN4" s="59"/>
      <c r="GCO4" s="59"/>
      <c r="GCP4" s="59"/>
      <c r="GCQ4" s="59"/>
      <c r="GCR4" s="59"/>
      <c r="GCS4" s="59"/>
      <c r="GCT4" s="59"/>
      <c r="GCU4" s="59"/>
      <c r="GCV4" s="59"/>
      <c r="GCW4" s="59"/>
      <c r="GCX4" s="59"/>
      <c r="GCY4" s="59"/>
      <c r="GCZ4" s="59"/>
      <c r="GDA4" s="59"/>
      <c r="GDB4" s="59"/>
      <c r="GDC4" s="59"/>
      <c r="GDD4" s="59"/>
      <c r="GDE4" s="59"/>
      <c r="GDF4" s="59"/>
      <c r="GDG4" s="59"/>
      <c r="GDH4" s="59"/>
      <c r="GDI4" s="59"/>
      <c r="GDJ4" s="59"/>
      <c r="GDK4" s="59"/>
      <c r="GDL4" s="59"/>
      <c r="GDM4" s="59"/>
      <c r="GDN4" s="59"/>
      <c r="GDO4" s="59"/>
      <c r="GDP4" s="59"/>
      <c r="GDQ4" s="59"/>
      <c r="GDR4" s="59"/>
      <c r="GDS4" s="59"/>
      <c r="GDT4" s="59"/>
      <c r="GDU4" s="59"/>
      <c r="GDV4" s="59"/>
      <c r="GDW4" s="59"/>
      <c r="GDX4" s="59"/>
      <c r="GDY4" s="59"/>
      <c r="GDZ4" s="59"/>
      <c r="GEA4" s="59"/>
      <c r="GEB4" s="59"/>
      <c r="GEC4" s="59"/>
      <c r="GED4" s="59"/>
      <c r="GEE4" s="59"/>
      <c r="GEF4" s="59"/>
      <c r="GEG4" s="59"/>
      <c r="GEH4" s="59"/>
      <c r="GEI4" s="59"/>
      <c r="GEJ4" s="59"/>
      <c r="GEK4" s="59"/>
      <c r="GEL4" s="59"/>
      <c r="GEM4" s="59"/>
      <c r="GEN4" s="59"/>
      <c r="GEO4" s="59"/>
      <c r="GEP4" s="59"/>
      <c r="GEQ4" s="59"/>
      <c r="GER4" s="59"/>
      <c r="GES4" s="59"/>
      <c r="GET4" s="59"/>
      <c r="GEU4" s="59"/>
      <c r="GEV4" s="59"/>
      <c r="GEW4" s="59"/>
      <c r="GEX4" s="59"/>
      <c r="GEY4" s="59"/>
      <c r="GEZ4" s="59"/>
      <c r="GFA4" s="59"/>
      <c r="GFB4" s="59"/>
      <c r="GFC4" s="59"/>
      <c r="GFD4" s="59"/>
      <c r="GFE4" s="59"/>
      <c r="GFF4" s="59"/>
      <c r="GFG4" s="59"/>
      <c r="GFH4" s="59"/>
      <c r="GFI4" s="59"/>
      <c r="GFJ4" s="59"/>
      <c r="GFK4" s="59"/>
      <c r="GFL4" s="59"/>
      <c r="GFM4" s="59"/>
      <c r="GFN4" s="59"/>
      <c r="GFO4" s="59"/>
      <c r="GFP4" s="59"/>
      <c r="GFQ4" s="59"/>
      <c r="GFR4" s="59"/>
      <c r="GFS4" s="59"/>
      <c r="GFT4" s="59"/>
      <c r="GFU4" s="59"/>
      <c r="GFV4" s="59"/>
      <c r="GFW4" s="59"/>
      <c r="GFX4" s="59"/>
      <c r="GFY4" s="59"/>
      <c r="GFZ4" s="59"/>
      <c r="GGA4" s="59"/>
      <c r="GGB4" s="59"/>
      <c r="GGC4" s="59"/>
      <c r="GGD4" s="59"/>
      <c r="GGE4" s="59"/>
      <c r="GGF4" s="59"/>
      <c r="GGG4" s="59"/>
      <c r="GGH4" s="59"/>
      <c r="GGI4" s="59"/>
      <c r="GGJ4" s="59"/>
      <c r="GGK4" s="59"/>
      <c r="GGL4" s="59"/>
      <c r="GGM4" s="59"/>
      <c r="GGN4" s="59"/>
      <c r="GGO4" s="59"/>
      <c r="GGP4" s="59"/>
      <c r="GGQ4" s="59"/>
      <c r="GGR4" s="59"/>
      <c r="GGS4" s="59"/>
      <c r="GGT4" s="59"/>
      <c r="GGU4" s="59"/>
      <c r="GGV4" s="59"/>
      <c r="GGW4" s="59"/>
      <c r="GGX4" s="59"/>
      <c r="GGY4" s="59"/>
      <c r="GGZ4" s="59"/>
      <c r="GHA4" s="59"/>
      <c r="GHB4" s="59"/>
      <c r="GHC4" s="59"/>
      <c r="GHD4" s="59"/>
      <c r="GHE4" s="59"/>
      <c r="GHF4" s="59"/>
      <c r="GHG4" s="59"/>
      <c r="GHH4" s="59"/>
      <c r="GHI4" s="59"/>
      <c r="GHJ4" s="59"/>
      <c r="GHK4" s="59"/>
      <c r="GHL4" s="59"/>
      <c r="GHM4" s="59"/>
      <c r="GHN4" s="59"/>
      <c r="GHO4" s="59"/>
      <c r="GHP4" s="59"/>
      <c r="GHQ4" s="59"/>
      <c r="GHR4" s="59"/>
      <c r="GHS4" s="59"/>
      <c r="GHT4" s="59"/>
      <c r="GHU4" s="59"/>
      <c r="GHV4" s="59"/>
      <c r="GHW4" s="59"/>
      <c r="GHX4" s="59"/>
      <c r="GHY4" s="59"/>
      <c r="GHZ4" s="59"/>
      <c r="GIA4" s="59"/>
      <c r="GIB4" s="59"/>
      <c r="GIC4" s="59"/>
      <c r="GID4" s="59"/>
      <c r="GIE4" s="59"/>
      <c r="GIF4" s="59"/>
      <c r="GIG4" s="59"/>
      <c r="GIH4" s="59"/>
      <c r="GII4" s="59"/>
      <c r="GIJ4" s="59"/>
      <c r="GIK4" s="59"/>
      <c r="GIL4" s="59"/>
      <c r="GIM4" s="59"/>
      <c r="GIN4" s="59"/>
      <c r="GIO4" s="59"/>
      <c r="GIP4" s="59"/>
      <c r="GIQ4" s="59"/>
      <c r="GIR4" s="59"/>
      <c r="GIS4" s="59"/>
      <c r="GIT4" s="59"/>
      <c r="GIU4" s="59"/>
      <c r="GIV4" s="59"/>
      <c r="GIW4" s="59"/>
      <c r="GIX4" s="59"/>
      <c r="GIY4" s="59"/>
      <c r="GIZ4" s="59"/>
      <c r="GJA4" s="59"/>
      <c r="GJB4" s="59"/>
      <c r="GJC4" s="59"/>
      <c r="GJD4" s="59"/>
      <c r="GJE4" s="59"/>
      <c r="GJF4" s="59"/>
      <c r="GJG4" s="59"/>
      <c r="GJH4" s="59"/>
      <c r="GJI4" s="59"/>
      <c r="GJJ4" s="59"/>
      <c r="GJK4" s="59"/>
      <c r="GJL4" s="59"/>
      <c r="GJM4" s="59"/>
      <c r="GJN4" s="59"/>
      <c r="GJO4" s="59"/>
      <c r="GJP4" s="59"/>
      <c r="GJQ4" s="59"/>
      <c r="GJR4" s="59"/>
      <c r="GJS4" s="59"/>
      <c r="GJT4" s="59"/>
      <c r="GJU4" s="59"/>
      <c r="GJV4" s="59"/>
      <c r="GJW4" s="59"/>
      <c r="GJX4" s="59"/>
      <c r="GJY4" s="59"/>
      <c r="GJZ4" s="59"/>
      <c r="GKA4" s="59"/>
      <c r="GKB4" s="59"/>
      <c r="GKC4" s="59"/>
      <c r="GKD4" s="59"/>
      <c r="GKE4" s="59"/>
      <c r="GKF4" s="59"/>
      <c r="GKG4" s="59"/>
      <c r="GKH4" s="59"/>
      <c r="GKI4" s="59"/>
      <c r="GKJ4" s="59"/>
      <c r="GKK4" s="59"/>
      <c r="GKL4" s="59"/>
      <c r="GKM4" s="59"/>
      <c r="GKN4" s="59"/>
      <c r="GKO4" s="59"/>
      <c r="GKP4" s="59"/>
      <c r="GKQ4" s="59"/>
      <c r="GKR4" s="59"/>
      <c r="GKS4" s="59"/>
      <c r="GKT4" s="59"/>
      <c r="GKU4" s="59"/>
      <c r="GKV4" s="59"/>
      <c r="GKW4" s="59"/>
      <c r="GKX4" s="59"/>
      <c r="GKY4" s="59"/>
      <c r="GKZ4" s="59"/>
      <c r="GLA4" s="59"/>
      <c r="GLB4" s="59"/>
      <c r="GLC4" s="59"/>
      <c r="GLD4" s="59"/>
      <c r="GLE4" s="59"/>
      <c r="GLF4" s="59"/>
      <c r="GLG4" s="59"/>
      <c r="GLH4" s="59"/>
      <c r="GLI4" s="59"/>
      <c r="GLJ4" s="59"/>
      <c r="GLK4" s="59"/>
      <c r="GLL4" s="59"/>
      <c r="GLM4" s="59"/>
      <c r="GLN4" s="59"/>
      <c r="GLO4" s="59"/>
      <c r="GLP4" s="59"/>
      <c r="GLQ4" s="59"/>
      <c r="GLR4" s="59"/>
      <c r="GLS4" s="59"/>
      <c r="GLT4" s="59"/>
      <c r="GLU4" s="59"/>
      <c r="GLV4" s="59"/>
      <c r="GLW4" s="59"/>
      <c r="GLX4" s="59"/>
      <c r="GLY4" s="59"/>
      <c r="GLZ4" s="59"/>
      <c r="GMA4" s="59"/>
      <c r="GMB4" s="59"/>
      <c r="GMC4" s="59"/>
      <c r="GMD4" s="59"/>
      <c r="GME4" s="59"/>
      <c r="GMF4" s="59"/>
      <c r="GMG4" s="59"/>
      <c r="GMH4" s="59"/>
      <c r="GMI4" s="59"/>
      <c r="GMJ4" s="59"/>
      <c r="GMK4" s="59"/>
      <c r="GML4" s="59"/>
      <c r="GMM4" s="59"/>
      <c r="GMN4" s="59"/>
      <c r="GMO4" s="59"/>
      <c r="GMP4" s="59"/>
      <c r="GMQ4" s="59"/>
      <c r="GMR4" s="59"/>
      <c r="GMS4" s="59"/>
      <c r="GMT4" s="59"/>
      <c r="GMU4" s="59"/>
      <c r="GMV4" s="59"/>
      <c r="GMW4" s="59"/>
      <c r="GMX4" s="59"/>
      <c r="GMY4" s="59"/>
      <c r="GMZ4" s="59"/>
      <c r="GNA4" s="59"/>
      <c r="GNB4" s="59"/>
      <c r="GNC4" s="59"/>
      <c r="GND4" s="59"/>
      <c r="GNE4" s="59"/>
      <c r="GNF4" s="59"/>
      <c r="GNG4" s="59"/>
      <c r="GNH4" s="59"/>
      <c r="GNI4" s="59"/>
      <c r="GNJ4" s="59"/>
      <c r="GNK4" s="59"/>
      <c r="GNL4" s="59"/>
      <c r="GNM4" s="59"/>
      <c r="GNN4" s="59"/>
      <c r="GNO4" s="59"/>
      <c r="GNP4" s="59"/>
      <c r="GNQ4" s="59"/>
      <c r="GNR4" s="59"/>
      <c r="GNS4" s="59"/>
      <c r="GNT4" s="59"/>
      <c r="GNU4" s="59"/>
      <c r="GNV4" s="59"/>
      <c r="GNW4" s="59"/>
      <c r="GNX4" s="59"/>
      <c r="GNY4" s="59"/>
      <c r="GNZ4" s="59"/>
      <c r="GOA4" s="59"/>
      <c r="GOB4" s="59"/>
      <c r="GOC4" s="59"/>
      <c r="GOD4" s="59"/>
      <c r="GOE4" s="59"/>
      <c r="GOF4" s="59"/>
      <c r="GOG4" s="59"/>
      <c r="GOH4" s="59"/>
      <c r="GOI4" s="59"/>
      <c r="GOJ4" s="59"/>
      <c r="GOK4" s="59"/>
      <c r="GOL4" s="59"/>
      <c r="GOM4" s="59"/>
      <c r="GON4" s="59"/>
      <c r="GOO4" s="59"/>
      <c r="GOP4" s="59"/>
      <c r="GOQ4" s="59"/>
      <c r="GOR4" s="59"/>
      <c r="GOS4" s="59"/>
      <c r="GOT4" s="59"/>
      <c r="GOU4" s="59"/>
      <c r="GOV4" s="59"/>
      <c r="GOW4" s="59"/>
      <c r="GOX4" s="59"/>
      <c r="GOY4" s="59"/>
      <c r="GOZ4" s="59"/>
      <c r="GPA4" s="59"/>
      <c r="GPB4" s="59"/>
      <c r="GPC4" s="59"/>
      <c r="GPD4" s="59"/>
      <c r="GPE4" s="59"/>
      <c r="GPF4" s="59"/>
      <c r="GPG4" s="59"/>
      <c r="GPH4" s="59"/>
      <c r="GPI4" s="59"/>
      <c r="GPJ4" s="59"/>
      <c r="GPK4" s="59"/>
      <c r="GPL4" s="59"/>
      <c r="GPM4" s="59"/>
      <c r="GPN4" s="59"/>
      <c r="GPO4" s="59"/>
      <c r="GPP4" s="59"/>
      <c r="GPQ4" s="59"/>
      <c r="GPR4" s="59"/>
      <c r="GPS4" s="59"/>
      <c r="GPT4" s="59"/>
      <c r="GPU4" s="59"/>
      <c r="GPV4" s="59"/>
      <c r="GPW4" s="59"/>
      <c r="GPX4" s="59"/>
      <c r="GPY4" s="59"/>
      <c r="GPZ4" s="59"/>
      <c r="GQA4" s="59"/>
      <c r="GQB4" s="59"/>
      <c r="GQC4" s="59"/>
      <c r="GQD4" s="59"/>
      <c r="GQE4" s="59"/>
      <c r="GQF4" s="59"/>
      <c r="GQG4" s="59"/>
      <c r="GQH4" s="59"/>
      <c r="GQI4" s="59"/>
      <c r="GQJ4" s="59"/>
      <c r="GQK4" s="59"/>
      <c r="GQL4" s="59"/>
      <c r="GQM4" s="59"/>
      <c r="GQN4" s="59"/>
      <c r="GQO4" s="59"/>
      <c r="GQP4" s="59"/>
      <c r="GQQ4" s="59"/>
      <c r="GQR4" s="59"/>
      <c r="GQS4" s="59"/>
      <c r="GQT4" s="59"/>
      <c r="GQU4" s="59"/>
      <c r="GQV4" s="59"/>
      <c r="GQW4" s="59"/>
      <c r="GQX4" s="59"/>
      <c r="GQY4" s="59"/>
      <c r="GQZ4" s="59"/>
      <c r="GRA4" s="59"/>
      <c r="GRB4" s="59"/>
      <c r="GRC4" s="59"/>
      <c r="GRD4" s="59"/>
      <c r="GRE4" s="59"/>
      <c r="GRF4" s="59"/>
      <c r="GRG4" s="59"/>
      <c r="GRH4" s="59"/>
      <c r="GRI4" s="59"/>
      <c r="GRJ4" s="59"/>
      <c r="GRK4" s="59"/>
      <c r="GRL4" s="59"/>
      <c r="GRM4" s="59"/>
      <c r="GRN4" s="59"/>
      <c r="GRO4" s="59"/>
      <c r="GRP4" s="59"/>
      <c r="GRQ4" s="59"/>
      <c r="GRR4" s="59"/>
      <c r="GRS4" s="59"/>
      <c r="GRT4" s="59"/>
      <c r="GRU4" s="59"/>
      <c r="GRV4" s="59"/>
      <c r="GRW4" s="59"/>
      <c r="GRX4" s="59"/>
      <c r="GRY4" s="59"/>
      <c r="GRZ4" s="59"/>
      <c r="GSA4" s="59"/>
      <c r="GSB4" s="59"/>
      <c r="GSC4" s="59"/>
      <c r="GSD4" s="59"/>
      <c r="GSE4" s="59"/>
      <c r="GSF4" s="59"/>
      <c r="GSG4" s="59"/>
      <c r="GSH4" s="59"/>
      <c r="GSI4" s="59"/>
      <c r="GSJ4" s="59"/>
      <c r="GSK4" s="59"/>
      <c r="GSL4" s="59"/>
      <c r="GSM4" s="59"/>
      <c r="GSN4" s="59"/>
      <c r="GSO4" s="59"/>
      <c r="GSP4" s="59"/>
      <c r="GSQ4" s="59"/>
      <c r="GSR4" s="59"/>
      <c r="GSS4" s="59"/>
      <c r="GST4" s="59"/>
      <c r="GSU4" s="59"/>
      <c r="GSV4" s="59"/>
      <c r="GSW4" s="59"/>
      <c r="GSX4" s="59"/>
      <c r="GSY4" s="59"/>
      <c r="GSZ4" s="59"/>
      <c r="GTA4" s="59"/>
      <c r="GTB4" s="59"/>
      <c r="GTC4" s="59"/>
      <c r="GTD4" s="59"/>
      <c r="GTE4" s="59"/>
      <c r="GTF4" s="59"/>
      <c r="GTG4" s="59"/>
      <c r="GTH4" s="59"/>
      <c r="GTI4" s="59"/>
      <c r="GTJ4" s="59"/>
      <c r="GTK4" s="59"/>
      <c r="GTL4" s="59"/>
      <c r="GTM4" s="59"/>
      <c r="GTN4" s="59"/>
      <c r="GTO4" s="59"/>
      <c r="GTP4" s="59"/>
      <c r="GTQ4" s="59"/>
      <c r="GTR4" s="59"/>
      <c r="GTS4" s="59"/>
      <c r="GTT4" s="59"/>
      <c r="GTU4" s="59"/>
      <c r="GTV4" s="59"/>
      <c r="GTW4" s="59"/>
      <c r="GTX4" s="59"/>
      <c r="GTY4" s="59"/>
      <c r="GTZ4" s="59"/>
      <c r="GUA4" s="59"/>
      <c r="GUB4" s="59"/>
      <c r="GUC4" s="59"/>
      <c r="GUD4" s="59"/>
      <c r="GUE4" s="59"/>
      <c r="GUF4" s="59"/>
      <c r="GUG4" s="59"/>
      <c r="GUH4" s="59"/>
      <c r="GUI4" s="59"/>
      <c r="GUJ4" s="59"/>
      <c r="GUK4" s="59"/>
      <c r="GUL4" s="59"/>
      <c r="GUM4" s="59"/>
      <c r="GUN4" s="59"/>
      <c r="GUO4" s="59"/>
      <c r="GUP4" s="59"/>
      <c r="GUQ4" s="59"/>
      <c r="GUR4" s="59"/>
      <c r="GUS4" s="59"/>
      <c r="GUT4" s="59"/>
      <c r="GUU4" s="59"/>
      <c r="GUV4" s="59"/>
      <c r="GUW4" s="59"/>
      <c r="GUX4" s="59"/>
      <c r="GUY4" s="59"/>
      <c r="GUZ4" s="59"/>
      <c r="GVA4" s="59"/>
      <c r="GVB4" s="59"/>
      <c r="GVC4" s="59"/>
      <c r="GVD4" s="59"/>
      <c r="GVE4" s="59"/>
      <c r="GVF4" s="59"/>
      <c r="GVG4" s="59"/>
      <c r="GVH4" s="59"/>
      <c r="GVI4" s="59"/>
      <c r="GVJ4" s="59"/>
      <c r="GVK4" s="59"/>
      <c r="GVL4" s="59"/>
      <c r="GVM4" s="59"/>
      <c r="GVN4" s="59"/>
      <c r="GVO4" s="59"/>
      <c r="GVP4" s="59"/>
      <c r="GVQ4" s="59"/>
      <c r="GVR4" s="59"/>
      <c r="GVS4" s="59"/>
      <c r="GVT4" s="59"/>
      <c r="GVU4" s="59"/>
      <c r="GVV4" s="59"/>
      <c r="GVW4" s="59"/>
      <c r="GVX4" s="59"/>
      <c r="GVY4" s="59"/>
      <c r="GVZ4" s="59"/>
      <c r="GWA4" s="59"/>
      <c r="GWB4" s="59"/>
      <c r="GWC4" s="59"/>
      <c r="GWD4" s="59"/>
      <c r="GWE4" s="59"/>
      <c r="GWF4" s="59"/>
      <c r="GWG4" s="59"/>
      <c r="GWH4" s="59"/>
      <c r="GWI4" s="59"/>
      <c r="GWJ4" s="59"/>
      <c r="GWK4" s="59"/>
      <c r="GWL4" s="59"/>
      <c r="GWM4" s="59"/>
      <c r="GWN4" s="59"/>
      <c r="GWO4" s="59"/>
      <c r="GWP4" s="59"/>
      <c r="GWQ4" s="59"/>
      <c r="GWR4" s="59"/>
      <c r="GWS4" s="59"/>
      <c r="GWT4" s="59"/>
      <c r="GWU4" s="59"/>
      <c r="GWV4" s="59"/>
      <c r="GWW4" s="59"/>
      <c r="GWX4" s="59"/>
      <c r="GWY4" s="59"/>
      <c r="GWZ4" s="59"/>
      <c r="GXA4" s="59"/>
      <c r="GXB4" s="59"/>
      <c r="GXC4" s="59"/>
      <c r="GXD4" s="59"/>
      <c r="GXE4" s="59"/>
      <c r="GXF4" s="59"/>
      <c r="GXG4" s="59"/>
      <c r="GXH4" s="59"/>
      <c r="GXI4" s="59"/>
      <c r="GXJ4" s="59"/>
      <c r="GXK4" s="59"/>
      <c r="GXL4" s="59"/>
      <c r="GXM4" s="59"/>
      <c r="GXN4" s="59"/>
      <c r="GXO4" s="59"/>
      <c r="GXP4" s="59"/>
      <c r="GXQ4" s="59"/>
      <c r="GXR4" s="59"/>
      <c r="GXS4" s="59"/>
      <c r="GXT4" s="59"/>
      <c r="GXU4" s="59"/>
      <c r="GXV4" s="59"/>
      <c r="GXW4" s="59"/>
      <c r="GXX4" s="59"/>
      <c r="GXY4" s="59"/>
      <c r="GXZ4" s="59"/>
      <c r="GYA4" s="59"/>
      <c r="GYB4" s="59"/>
      <c r="GYC4" s="59"/>
      <c r="GYD4" s="59"/>
      <c r="GYE4" s="59"/>
      <c r="GYF4" s="59"/>
      <c r="GYG4" s="59"/>
      <c r="GYH4" s="59"/>
      <c r="GYI4" s="59"/>
      <c r="GYJ4" s="59"/>
      <c r="GYK4" s="59"/>
      <c r="GYL4" s="59"/>
      <c r="GYM4" s="59"/>
      <c r="GYN4" s="59"/>
      <c r="GYO4" s="59"/>
      <c r="GYP4" s="59"/>
      <c r="GYQ4" s="59"/>
      <c r="GYR4" s="59"/>
      <c r="GYS4" s="59"/>
      <c r="GYT4" s="59"/>
      <c r="GYU4" s="59"/>
      <c r="GYV4" s="59"/>
      <c r="GYW4" s="59"/>
      <c r="GYX4" s="59"/>
      <c r="GYY4" s="59"/>
      <c r="GYZ4" s="59"/>
      <c r="GZA4" s="59"/>
      <c r="GZB4" s="59"/>
      <c r="GZC4" s="59"/>
      <c r="GZD4" s="59"/>
      <c r="GZE4" s="59"/>
      <c r="GZF4" s="59"/>
      <c r="GZG4" s="59"/>
      <c r="GZH4" s="59"/>
      <c r="GZI4" s="59"/>
      <c r="GZJ4" s="59"/>
      <c r="GZK4" s="59"/>
      <c r="GZL4" s="59"/>
      <c r="GZM4" s="59"/>
      <c r="GZN4" s="59"/>
      <c r="GZO4" s="59"/>
      <c r="GZP4" s="59"/>
      <c r="GZQ4" s="59"/>
      <c r="GZR4" s="59"/>
      <c r="GZS4" s="59"/>
      <c r="GZT4" s="59"/>
      <c r="GZU4" s="59"/>
      <c r="GZV4" s="59"/>
      <c r="GZW4" s="59"/>
      <c r="GZX4" s="59"/>
      <c r="GZY4" s="59"/>
      <c r="GZZ4" s="59"/>
      <c r="HAA4" s="59"/>
      <c r="HAB4" s="59"/>
      <c r="HAC4" s="59"/>
      <c r="HAD4" s="59"/>
      <c r="HAE4" s="59"/>
      <c r="HAF4" s="59"/>
      <c r="HAG4" s="59"/>
      <c r="HAH4" s="59"/>
      <c r="HAI4" s="59"/>
      <c r="HAJ4" s="59"/>
      <c r="HAK4" s="59"/>
      <c r="HAL4" s="59"/>
      <c r="HAM4" s="59"/>
      <c r="HAN4" s="59"/>
      <c r="HAO4" s="59"/>
      <c r="HAP4" s="59"/>
      <c r="HAQ4" s="59"/>
      <c r="HAR4" s="59"/>
      <c r="HAS4" s="59"/>
      <c r="HAT4" s="59"/>
      <c r="HAU4" s="59"/>
      <c r="HAV4" s="59"/>
      <c r="HAW4" s="59"/>
      <c r="HAX4" s="59"/>
      <c r="HAY4" s="59"/>
      <c r="HAZ4" s="59"/>
      <c r="HBA4" s="59"/>
      <c r="HBB4" s="59"/>
      <c r="HBC4" s="59"/>
      <c r="HBD4" s="59"/>
      <c r="HBE4" s="59"/>
      <c r="HBF4" s="59"/>
      <c r="HBG4" s="59"/>
      <c r="HBH4" s="59"/>
      <c r="HBI4" s="59"/>
      <c r="HBJ4" s="59"/>
      <c r="HBK4" s="59"/>
      <c r="HBL4" s="59"/>
      <c r="HBM4" s="59"/>
      <c r="HBN4" s="59"/>
      <c r="HBO4" s="59"/>
      <c r="HBP4" s="59"/>
      <c r="HBQ4" s="59"/>
      <c r="HBR4" s="59"/>
      <c r="HBS4" s="59"/>
      <c r="HBT4" s="59"/>
      <c r="HBU4" s="59"/>
      <c r="HBV4" s="59"/>
      <c r="HBW4" s="59"/>
      <c r="HBX4" s="59"/>
      <c r="HBY4" s="59"/>
      <c r="HBZ4" s="59"/>
      <c r="HCA4" s="59"/>
      <c r="HCB4" s="59"/>
      <c r="HCC4" s="59"/>
      <c r="HCD4" s="59"/>
      <c r="HCE4" s="59"/>
      <c r="HCF4" s="59"/>
      <c r="HCG4" s="59"/>
      <c r="HCH4" s="59"/>
      <c r="HCI4" s="59"/>
      <c r="HCJ4" s="59"/>
      <c r="HCK4" s="59"/>
      <c r="HCL4" s="59"/>
      <c r="HCM4" s="59"/>
      <c r="HCN4" s="59"/>
      <c r="HCO4" s="59"/>
      <c r="HCP4" s="59"/>
      <c r="HCQ4" s="59"/>
      <c r="HCR4" s="59"/>
      <c r="HCS4" s="59"/>
      <c r="HCT4" s="59"/>
      <c r="HCU4" s="59"/>
      <c r="HCV4" s="59"/>
      <c r="HCW4" s="59"/>
      <c r="HCX4" s="59"/>
      <c r="HCY4" s="59"/>
      <c r="HCZ4" s="59"/>
      <c r="HDA4" s="59"/>
      <c r="HDB4" s="59"/>
      <c r="HDC4" s="59"/>
      <c r="HDD4" s="59"/>
      <c r="HDE4" s="59"/>
      <c r="HDF4" s="59"/>
      <c r="HDG4" s="59"/>
      <c r="HDH4" s="59"/>
      <c r="HDI4" s="59"/>
      <c r="HDJ4" s="59"/>
      <c r="HDK4" s="59"/>
      <c r="HDL4" s="59"/>
      <c r="HDM4" s="59"/>
      <c r="HDN4" s="59"/>
      <c r="HDO4" s="59"/>
      <c r="HDP4" s="59"/>
      <c r="HDQ4" s="59"/>
      <c r="HDR4" s="59"/>
      <c r="HDS4" s="59"/>
      <c r="HDT4" s="59"/>
      <c r="HDU4" s="59"/>
      <c r="HDV4" s="59"/>
      <c r="HDW4" s="59"/>
      <c r="HDX4" s="59"/>
      <c r="HDY4" s="59"/>
      <c r="HDZ4" s="59"/>
      <c r="HEA4" s="59"/>
      <c r="HEB4" s="59"/>
      <c r="HEC4" s="59"/>
      <c r="HED4" s="59"/>
      <c r="HEE4" s="59"/>
      <c r="HEF4" s="59"/>
      <c r="HEG4" s="59"/>
      <c r="HEH4" s="59"/>
      <c r="HEI4" s="59"/>
      <c r="HEJ4" s="59"/>
      <c r="HEK4" s="59"/>
      <c r="HEL4" s="59"/>
      <c r="HEM4" s="59"/>
      <c r="HEN4" s="59"/>
      <c r="HEO4" s="59"/>
      <c r="HEP4" s="59"/>
      <c r="HEQ4" s="59"/>
      <c r="HER4" s="59"/>
      <c r="HES4" s="59"/>
      <c r="HET4" s="59"/>
      <c r="HEU4" s="59"/>
      <c r="HEV4" s="59"/>
      <c r="HEW4" s="59"/>
      <c r="HEX4" s="59"/>
      <c r="HEY4" s="59"/>
      <c r="HEZ4" s="59"/>
      <c r="HFA4" s="59"/>
      <c r="HFB4" s="59"/>
      <c r="HFC4" s="59"/>
      <c r="HFD4" s="59"/>
      <c r="HFE4" s="59"/>
      <c r="HFF4" s="59"/>
      <c r="HFG4" s="59"/>
      <c r="HFH4" s="59"/>
      <c r="HFI4" s="59"/>
      <c r="HFJ4" s="59"/>
      <c r="HFK4" s="59"/>
      <c r="HFL4" s="59"/>
      <c r="HFM4" s="59"/>
      <c r="HFN4" s="59"/>
      <c r="HFO4" s="59"/>
      <c r="HFP4" s="59"/>
      <c r="HFQ4" s="59"/>
      <c r="HFR4" s="59"/>
      <c r="HFS4" s="59"/>
      <c r="HFT4" s="59"/>
      <c r="HFU4" s="59"/>
      <c r="HFV4" s="59"/>
      <c r="HFW4" s="59"/>
      <c r="HFX4" s="59"/>
      <c r="HFY4" s="59"/>
      <c r="HFZ4" s="59"/>
      <c r="HGA4" s="59"/>
      <c r="HGB4" s="59"/>
      <c r="HGC4" s="59"/>
      <c r="HGD4" s="59"/>
      <c r="HGE4" s="59"/>
      <c r="HGF4" s="59"/>
      <c r="HGG4" s="59"/>
      <c r="HGH4" s="59"/>
      <c r="HGI4" s="59"/>
      <c r="HGJ4" s="59"/>
      <c r="HGK4" s="59"/>
      <c r="HGL4" s="59"/>
      <c r="HGM4" s="59"/>
      <c r="HGN4" s="59"/>
      <c r="HGO4" s="59"/>
      <c r="HGP4" s="59"/>
      <c r="HGQ4" s="59"/>
      <c r="HGR4" s="59"/>
      <c r="HGS4" s="59"/>
      <c r="HGT4" s="59"/>
      <c r="HGU4" s="59"/>
      <c r="HGV4" s="59"/>
      <c r="HGW4" s="59"/>
      <c r="HGX4" s="59"/>
      <c r="HGY4" s="59"/>
      <c r="HGZ4" s="59"/>
      <c r="HHA4" s="59"/>
      <c r="HHB4" s="59"/>
      <c r="HHC4" s="59"/>
      <c r="HHD4" s="59"/>
      <c r="HHE4" s="59"/>
      <c r="HHF4" s="59"/>
      <c r="HHG4" s="59"/>
      <c r="HHH4" s="59"/>
      <c r="HHI4" s="59"/>
      <c r="HHJ4" s="59"/>
      <c r="HHK4" s="59"/>
      <c r="HHL4" s="59"/>
      <c r="HHM4" s="59"/>
      <c r="HHN4" s="59"/>
      <c r="HHO4" s="59"/>
      <c r="HHP4" s="59"/>
      <c r="HHQ4" s="59"/>
      <c r="HHR4" s="59"/>
      <c r="HHS4" s="59"/>
      <c r="HHT4" s="59"/>
      <c r="HHU4" s="59"/>
      <c r="HHV4" s="59"/>
      <c r="HHW4" s="59"/>
      <c r="HHX4" s="59"/>
      <c r="HHY4" s="59"/>
      <c r="HHZ4" s="59"/>
      <c r="HIA4" s="59"/>
      <c r="HIB4" s="59"/>
      <c r="HIC4" s="59"/>
      <c r="HID4" s="59"/>
      <c r="HIE4" s="59"/>
      <c r="HIF4" s="59"/>
      <c r="HIG4" s="59"/>
      <c r="HIH4" s="59"/>
      <c r="HII4" s="59"/>
      <c r="HIJ4" s="59"/>
      <c r="HIK4" s="59"/>
      <c r="HIL4" s="59"/>
      <c r="HIM4" s="59"/>
      <c r="HIN4" s="59"/>
      <c r="HIO4" s="59"/>
      <c r="HIP4" s="59"/>
      <c r="HIQ4" s="59"/>
      <c r="HIR4" s="59"/>
      <c r="HIS4" s="59"/>
      <c r="HIT4" s="59"/>
      <c r="HIU4" s="59"/>
      <c r="HIV4" s="59"/>
      <c r="HIW4" s="59"/>
      <c r="HIX4" s="59"/>
      <c r="HIY4" s="59"/>
      <c r="HIZ4" s="59"/>
      <c r="HJA4" s="59"/>
      <c r="HJB4" s="59"/>
      <c r="HJC4" s="59"/>
      <c r="HJD4" s="59"/>
      <c r="HJE4" s="59"/>
      <c r="HJF4" s="59"/>
      <c r="HJG4" s="59"/>
      <c r="HJH4" s="59"/>
      <c r="HJI4" s="59"/>
      <c r="HJJ4" s="59"/>
      <c r="HJK4" s="59"/>
      <c r="HJL4" s="59"/>
      <c r="HJM4" s="59"/>
      <c r="HJN4" s="59"/>
      <c r="HJO4" s="59"/>
      <c r="HJP4" s="59"/>
      <c r="HJQ4" s="59"/>
      <c r="HJR4" s="59"/>
      <c r="HJS4" s="59"/>
      <c r="HJT4" s="59"/>
      <c r="HJU4" s="59"/>
      <c r="HJV4" s="59"/>
      <c r="HJW4" s="59"/>
      <c r="HJX4" s="59"/>
      <c r="HJY4" s="59"/>
      <c r="HJZ4" s="59"/>
      <c r="HKA4" s="59"/>
      <c r="HKB4" s="59"/>
      <c r="HKC4" s="59"/>
      <c r="HKD4" s="59"/>
      <c r="HKE4" s="59"/>
      <c r="HKF4" s="59"/>
      <c r="HKG4" s="59"/>
      <c r="HKH4" s="59"/>
      <c r="HKI4" s="59"/>
      <c r="HKJ4" s="59"/>
      <c r="HKK4" s="59"/>
      <c r="HKL4" s="59"/>
      <c r="HKM4" s="59"/>
      <c r="HKN4" s="59"/>
      <c r="HKO4" s="59"/>
      <c r="HKP4" s="59"/>
      <c r="HKQ4" s="59"/>
      <c r="HKR4" s="59"/>
      <c r="HKS4" s="59"/>
      <c r="HKT4" s="59"/>
      <c r="HKU4" s="59"/>
      <c r="HKV4" s="59"/>
      <c r="HKW4" s="59"/>
      <c r="HKX4" s="59"/>
      <c r="HKY4" s="59"/>
      <c r="HKZ4" s="59"/>
      <c r="HLA4" s="59"/>
      <c r="HLB4" s="59"/>
      <c r="HLC4" s="59"/>
      <c r="HLD4" s="59"/>
      <c r="HLE4" s="59"/>
      <c r="HLF4" s="59"/>
      <c r="HLG4" s="59"/>
      <c r="HLH4" s="59"/>
      <c r="HLI4" s="59"/>
      <c r="HLJ4" s="59"/>
      <c r="HLK4" s="59"/>
      <c r="HLL4" s="59"/>
      <c r="HLM4" s="59"/>
      <c r="HLN4" s="59"/>
      <c r="HLO4" s="59"/>
      <c r="HLP4" s="59"/>
      <c r="HLQ4" s="59"/>
      <c r="HLR4" s="59"/>
      <c r="HLS4" s="59"/>
      <c r="HLT4" s="59"/>
      <c r="HLU4" s="59"/>
      <c r="HLV4" s="59"/>
      <c r="HLW4" s="59"/>
      <c r="HLX4" s="59"/>
      <c r="HLY4" s="59"/>
      <c r="HLZ4" s="59"/>
      <c r="HMA4" s="59"/>
      <c r="HMB4" s="59"/>
      <c r="HMC4" s="59"/>
      <c r="HMD4" s="59"/>
      <c r="HME4" s="59"/>
      <c r="HMF4" s="59"/>
      <c r="HMG4" s="59"/>
      <c r="HMH4" s="59"/>
      <c r="HMI4" s="59"/>
      <c r="HMJ4" s="59"/>
      <c r="HMK4" s="59"/>
      <c r="HML4" s="59"/>
      <c r="HMM4" s="59"/>
      <c r="HMN4" s="59"/>
      <c r="HMO4" s="59"/>
      <c r="HMP4" s="59"/>
      <c r="HMQ4" s="59"/>
      <c r="HMR4" s="59"/>
      <c r="HMS4" s="59"/>
      <c r="HMT4" s="59"/>
      <c r="HMU4" s="59"/>
      <c r="HMV4" s="59"/>
      <c r="HMW4" s="59"/>
      <c r="HMX4" s="59"/>
      <c r="HMY4" s="59"/>
      <c r="HMZ4" s="59"/>
      <c r="HNA4" s="59"/>
      <c r="HNB4" s="59"/>
      <c r="HNC4" s="59"/>
      <c r="HND4" s="59"/>
      <c r="HNE4" s="59"/>
      <c r="HNF4" s="59"/>
      <c r="HNG4" s="59"/>
      <c r="HNH4" s="59"/>
      <c r="HNI4" s="59"/>
      <c r="HNJ4" s="59"/>
      <c r="HNK4" s="59"/>
      <c r="HNL4" s="59"/>
      <c r="HNM4" s="59"/>
      <c r="HNN4" s="59"/>
      <c r="HNO4" s="59"/>
      <c r="HNP4" s="59"/>
      <c r="HNQ4" s="59"/>
      <c r="HNR4" s="59"/>
      <c r="HNS4" s="59"/>
      <c r="HNT4" s="59"/>
      <c r="HNU4" s="59"/>
      <c r="HNV4" s="59"/>
      <c r="HNW4" s="59"/>
      <c r="HNX4" s="59"/>
      <c r="HNY4" s="59"/>
      <c r="HNZ4" s="59"/>
      <c r="HOA4" s="59"/>
      <c r="HOB4" s="59"/>
      <c r="HOC4" s="59"/>
      <c r="HOD4" s="59"/>
      <c r="HOE4" s="59"/>
      <c r="HOF4" s="59"/>
      <c r="HOG4" s="59"/>
      <c r="HOH4" s="59"/>
      <c r="HOI4" s="59"/>
      <c r="HOJ4" s="59"/>
      <c r="HOK4" s="59"/>
      <c r="HOL4" s="59"/>
      <c r="HOM4" s="59"/>
      <c r="HON4" s="59"/>
      <c r="HOO4" s="59"/>
      <c r="HOP4" s="59"/>
      <c r="HOQ4" s="59"/>
      <c r="HOR4" s="59"/>
      <c r="HOS4" s="59"/>
      <c r="HOT4" s="59"/>
      <c r="HOU4" s="59"/>
      <c r="HOV4" s="59"/>
      <c r="HOW4" s="59"/>
      <c r="HOX4" s="59"/>
      <c r="HOY4" s="59"/>
      <c r="HOZ4" s="59"/>
      <c r="HPA4" s="59"/>
      <c r="HPB4" s="59"/>
      <c r="HPC4" s="59"/>
      <c r="HPD4" s="59"/>
      <c r="HPE4" s="59"/>
      <c r="HPF4" s="59"/>
      <c r="HPG4" s="59"/>
      <c r="HPH4" s="59"/>
      <c r="HPI4" s="59"/>
      <c r="HPJ4" s="59"/>
      <c r="HPK4" s="59"/>
      <c r="HPL4" s="59"/>
      <c r="HPM4" s="59"/>
      <c r="HPN4" s="59"/>
      <c r="HPO4" s="59"/>
      <c r="HPP4" s="59"/>
      <c r="HPQ4" s="59"/>
      <c r="HPR4" s="59"/>
      <c r="HPS4" s="59"/>
      <c r="HPT4" s="59"/>
      <c r="HPU4" s="59"/>
      <c r="HPV4" s="59"/>
      <c r="HPW4" s="59"/>
      <c r="HPX4" s="59"/>
      <c r="HPY4" s="59"/>
      <c r="HPZ4" s="59"/>
      <c r="HQA4" s="59"/>
      <c r="HQB4" s="59"/>
      <c r="HQC4" s="59"/>
      <c r="HQD4" s="59"/>
      <c r="HQE4" s="59"/>
      <c r="HQF4" s="59"/>
      <c r="HQG4" s="59"/>
      <c r="HQH4" s="59"/>
      <c r="HQI4" s="59"/>
      <c r="HQJ4" s="59"/>
      <c r="HQK4" s="59"/>
      <c r="HQL4" s="59"/>
      <c r="HQM4" s="59"/>
      <c r="HQN4" s="59"/>
      <c r="HQO4" s="59"/>
      <c r="HQP4" s="59"/>
      <c r="HQQ4" s="59"/>
      <c r="HQR4" s="59"/>
      <c r="HQS4" s="59"/>
      <c r="HQT4" s="59"/>
      <c r="HQU4" s="59"/>
      <c r="HQV4" s="59"/>
      <c r="HQW4" s="59"/>
      <c r="HQX4" s="59"/>
      <c r="HQY4" s="59"/>
      <c r="HQZ4" s="59"/>
      <c r="HRA4" s="59"/>
      <c r="HRB4" s="59"/>
      <c r="HRC4" s="59"/>
      <c r="HRD4" s="59"/>
      <c r="HRE4" s="59"/>
      <c r="HRF4" s="59"/>
      <c r="HRG4" s="59"/>
      <c r="HRH4" s="59"/>
      <c r="HRI4" s="59"/>
      <c r="HRJ4" s="59"/>
      <c r="HRK4" s="59"/>
      <c r="HRL4" s="59"/>
      <c r="HRM4" s="59"/>
      <c r="HRN4" s="59"/>
      <c r="HRO4" s="59"/>
      <c r="HRP4" s="59"/>
      <c r="HRQ4" s="59"/>
      <c r="HRR4" s="59"/>
      <c r="HRS4" s="59"/>
      <c r="HRT4" s="59"/>
      <c r="HRU4" s="59"/>
      <c r="HRV4" s="59"/>
      <c r="HRW4" s="59"/>
      <c r="HRX4" s="59"/>
      <c r="HRY4" s="59"/>
      <c r="HRZ4" s="59"/>
      <c r="HSA4" s="59"/>
      <c r="HSB4" s="59"/>
      <c r="HSC4" s="59"/>
      <c r="HSD4" s="59"/>
      <c r="HSE4" s="59"/>
      <c r="HSF4" s="59"/>
      <c r="HSG4" s="59"/>
      <c r="HSH4" s="59"/>
      <c r="HSI4" s="59"/>
      <c r="HSJ4" s="59"/>
      <c r="HSK4" s="59"/>
      <c r="HSL4" s="59"/>
      <c r="HSM4" s="59"/>
      <c r="HSN4" s="59"/>
      <c r="HSO4" s="59"/>
      <c r="HSP4" s="59"/>
      <c r="HSQ4" s="59"/>
      <c r="HSR4" s="59"/>
      <c r="HSS4" s="59"/>
      <c r="HST4" s="59"/>
      <c r="HSU4" s="59"/>
      <c r="HSV4" s="59"/>
      <c r="HSW4" s="59"/>
      <c r="HSX4" s="59"/>
      <c r="HSY4" s="59"/>
      <c r="HSZ4" s="59"/>
      <c r="HTA4" s="59"/>
      <c r="HTB4" s="59"/>
      <c r="HTC4" s="59"/>
      <c r="HTD4" s="59"/>
      <c r="HTE4" s="59"/>
      <c r="HTF4" s="59"/>
      <c r="HTG4" s="59"/>
      <c r="HTH4" s="59"/>
      <c r="HTI4" s="59"/>
      <c r="HTJ4" s="59"/>
      <c r="HTK4" s="59"/>
      <c r="HTL4" s="59"/>
      <c r="HTM4" s="59"/>
      <c r="HTN4" s="59"/>
      <c r="HTO4" s="59"/>
      <c r="HTP4" s="59"/>
      <c r="HTQ4" s="59"/>
      <c r="HTR4" s="59"/>
      <c r="HTS4" s="59"/>
      <c r="HTT4" s="59"/>
      <c r="HTU4" s="59"/>
      <c r="HTV4" s="59"/>
      <c r="HTW4" s="59"/>
      <c r="HTX4" s="59"/>
      <c r="HTY4" s="59"/>
      <c r="HTZ4" s="59"/>
      <c r="HUA4" s="59"/>
      <c r="HUB4" s="59"/>
      <c r="HUC4" s="59"/>
      <c r="HUD4" s="59"/>
      <c r="HUE4" s="59"/>
      <c r="HUF4" s="59"/>
      <c r="HUG4" s="59"/>
      <c r="HUH4" s="59"/>
      <c r="HUI4" s="59"/>
      <c r="HUJ4" s="59"/>
      <c r="HUK4" s="59"/>
      <c r="HUL4" s="59"/>
      <c r="HUM4" s="59"/>
      <c r="HUN4" s="59"/>
      <c r="HUO4" s="59"/>
      <c r="HUP4" s="59"/>
      <c r="HUQ4" s="59"/>
      <c r="HUR4" s="59"/>
      <c r="HUS4" s="59"/>
      <c r="HUT4" s="59"/>
      <c r="HUU4" s="59"/>
      <c r="HUV4" s="59"/>
      <c r="HUW4" s="59"/>
      <c r="HUX4" s="59"/>
      <c r="HUY4" s="59"/>
      <c r="HUZ4" s="59"/>
      <c r="HVA4" s="59"/>
      <c r="HVB4" s="59"/>
      <c r="HVC4" s="59"/>
      <c r="HVD4" s="59"/>
      <c r="HVE4" s="59"/>
      <c r="HVF4" s="59"/>
      <c r="HVG4" s="59"/>
      <c r="HVH4" s="59"/>
      <c r="HVI4" s="59"/>
      <c r="HVJ4" s="59"/>
      <c r="HVK4" s="59"/>
      <c r="HVL4" s="59"/>
      <c r="HVM4" s="59"/>
      <c r="HVN4" s="59"/>
      <c r="HVO4" s="59"/>
      <c r="HVP4" s="59"/>
      <c r="HVQ4" s="59"/>
      <c r="HVR4" s="59"/>
      <c r="HVS4" s="59"/>
      <c r="HVT4" s="59"/>
      <c r="HVU4" s="59"/>
      <c r="HVV4" s="59"/>
      <c r="HVW4" s="59"/>
      <c r="HVX4" s="59"/>
      <c r="HVY4" s="59"/>
      <c r="HVZ4" s="59"/>
      <c r="HWA4" s="59"/>
      <c r="HWB4" s="59"/>
      <c r="HWC4" s="59"/>
      <c r="HWD4" s="59"/>
      <c r="HWE4" s="59"/>
      <c r="HWF4" s="59"/>
      <c r="HWG4" s="59"/>
      <c r="HWH4" s="59"/>
      <c r="HWI4" s="59"/>
      <c r="HWJ4" s="59"/>
      <c r="HWK4" s="59"/>
      <c r="HWL4" s="59"/>
      <c r="HWM4" s="59"/>
      <c r="HWN4" s="59"/>
      <c r="HWO4" s="59"/>
      <c r="HWP4" s="59"/>
      <c r="HWQ4" s="59"/>
      <c r="HWR4" s="59"/>
      <c r="HWS4" s="59"/>
      <c r="HWT4" s="59"/>
      <c r="HWU4" s="59"/>
      <c r="HWV4" s="59"/>
      <c r="HWW4" s="59"/>
      <c r="HWX4" s="59"/>
      <c r="HWY4" s="59"/>
      <c r="HWZ4" s="59"/>
      <c r="HXA4" s="59"/>
      <c r="HXB4" s="59"/>
      <c r="HXC4" s="59"/>
      <c r="HXD4" s="59"/>
      <c r="HXE4" s="59"/>
      <c r="HXF4" s="59"/>
      <c r="HXG4" s="59"/>
      <c r="HXH4" s="59"/>
      <c r="HXI4" s="59"/>
      <c r="HXJ4" s="59"/>
      <c r="HXK4" s="59"/>
      <c r="HXL4" s="59"/>
      <c r="HXM4" s="59"/>
      <c r="HXN4" s="59"/>
      <c r="HXO4" s="59"/>
      <c r="HXP4" s="59"/>
      <c r="HXQ4" s="59"/>
      <c r="HXR4" s="59"/>
      <c r="HXS4" s="59"/>
      <c r="HXT4" s="59"/>
      <c r="HXU4" s="59"/>
      <c r="HXV4" s="59"/>
      <c r="HXW4" s="59"/>
      <c r="HXX4" s="59"/>
      <c r="HXY4" s="59"/>
      <c r="HXZ4" s="59"/>
      <c r="HYA4" s="59"/>
      <c r="HYB4" s="59"/>
      <c r="HYC4" s="59"/>
      <c r="HYD4" s="59"/>
      <c r="HYE4" s="59"/>
      <c r="HYF4" s="59"/>
      <c r="HYG4" s="59"/>
      <c r="HYH4" s="59"/>
      <c r="HYI4" s="59"/>
      <c r="HYJ4" s="59"/>
      <c r="HYK4" s="59"/>
      <c r="HYL4" s="59"/>
      <c r="HYM4" s="59"/>
      <c r="HYN4" s="59"/>
      <c r="HYO4" s="59"/>
      <c r="HYP4" s="59"/>
      <c r="HYQ4" s="59"/>
      <c r="HYR4" s="59"/>
      <c r="HYS4" s="59"/>
      <c r="HYT4" s="59"/>
      <c r="HYU4" s="59"/>
      <c r="HYV4" s="59"/>
      <c r="HYW4" s="59"/>
      <c r="HYX4" s="59"/>
      <c r="HYY4" s="59"/>
      <c r="HYZ4" s="59"/>
      <c r="HZA4" s="59"/>
      <c r="HZB4" s="59"/>
      <c r="HZC4" s="59"/>
      <c r="HZD4" s="59"/>
      <c r="HZE4" s="59"/>
      <c r="HZF4" s="59"/>
      <c r="HZG4" s="59"/>
      <c r="HZH4" s="59"/>
      <c r="HZI4" s="59"/>
      <c r="HZJ4" s="59"/>
      <c r="HZK4" s="59"/>
      <c r="HZL4" s="59"/>
      <c r="HZM4" s="59"/>
      <c r="HZN4" s="59"/>
      <c r="HZO4" s="59"/>
      <c r="HZP4" s="59"/>
      <c r="HZQ4" s="59"/>
      <c r="HZR4" s="59"/>
      <c r="HZS4" s="59"/>
      <c r="HZT4" s="59"/>
      <c r="HZU4" s="59"/>
      <c r="HZV4" s="59"/>
      <c r="HZW4" s="59"/>
      <c r="HZX4" s="59"/>
      <c r="HZY4" s="59"/>
      <c r="HZZ4" s="59"/>
      <c r="IAA4" s="59"/>
      <c r="IAB4" s="59"/>
      <c r="IAC4" s="59"/>
      <c r="IAD4" s="59"/>
      <c r="IAE4" s="59"/>
      <c r="IAF4" s="59"/>
      <c r="IAG4" s="59"/>
      <c r="IAH4" s="59"/>
      <c r="IAI4" s="59"/>
      <c r="IAJ4" s="59"/>
      <c r="IAK4" s="59"/>
      <c r="IAL4" s="59"/>
      <c r="IAM4" s="59"/>
      <c r="IAN4" s="59"/>
      <c r="IAO4" s="59"/>
      <c r="IAP4" s="59"/>
      <c r="IAQ4" s="59"/>
      <c r="IAR4" s="59"/>
      <c r="IAS4" s="59"/>
      <c r="IAT4" s="59"/>
      <c r="IAU4" s="59"/>
      <c r="IAV4" s="59"/>
      <c r="IAW4" s="59"/>
      <c r="IAX4" s="59"/>
      <c r="IAY4" s="59"/>
      <c r="IAZ4" s="59"/>
      <c r="IBA4" s="59"/>
      <c r="IBB4" s="59"/>
      <c r="IBC4" s="59"/>
      <c r="IBD4" s="59"/>
      <c r="IBE4" s="59"/>
      <c r="IBF4" s="59"/>
      <c r="IBG4" s="59"/>
      <c r="IBH4" s="59"/>
      <c r="IBI4" s="59"/>
      <c r="IBJ4" s="59"/>
      <c r="IBK4" s="59"/>
      <c r="IBL4" s="59"/>
      <c r="IBM4" s="59"/>
      <c r="IBN4" s="59"/>
      <c r="IBO4" s="59"/>
      <c r="IBP4" s="59"/>
      <c r="IBQ4" s="59"/>
      <c r="IBR4" s="59"/>
      <c r="IBS4" s="59"/>
      <c r="IBT4" s="59"/>
      <c r="IBU4" s="59"/>
      <c r="IBV4" s="59"/>
      <c r="IBW4" s="59"/>
      <c r="IBX4" s="59"/>
      <c r="IBY4" s="59"/>
      <c r="IBZ4" s="59"/>
      <c r="ICA4" s="59"/>
      <c r="ICB4" s="59"/>
      <c r="ICC4" s="59"/>
      <c r="ICD4" s="59"/>
      <c r="ICE4" s="59"/>
      <c r="ICF4" s="59"/>
      <c r="ICG4" s="59"/>
      <c r="ICH4" s="59"/>
      <c r="ICI4" s="59"/>
      <c r="ICJ4" s="59"/>
      <c r="ICK4" s="59"/>
      <c r="ICL4" s="59"/>
      <c r="ICM4" s="59"/>
      <c r="ICN4" s="59"/>
      <c r="ICO4" s="59"/>
      <c r="ICP4" s="59"/>
      <c r="ICQ4" s="59"/>
      <c r="ICR4" s="59"/>
      <c r="ICS4" s="59"/>
      <c r="ICT4" s="59"/>
      <c r="ICU4" s="59"/>
      <c r="ICV4" s="59"/>
      <c r="ICW4" s="59"/>
      <c r="ICX4" s="59"/>
      <c r="ICY4" s="59"/>
      <c r="ICZ4" s="59"/>
      <c r="IDA4" s="59"/>
      <c r="IDB4" s="59"/>
      <c r="IDC4" s="59"/>
      <c r="IDD4" s="59"/>
      <c r="IDE4" s="59"/>
      <c r="IDF4" s="59"/>
      <c r="IDG4" s="59"/>
      <c r="IDH4" s="59"/>
      <c r="IDI4" s="59"/>
      <c r="IDJ4" s="59"/>
      <c r="IDK4" s="59"/>
      <c r="IDL4" s="59"/>
      <c r="IDM4" s="59"/>
      <c r="IDN4" s="59"/>
      <c r="IDO4" s="59"/>
      <c r="IDP4" s="59"/>
      <c r="IDQ4" s="59"/>
      <c r="IDR4" s="59"/>
      <c r="IDS4" s="59"/>
      <c r="IDT4" s="59"/>
      <c r="IDU4" s="59"/>
      <c r="IDV4" s="59"/>
      <c r="IDW4" s="59"/>
      <c r="IDX4" s="59"/>
      <c r="IDY4" s="59"/>
      <c r="IDZ4" s="59"/>
      <c r="IEA4" s="59"/>
      <c r="IEB4" s="59"/>
      <c r="IEC4" s="59"/>
      <c r="IED4" s="59"/>
      <c r="IEE4" s="59"/>
      <c r="IEF4" s="59"/>
      <c r="IEG4" s="59"/>
      <c r="IEH4" s="59"/>
      <c r="IEI4" s="59"/>
      <c r="IEJ4" s="59"/>
      <c r="IEK4" s="59"/>
      <c r="IEL4" s="59"/>
      <c r="IEM4" s="59"/>
      <c r="IEN4" s="59"/>
      <c r="IEO4" s="59"/>
      <c r="IEP4" s="59"/>
      <c r="IEQ4" s="59"/>
      <c r="IER4" s="59"/>
      <c r="IES4" s="59"/>
      <c r="IET4" s="59"/>
      <c r="IEU4" s="59"/>
      <c r="IEV4" s="59"/>
      <c r="IEW4" s="59"/>
      <c r="IEX4" s="59"/>
      <c r="IEY4" s="59"/>
      <c r="IEZ4" s="59"/>
      <c r="IFA4" s="59"/>
      <c r="IFB4" s="59"/>
      <c r="IFC4" s="59"/>
      <c r="IFD4" s="59"/>
      <c r="IFE4" s="59"/>
      <c r="IFF4" s="59"/>
      <c r="IFG4" s="59"/>
      <c r="IFH4" s="59"/>
      <c r="IFI4" s="59"/>
      <c r="IFJ4" s="59"/>
      <c r="IFK4" s="59"/>
      <c r="IFL4" s="59"/>
      <c r="IFM4" s="59"/>
      <c r="IFN4" s="59"/>
      <c r="IFO4" s="59"/>
      <c r="IFP4" s="59"/>
      <c r="IFQ4" s="59"/>
      <c r="IFR4" s="59"/>
      <c r="IFS4" s="59"/>
      <c r="IFT4" s="59"/>
      <c r="IFU4" s="59"/>
      <c r="IFV4" s="59"/>
      <c r="IFW4" s="59"/>
      <c r="IFX4" s="59"/>
      <c r="IFY4" s="59"/>
      <c r="IFZ4" s="59"/>
      <c r="IGA4" s="59"/>
      <c r="IGB4" s="59"/>
      <c r="IGC4" s="59"/>
      <c r="IGD4" s="59"/>
      <c r="IGE4" s="59"/>
      <c r="IGF4" s="59"/>
      <c r="IGG4" s="59"/>
      <c r="IGH4" s="59"/>
      <c r="IGI4" s="59"/>
      <c r="IGJ4" s="59"/>
      <c r="IGK4" s="59"/>
      <c r="IGL4" s="59"/>
      <c r="IGM4" s="59"/>
      <c r="IGN4" s="59"/>
      <c r="IGO4" s="59"/>
      <c r="IGP4" s="59"/>
      <c r="IGQ4" s="59"/>
      <c r="IGR4" s="59"/>
      <c r="IGS4" s="59"/>
      <c r="IGT4" s="59"/>
      <c r="IGU4" s="59"/>
      <c r="IGV4" s="59"/>
      <c r="IGW4" s="59"/>
      <c r="IGX4" s="59"/>
      <c r="IGY4" s="59"/>
      <c r="IGZ4" s="59"/>
      <c r="IHA4" s="59"/>
      <c r="IHB4" s="59"/>
      <c r="IHC4" s="59"/>
      <c r="IHD4" s="59"/>
      <c r="IHE4" s="59"/>
      <c r="IHF4" s="59"/>
      <c r="IHG4" s="59"/>
      <c r="IHH4" s="59"/>
      <c r="IHI4" s="59"/>
      <c r="IHJ4" s="59"/>
      <c r="IHK4" s="59"/>
      <c r="IHL4" s="59"/>
      <c r="IHM4" s="59"/>
      <c r="IHN4" s="59"/>
      <c r="IHO4" s="59"/>
      <c r="IHP4" s="59"/>
      <c r="IHQ4" s="59"/>
      <c r="IHR4" s="59"/>
      <c r="IHS4" s="59"/>
      <c r="IHT4" s="59"/>
      <c r="IHU4" s="59"/>
      <c r="IHV4" s="59"/>
      <c r="IHW4" s="59"/>
      <c r="IHX4" s="59"/>
      <c r="IHY4" s="59"/>
      <c r="IHZ4" s="59"/>
      <c r="IIA4" s="59"/>
      <c r="IIB4" s="59"/>
      <c r="IIC4" s="59"/>
      <c r="IID4" s="59"/>
      <c r="IIE4" s="59"/>
      <c r="IIF4" s="59"/>
      <c r="IIG4" s="59"/>
      <c r="IIH4" s="59"/>
      <c r="III4" s="59"/>
      <c r="IIJ4" s="59"/>
      <c r="IIK4" s="59"/>
      <c r="IIL4" s="59"/>
      <c r="IIM4" s="59"/>
      <c r="IIN4" s="59"/>
      <c r="IIO4" s="59"/>
      <c r="IIP4" s="59"/>
      <c r="IIQ4" s="59"/>
      <c r="IIR4" s="59"/>
      <c r="IIS4" s="59"/>
      <c r="IIT4" s="59"/>
      <c r="IIU4" s="59"/>
      <c r="IIV4" s="59"/>
      <c r="IIW4" s="59"/>
      <c r="IIX4" s="59"/>
      <c r="IIY4" s="59"/>
      <c r="IIZ4" s="59"/>
      <c r="IJA4" s="59"/>
      <c r="IJB4" s="59"/>
      <c r="IJC4" s="59"/>
      <c r="IJD4" s="59"/>
      <c r="IJE4" s="59"/>
      <c r="IJF4" s="59"/>
      <c r="IJG4" s="59"/>
      <c r="IJH4" s="59"/>
      <c r="IJI4" s="59"/>
      <c r="IJJ4" s="59"/>
      <c r="IJK4" s="59"/>
      <c r="IJL4" s="59"/>
      <c r="IJM4" s="59"/>
      <c r="IJN4" s="59"/>
      <c r="IJO4" s="59"/>
      <c r="IJP4" s="59"/>
      <c r="IJQ4" s="59"/>
      <c r="IJR4" s="59"/>
      <c r="IJS4" s="59"/>
      <c r="IJT4" s="59"/>
      <c r="IJU4" s="59"/>
      <c r="IJV4" s="59"/>
      <c r="IJW4" s="59"/>
      <c r="IJX4" s="59"/>
      <c r="IJY4" s="59"/>
      <c r="IJZ4" s="59"/>
      <c r="IKA4" s="59"/>
      <c r="IKB4" s="59"/>
      <c r="IKC4" s="59"/>
      <c r="IKD4" s="59"/>
      <c r="IKE4" s="59"/>
      <c r="IKF4" s="59"/>
      <c r="IKG4" s="59"/>
      <c r="IKH4" s="59"/>
      <c r="IKI4" s="59"/>
      <c r="IKJ4" s="59"/>
      <c r="IKK4" s="59"/>
      <c r="IKL4" s="59"/>
      <c r="IKM4" s="59"/>
      <c r="IKN4" s="59"/>
      <c r="IKO4" s="59"/>
      <c r="IKP4" s="59"/>
      <c r="IKQ4" s="59"/>
      <c r="IKR4" s="59"/>
      <c r="IKS4" s="59"/>
      <c r="IKT4" s="59"/>
      <c r="IKU4" s="59"/>
      <c r="IKV4" s="59"/>
      <c r="IKW4" s="59"/>
      <c r="IKX4" s="59"/>
      <c r="IKY4" s="59"/>
      <c r="IKZ4" s="59"/>
      <c r="ILA4" s="59"/>
      <c r="ILB4" s="59"/>
      <c r="ILC4" s="59"/>
      <c r="ILD4" s="59"/>
      <c r="ILE4" s="59"/>
      <c r="ILF4" s="59"/>
      <c r="ILG4" s="59"/>
      <c r="ILH4" s="59"/>
      <c r="ILI4" s="59"/>
      <c r="ILJ4" s="59"/>
      <c r="ILK4" s="59"/>
      <c r="ILL4" s="59"/>
      <c r="ILM4" s="59"/>
      <c r="ILN4" s="59"/>
      <c r="ILO4" s="59"/>
      <c r="ILP4" s="59"/>
      <c r="ILQ4" s="59"/>
      <c r="ILR4" s="59"/>
      <c r="ILS4" s="59"/>
      <c r="ILT4" s="59"/>
      <c r="ILU4" s="59"/>
      <c r="ILV4" s="59"/>
      <c r="ILW4" s="59"/>
      <c r="ILX4" s="59"/>
      <c r="ILY4" s="59"/>
      <c r="ILZ4" s="59"/>
      <c r="IMA4" s="59"/>
      <c r="IMB4" s="59"/>
      <c r="IMC4" s="59"/>
      <c r="IMD4" s="59"/>
      <c r="IME4" s="59"/>
      <c r="IMF4" s="59"/>
      <c r="IMG4" s="59"/>
      <c r="IMH4" s="59"/>
      <c r="IMI4" s="59"/>
      <c r="IMJ4" s="59"/>
      <c r="IMK4" s="59"/>
      <c r="IML4" s="59"/>
      <c r="IMM4" s="59"/>
      <c r="IMN4" s="59"/>
      <c r="IMO4" s="59"/>
      <c r="IMP4" s="59"/>
      <c r="IMQ4" s="59"/>
      <c r="IMR4" s="59"/>
      <c r="IMS4" s="59"/>
      <c r="IMT4" s="59"/>
      <c r="IMU4" s="59"/>
      <c r="IMV4" s="59"/>
      <c r="IMW4" s="59"/>
      <c r="IMX4" s="59"/>
      <c r="IMY4" s="59"/>
      <c r="IMZ4" s="59"/>
      <c r="INA4" s="59"/>
      <c r="INB4" s="59"/>
      <c r="INC4" s="59"/>
      <c r="IND4" s="59"/>
      <c r="INE4" s="59"/>
      <c r="INF4" s="59"/>
      <c r="ING4" s="59"/>
      <c r="INH4" s="59"/>
      <c r="INI4" s="59"/>
      <c r="INJ4" s="59"/>
      <c r="INK4" s="59"/>
      <c r="INL4" s="59"/>
      <c r="INM4" s="59"/>
      <c r="INN4" s="59"/>
      <c r="INO4" s="59"/>
      <c r="INP4" s="59"/>
      <c r="INQ4" s="59"/>
      <c r="INR4" s="59"/>
      <c r="INS4" s="59"/>
      <c r="INT4" s="59"/>
      <c r="INU4" s="59"/>
      <c r="INV4" s="59"/>
      <c r="INW4" s="59"/>
      <c r="INX4" s="59"/>
      <c r="INY4" s="59"/>
      <c r="INZ4" s="59"/>
      <c r="IOA4" s="59"/>
      <c r="IOB4" s="59"/>
      <c r="IOC4" s="59"/>
      <c r="IOD4" s="59"/>
      <c r="IOE4" s="59"/>
      <c r="IOF4" s="59"/>
      <c r="IOG4" s="59"/>
      <c r="IOH4" s="59"/>
      <c r="IOI4" s="59"/>
      <c r="IOJ4" s="59"/>
      <c r="IOK4" s="59"/>
      <c r="IOL4" s="59"/>
      <c r="IOM4" s="59"/>
      <c r="ION4" s="59"/>
      <c r="IOO4" s="59"/>
      <c r="IOP4" s="59"/>
      <c r="IOQ4" s="59"/>
      <c r="IOR4" s="59"/>
      <c r="IOS4" s="59"/>
      <c r="IOT4" s="59"/>
      <c r="IOU4" s="59"/>
      <c r="IOV4" s="59"/>
      <c r="IOW4" s="59"/>
      <c r="IOX4" s="59"/>
      <c r="IOY4" s="59"/>
      <c r="IOZ4" s="59"/>
      <c r="IPA4" s="59"/>
      <c r="IPB4" s="59"/>
      <c r="IPC4" s="59"/>
      <c r="IPD4" s="59"/>
      <c r="IPE4" s="59"/>
      <c r="IPF4" s="59"/>
      <c r="IPG4" s="59"/>
      <c r="IPH4" s="59"/>
      <c r="IPI4" s="59"/>
      <c r="IPJ4" s="59"/>
      <c r="IPK4" s="59"/>
      <c r="IPL4" s="59"/>
      <c r="IPM4" s="59"/>
      <c r="IPN4" s="59"/>
      <c r="IPO4" s="59"/>
      <c r="IPP4" s="59"/>
      <c r="IPQ4" s="59"/>
      <c r="IPR4" s="59"/>
      <c r="IPS4" s="59"/>
      <c r="IPT4" s="59"/>
      <c r="IPU4" s="59"/>
      <c r="IPV4" s="59"/>
      <c r="IPW4" s="59"/>
      <c r="IPX4" s="59"/>
      <c r="IPY4" s="59"/>
      <c r="IPZ4" s="59"/>
      <c r="IQA4" s="59"/>
      <c r="IQB4" s="59"/>
      <c r="IQC4" s="59"/>
      <c r="IQD4" s="59"/>
      <c r="IQE4" s="59"/>
      <c r="IQF4" s="59"/>
      <c r="IQG4" s="59"/>
      <c r="IQH4" s="59"/>
      <c r="IQI4" s="59"/>
      <c r="IQJ4" s="59"/>
      <c r="IQK4" s="59"/>
      <c r="IQL4" s="59"/>
      <c r="IQM4" s="59"/>
      <c r="IQN4" s="59"/>
      <c r="IQO4" s="59"/>
      <c r="IQP4" s="59"/>
      <c r="IQQ4" s="59"/>
      <c r="IQR4" s="59"/>
      <c r="IQS4" s="59"/>
      <c r="IQT4" s="59"/>
      <c r="IQU4" s="59"/>
      <c r="IQV4" s="59"/>
      <c r="IQW4" s="59"/>
      <c r="IQX4" s="59"/>
      <c r="IQY4" s="59"/>
      <c r="IQZ4" s="59"/>
      <c r="IRA4" s="59"/>
      <c r="IRB4" s="59"/>
      <c r="IRC4" s="59"/>
      <c r="IRD4" s="59"/>
      <c r="IRE4" s="59"/>
      <c r="IRF4" s="59"/>
      <c r="IRG4" s="59"/>
      <c r="IRH4" s="59"/>
      <c r="IRI4" s="59"/>
      <c r="IRJ4" s="59"/>
      <c r="IRK4" s="59"/>
      <c r="IRL4" s="59"/>
      <c r="IRM4" s="59"/>
      <c r="IRN4" s="59"/>
      <c r="IRO4" s="59"/>
      <c r="IRP4" s="59"/>
      <c r="IRQ4" s="59"/>
      <c r="IRR4" s="59"/>
      <c r="IRS4" s="59"/>
      <c r="IRT4" s="59"/>
      <c r="IRU4" s="59"/>
      <c r="IRV4" s="59"/>
      <c r="IRW4" s="59"/>
      <c r="IRX4" s="59"/>
      <c r="IRY4" s="59"/>
      <c r="IRZ4" s="59"/>
      <c r="ISA4" s="59"/>
      <c r="ISB4" s="59"/>
      <c r="ISC4" s="59"/>
      <c r="ISD4" s="59"/>
      <c r="ISE4" s="59"/>
      <c r="ISF4" s="59"/>
      <c r="ISG4" s="59"/>
      <c r="ISH4" s="59"/>
      <c r="ISI4" s="59"/>
      <c r="ISJ4" s="59"/>
      <c r="ISK4" s="59"/>
      <c r="ISL4" s="59"/>
      <c r="ISM4" s="59"/>
      <c r="ISN4" s="59"/>
      <c r="ISO4" s="59"/>
      <c r="ISP4" s="59"/>
      <c r="ISQ4" s="59"/>
      <c r="ISR4" s="59"/>
      <c r="ISS4" s="59"/>
      <c r="IST4" s="59"/>
      <c r="ISU4" s="59"/>
      <c r="ISV4" s="59"/>
      <c r="ISW4" s="59"/>
      <c r="ISX4" s="59"/>
      <c r="ISY4" s="59"/>
      <c r="ISZ4" s="59"/>
      <c r="ITA4" s="59"/>
      <c r="ITB4" s="59"/>
      <c r="ITC4" s="59"/>
      <c r="ITD4" s="59"/>
      <c r="ITE4" s="59"/>
      <c r="ITF4" s="59"/>
      <c r="ITG4" s="59"/>
      <c r="ITH4" s="59"/>
      <c r="ITI4" s="59"/>
      <c r="ITJ4" s="59"/>
      <c r="ITK4" s="59"/>
      <c r="ITL4" s="59"/>
      <c r="ITM4" s="59"/>
      <c r="ITN4" s="59"/>
      <c r="ITO4" s="59"/>
      <c r="ITP4" s="59"/>
      <c r="ITQ4" s="59"/>
      <c r="ITR4" s="59"/>
      <c r="ITS4" s="59"/>
      <c r="ITT4" s="59"/>
      <c r="ITU4" s="59"/>
      <c r="ITV4" s="59"/>
      <c r="ITW4" s="59"/>
      <c r="ITX4" s="59"/>
      <c r="ITY4" s="59"/>
      <c r="ITZ4" s="59"/>
      <c r="IUA4" s="59"/>
      <c r="IUB4" s="59"/>
      <c r="IUC4" s="59"/>
      <c r="IUD4" s="59"/>
      <c r="IUE4" s="59"/>
      <c r="IUF4" s="59"/>
      <c r="IUG4" s="59"/>
      <c r="IUH4" s="59"/>
      <c r="IUI4" s="59"/>
      <c r="IUJ4" s="59"/>
      <c r="IUK4" s="59"/>
      <c r="IUL4" s="59"/>
      <c r="IUM4" s="59"/>
      <c r="IUN4" s="59"/>
      <c r="IUO4" s="59"/>
      <c r="IUP4" s="59"/>
      <c r="IUQ4" s="59"/>
      <c r="IUR4" s="59"/>
      <c r="IUS4" s="59"/>
      <c r="IUT4" s="59"/>
      <c r="IUU4" s="59"/>
      <c r="IUV4" s="59"/>
      <c r="IUW4" s="59"/>
      <c r="IUX4" s="59"/>
      <c r="IUY4" s="59"/>
      <c r="IUZ4" s="59"/>
      <c r="IVA4" s="59"/>
      <c r="IVB4" s="59"/>
      <c r="IVC4" s="59"/>
      <c r="IVD4" s="59"/>
      <c r="IVE4" s="59"/>
      <c r="IVF4" s="59"/>
      <c r="IVG4" s="59"/>
      <c r="IVH4" s="59"/>
      <c r="IVI4" s="59"/>
      <c r="IVJ4" s="59"/>
      <c r="IVK4" s="59"/>
      <c r="IVL4" s="59"/>
      <c r="IVM4" s="59"/>
      <c r="IVN4" s="59"/>
      <c r="IVO4" s="59"/>
      <c r="IVP4" s="59"/>
      <c r="IVQ4" s="59"/>
      <c r="IVR4" s="59"/>
      <c r="IVS4" s="59"/>
      <c r="IVT4" s="59"/>
      <c r="IVU4" s="59"/>
      <c r="IVV4" s="59"/>
      <c r="IVW4" s="59"/>
      <c r="IVX4" s="59"/>
      <c r="IVY4" s="59"/>
      <c r="IVZ4" s="59"/>
      <c r="IWA4" s="59"/>
      <c r="IWB4" s="59"/>
      <c r="IWC4" s="59"/>
      <c r="IWD4" s="59"/>
      <c r="IWE4" s="59"/>
      <c r="IWF4" s="59"/>
      <c r="IWG4" s="59"/>
      <c r="IWH4" s="59"/>
      <c r="IWI4" s="59"/>
      <c r="IWJ4" s="59"/>
      <c r="IWK4" s="59"/>
      <c r="IWL4" s="59"/>
      <c r="IWM4" s="59"/>
      <c r="IWN4" s="59"/>
      <c r="IWO4" s="59"/>
      <c r="IWP4" s="59"/>
      <c r="IWQ4" s="59"/>
      <c r="IWR4" s="59"/>
      <c r="IWS4" s="59"/>
      <c r="IWT4" s="59"/>
      <c r="IWU4" s="59"/>
      <c r="IWV4" s="59"/>
      <c r="IWW4" s="59"/>
      <c r="IWX4" s="59"/>
      <c r="IWY4" s="59"/>
      <c r="IWZ4" s="59"/>
      <c r="IXA4" s="59"/>
      <c r="IXB4" s="59"/>
      <c r="IXC4" s="59"/>
      <c r="IXD4" s="59"/>
      <c r="IXE4" s="59"/>
      <c r="IXF4" s="59"/>
      <c r="IXG4" s="59"/>
      <c r="IXH4" s="59"/>
      <c r="IXI4" s="59"/>
      <c r="IXJ4" s="59"/>
      <c r="IXK4" s="59"/>
      <c r="IXL4" s="59"/>
      <c r="IXM4" s="59"/>
      <c r="IXN4" s="59"/>
      <c r="IXO4" s="59"/>
      <c r="IXP4" s="59"/>
      <c r="IXQ4" s="59"/>
      <c r="IXR4" s="59"/>
      <c r="IXS4" s="59"/>
      <c r="IXT4" s="59"/>
      <c r="IXU4" s="59"/>
      <c r="IXV4" s="59"/>
      <c r="IXW4" s="59"/>
      <c r="IXX4" s="59"/>
      <c r="IXY4" s="59"/>
      <c r="IXZ4" s="59"/>
      <c r="IYA4" s="59"/>
      <c r="IYB4" s="59"/>
      <c r="IYC4" s="59"/>
      <c r="IYD4" s="59"/>
      <c r="IYE4" s="59"/>
      <c r="IYF4" s="59"/>
      <c r="IYG4" s="59"/>
      <c r="IYH4" s="59"/>
      <c r="IYI4" s="59"/>
      <c r="IYJ4" s="59"/>
      <c r="IYK4" s="59"/>
      <c r="IYL4" s="59"/>
      <c r="IYM4" s="59"/>
      <c r="IYN4" s="59"/>
      <c r="IYO4" s="59"/>
      <c r="IYP4" s="59"/>
      <c r="IYQ4" s="59"/>
      <c r="IYR4" s="59"/>
      <c r="IYS4" s="59"/>
      <c r="IYT4" s="59"/>
      <c r="IYU4" s="59"/>
      <c r="IYV4" s="59"/>
      <c r="IYW4" s="59"/>
      <c r="IYX4" s="59"/>
      <c r="IYY4" s="59"/>
      <c r="IYZ4" s="59"/>
      <c r="IZA4" s="59"/>
      <c r="IZB4" s="59"/>
      <c r="IZC4" s="59"/>
      <c r="IZD4" s="59"/>
      <c r="IZE4" s="59"/>
      <c r="IZF4" s="59"/>
      <c r="IZG4" s="59"/>
      <c r="IZH4" s="59"/>
      <c r="IZI4" s="59"/>
      <c r="IZJ4" s="59"/>
      <c r="IZK4" s="59"/>
      <c r="IZL4" s="59"/>
      <c r="IZM4" s="59"/>
      <c r="IZN4" s="59"/>
      <c r="IZO4" s="59"/>
      <c r="IZP4" s="59"/>
      <c r="IZQ4" s="59"/>
      <c r="IZR4" s="59"/>
      <c r="IZS4" s="59"/>
      <c r="IZT4" s="59"/>
      <c r="IZU4" s="59"/>
      <c r="IZV4" s="59"/>
      <c r="IZW4" s="59"/>
      <c r="IZX4" s="59"/>
      <c r="IZY4" s="59"/>
      <c r="IZZ4" s="59"/>
      <c r="JAA4" s="59"/>
      <c r="JAB4" s="59"/>
      <c r="JAC4" s="59"/>
      <c r="JAD4" s="59"/>
      <c r="JAE4" s="59"/>
      <c r="JAF4" s="59"/>
      <c r="JAG4" s="59"/>
      <c r="JAH4" s="59"/>
      <c r="JAI4" s="59"/>
      <c r="JAJ4" s="59"/>
      <c r="JAK4" s="59"/>
      <c r="JAL4" s="59"/>
      <c r="JAM4" s="59"/>
      <c r="JAN4" s="59"/>
      <c r="JAO4" s="59"/>
      <c r="JAP4" s="59"/>
      <c r="JAQ4" s="59"/>
      <c r="JAR4" s="59"/>
      <c r="JAS4" s="59"/>
      <c r="JAT4" s="59"/>
      <c r="JAU4" s="59"/>
      <c r="JAV4" s="59"/>
      <c r="JAW4" s="59"/>
      <c r="JAX4" s="59"/>
      <c r="JAY4" s="59"/>
      <c r="JAZ4" s="59"/>
      <c r="JBA4" s="59"/>
      <c r="JBB4" s="59"/>
      <c r="JBC4" s="59"/>
      <c r="JBD4" s="59"/>
      <c r="JBE4" s="59"/>
      <c r="JBF4" s="59"/>
      <c r="JBG4" s="59"/>
      <c r="JBH4" s="59"/>
      <c r="JBI4" s="59"/>
      <c r="JBJ4" s="59"/>
      <c r="JBK4" s="59"/>
      <c r="JBL4" s="59"/>
      <c r="JBM4" s="59"/>
      <c r="JBN4" s="59"/>
      <c r="JBO4" s="59"/>
      <c r="JBP4" s="59"/>
      <c r="JBQ4" s="59"/>
      <c r="JBR4" s="59"/>
      <c r="JBS4" s="59"/>
      <c r="JBT4" s="59"/>
      <c r="JBU4" s="59"/>
      <c r="JBV4" s="59"/>
      <c r="JBW4" s="59"/>
      <c r="JBX4" s="59"/>
      <c r="JBY4" s="59"/>
      <c r="JBZ4" s="59"/>
      <c r="JCA4" s="59"/>
      <c r="JCB4" s="59"/>
      <c r="JCC4" s="59"/>
      <c r="JCD4" s="59"/>
      <c r="JCE4" s="59"/>
      <c r="JCF4" s="59"/>
      <c r="JCG4" s="59"/>
      <c r="JCH4" s="59"/>
      <c r="JCI4" s="59"/>
      <c r="JCJ4" s="59"/>
      <c r="JCK4" s="59"/>
      <c r="JCL4" s="59"/>
      <c r="JCM4" s="59"/>
      <c r="JCN4" s="59"/>
      <c r="JCO4" s="59"/>
      <c r="JCP4" s="59"/>
      <c r="JCQ4" s="59"/>
      <c r="JCR4" s="59"/>
      <c r="JCS4" s="59"/>
      <c r="JCT4" s="59"/>
      <c r="JCU4" s="59"/>
      <c r="JCV4" s="59"/>
      <c r="JCW4" s="59"/>
      <c r="JCX4" s="59"/>
      <c r="JCY4" s="59"/>
      <c r="JCZ4" s="59"/>
      <c r="JDA4" s="59"/>
      <c r="JDB4" s="59"/>
      <c r="JDC4" s="59"/>
      <c r="JDD4" s="59"/>
      <c r="JDE4" s="59"/>
      <c r="JDF4" s="59"/>
      <c r="JDG4" s="59"/>
      <c r="JDH4" s="59"/>
      <c r="JDI4" s="59"/>
      <c r="JDJ4" s="59"/>
      <c r="JDK4" s="59"/>
      <c r="JDL4" s="59"/>
      <c r="JDM4" s="59"/>
      <c r="JDN4" s="59"/>
      <c r="JDO4" s="59"/>
      <c r="JDP4" s="59"/>
      <c r="JDQ4" s="59"/>
      <c r="JDR4" s="59"/>
      <c r="JDS4" s="59"/>
      <c r="JDT4" s="59"/>
      <c r="JDU4" s="59"/>
      <c r="JDV4" s="59"/>
      <c r="JDW4" s="59"/>
      <c r="JDX4" s="59"/>
      <c r="JDY4" s="59"/>
      <c r="JDZ4" s="59"/>
      <c r="JEA4" s="59"/>
      <c r="JEB4" s="59"/>
      <c r="JEC4" s="59"/>
      <c r="JED4" s="59"/>
      <c r="JEE4" s="59"/>
      <c r="JEF4" s="59"/>
      <c r="JEG4" s="59"/>
      <c r="JEH4" s="59"/>
      <c r="JEI4" s="59"/>
      <c r="JEJ4" s="59"/>
      <c r="JEK4" s="59"/>
      <c r="JEL4" s="59"/>
      <c r="JEM4" s="59"/>
      <c r="JEN4" s="59"/>
      <c r="JEO4" s="59"/>
      <c r="JEP4" s="59"/>
      <c r="JEQ4" s="59"/>
      <c r="JER4" s="59"/>
      <c r="JES4" s="59"/>
      <c r="JET4" s="59"/>
      <c r="JEU4" s="59"/>
      <c r="JEV4" s="59"/>
      <c r="JEW4" s="59"/>
      <c r="JEX4" s="59"/>
      <c r="JEY4" s="59"/>
      <c r="JEZ4" s="59"/>
      <c r="JFA4" s="59"/>
      <c r="JFB4" s="59"/>
      <c r="JFC4" s="59"/>
      <c r="JFD4" s="59"/>
      <c r="JFE4" s="59"/>
      <c r="JFF4" s="59"/>
      <c r="JFG4" s="59"/>
      <c r="JFH4" s="59"/>
      <c r="JFI4" s="59"/>
      <c r="JFJ4" s="59"/>
      <c r="JFK4" s="59"/>
      <c r="JFL4" s="59"/>
      <c r="JFM4" s="59"/>
      <c r="JFN4" s="59"/>
      <c r="JFO4" s="59"/>
      <c r="JFP4" s="59"/>
      <c r="JFQ4" s="59"/>
      <c r="JFR4" s="59"/>
      <c r="JFS4" s="59"/>
      <c r="JFT4" s="59"/>
      <c r="JFU4" s="59"/>
      <c r="JFV4" s="59"/>
      <c r="JFW4" s="59"/>
      <c r="JFX4" s="59"/>
      <c r="JFY4" s="59"/>
      <c r="JFZ4" s="59"/>
      <c r="JGA4" s="59"/>
      <c r="JGB4" s="59"/>
      <c r="JGC4" s="59"/>
      <c r="JGD4" s="59"/>
      <c r="JGE4" s="59"/>
      <c r="JGF4" s="59"/>
      <c r="JGG4" s="59"/>
      <c r="JGH4" s="59"/>
      <c r="JGI4" s="59"/>
      <c r="JGJ4" s="59"/>
      <c r="JGK4" s="59"/>
      <c r="JGL4" s="59"/>
      <c r="JGM4" s="59"/>
      <c r="JGN4" s="59"/>
      <c r="JGO4" s="59"/>
      <c r="JGP4" s="59"/>
      <c r="JGQ4" s="59"/>
      <c r="JGR4" s="59"/>
      <c r="JGS4" s="59"/>
      <c r="JGT4" s="59"/>
      <c r="JGU4" s="59"/>
      <c r="JGV4" s="59"/>
      <c r="JGW4" s="59"/>
      <c r="JGX4" s="59"/>
      <c r="JGY4" s="59"/>
      <c r="JGZ4" s="59"/>
      <c r="JHA4" s="59"/>
      <c r="JHB4" s="59"/>
      <c r="JHC4" s="59"/>
      <c r="JHD4" s="59"/>
      <c r="JHE4" s="59"/>
      <c r="JHF4" s="59"/>
      <c r="JHG4" s="59"/>
      <c r="JHH4" s="59"/>
      <c r="JHI4" s="59"/>
      <c r="JHJ4" s="59"/>
      <c r="JHK4" s="59"/>
      <c r="JHL4" s="59"/>
      <c r="JHM4" s="59"/>
      <c r="JHN4" s="59"/>
      <c r="JHO4" s="59"/>
      <c r="JHP4" s="59"/>
      <c r="JHQ4" s="59"/>
      <c r="JHR4" s="59"/>
      <c r="JHS4" s="59"/>
      <c r="JHT4" s="59"/>
      <c r="JHU4" s="59"/>
      <c r="JHV4" s="59"/>
      <c r="JHW4" s="59"/>
      <c r="JHX4" s="59"/>
      <c r="JHY4" s="59"/>
      <c r="JHZ4" s="59"/>
      <c r="JIA4" s="59"/>
      <c r="JIB4" s="59"/>
      <c r="JIC4" s="59"/>
      <c r="JID4" s="59"/>
      <c r="JIE4" s="59"/>
      <c r="JIF4" s="59"/>
      <c r="JIG4" s="59"/>
      <c r="JIH4" s="59"/>
      <c r="JII4" s="59"/>
      <c r="JIJ4" s="59"/>
      <c r="JIK4" s="59"/>
      <c r="JIL4" s="59"/>
      <c r="JIM4" s="59"/>
      <c r="JIN4" s="59"/>
      <c r="JIO4" s="59"/>
      <c r="JIP4" s="59"/>
      <c r="JIQ4" s="59"/>
      <c r="JIR4" s="59"/>
      <c r="JIS4" s="59"/>
      <c r="JIT4" s="59"/>
      <c r="JIU4" s="59"/>
      <c r="JIV4" s="59"/>
      <c r="JIW4" s="59"/>
      <c r="JIX4" s="59"/>
      <c r="JIY4" s="59"/>
      <c r="JIZ4" s="59"/>
      <c r="JJA4" s="59"/>
      <c r="JJB4" s="59"/>
      <c r="JJC4" s="59"/>
      <c r="JJD4" s="59"/>
      <c r="JJE4" s="59"/>
      <c r="JJF4" s="59"/>
      <c r="JJG4" s="59"/>
      <c r="JJH4" s="59"/>
      <c r="JJI4" s="59"/>
      <c r="JJJ4" s="59"/>
      <c r="JJK4" s="59"/>
      <c r="JJL4" s="59"/>
      <c r="JJM4" s="59"/>
      <c r="JJN4" s="59"/>
      <c r="JJO4" s="59"/>
      <c r="JJP4" s="59"/>
      <c r="JJQ4" s="59"/>
      <c r="JJR4" s="59"/>
      <c r="JJS4" s="59"/>
      <c r="JJT4" s="59"/>
      <c r="JJU4" s="59"/>
      <c r="JJV4" s="59"/>
      <c r="JJW4" s="59"/>
      <c r="JJX4" s="59"/>
      <c r="JJY4" s="59"/>
      <c r="JJZ4" s="59"/>
      <c r="JKA4" s="59"/>
      <c r="JKB4" s="59"/>
      <c r="JKC4" s="59"/>
      <c r="JKD4" s="59"/>
      <c r="JKE4" s="59"/>
      <c r="JKF4" s="59"/>
      <c r="JKG4" s="59"/>
      <c r="JKH4" s="59"/>
      <c r="JKI4" s="59"/>
      <c r="JKJ4" s="59"/>
      <c r="JKK4" s="59"/>
      <c r="JKL4" s="59"/>
      <c r="JKM4" s="59"/>
      <c r="JKN4" s="59"/>
      <c r="JKO4" s="59"/>
      <c r="JKP4" s="59"/>
      <c r="JKQ4" s="59"/>
      <c r="JKR4" s="59"/>
      <c r="JKS4" s="59"/>
      <c r="JKT4" s="59"/>
      <c r="JKU4" s="59"/>
      <c r="JKV4" s="59"/>
      <c r="JKW4" s="59"/>
      <c r="JKX4" s="59"/>
      <c r="JKY4" s="59"/>
      <c r="JKZ4" s="59"/>
      <c r="JLA4" s="59"/>
      <c r="JLB4" s="59"/>
      <c r="JLC4" s="59"/>
      <c r="JLD4" s="59"/>
      <c r="JLE4" s="59"/>
      <c r="JLF4" s="59"/>
      <c r="JLG4" s="59"/>
      <c r="JLH4" s="59"/>
      <c r="JLI4" s="59"/>
      <c r="JLJ4" s="59"/>
      <c r="JLK4" s="59"/>
      <c r="JLL4" s="59"/>
      <c r="JLM4" s="59"/>
      <c r="JLN4" s="59"/>
      <c r="JLO4" s="59"/>
      <c r="JLP4" s="59"/>
      <c r="JLQ4" s="59"/>
      <c r="JLR4" s="59"/>
      <c r="JLS4" s="59"/>
      <c r="JLT4" s="59"/>
      <c r="JLU4" s="59"/>
      <c r="JLV4" s="59"/>
      <c r="JLW4" s="59"/>
      <c r="JLX4" s="59"/>
      <c r="JLY4" s="59"/>
      <c r="JLZ4" s="59"/>
      <c r="JMA4" s="59"/>
      <c r="JMB4" s="59"/>
      <c r="JMC4" s="59"/>
      <c r="JMD4" s="59"/>
      <c r="JME4" s="59"/>
      <c r="JMF4" s="59"/>
      <c r="JMG4" s="59"/>
      <c r="JMH4" s="59"/>
      <c r="JMI4" s="59"/>
      <c r="JMJ4" s="59"/>
      <c r="JMK4" s="59"/>
      <c r="JML4" s="59"/>
      <c r="JMM4" s="59"/>
      <c r="JMN4" s="59"/>
      <c r="JMO4" s="59"/>
      <c r="JMP4" s="59"/>
      <c r="JMQ4" s="59"/>
      <c r="JMR4" s="59"/>
      <c r="JMS4" s="59"/>
      <c r="JMT4" s="59"/>
      <c r="JMU4" s="59"/>
      <c r="JMV4" s="59"/>
      <c r="JMW4" s="59"/>
      <c r="JMX4" s="59"/>
      <c r="JMY4" s="59"/>
      <c r="JMZ4" s="59"/>
      <c r="JNA4" s="59"/>
      <c r="JNB4" s="59"/>
      <c r="JNC4" s="59"/>
      <c r="JND4" s="59"/>
      <c r="JNE4" s="59"/>
      <c r="JNF4" s="59"/>
      <c r="JNG4" s="59"/>
      <c r="JNH4" s="59"/>
      <c r="JNI4" s="59"/>
      <c r="JNJ4" s="59"/>
      <c r="JNK4" s="59"/>
      <c r="JNL4" s="59"/>
      <c r="JNM4" s="59"/>
      <c r="JNN4" s="59"/>
      <c r="JNO4" s="59"/>
      <c r="JNP4" s="59"/>
      <c r="JNQ4" s="59"/>
      <c r="JNR4" s="59"/>
      <c r="JNS4" s="59"/>
      <c r="JNT4" s="59"/>
      <c r="JNU4" s="59"/>
      <c r="JNV4" s="59"/>
      <c r="JNW4" s="59"/>
      <c r="JNX4" s="59"/>
      <c r="JNY4" s="59"/>
      <c r="JNZ4" s="59"/>
      <c r="JOA4" s="59"/>
      <c r="JOB4" s="59"/>
      <c r="JOC4" s="59"/>
      <c r="JOD4" s="59"/>
      <c r="JOE4" s="59"/>
      <c r="JOF4" s="59"/>
      <c r="JOG4" s="59"/>
      <c r="JOH4" s="59"/>
      <c r="JOI4" s="59"/>
      <c r="JOJ4" s="59"/>
      <c r="JOK4" s="59"/>
      <c r="JOL4" s="59"/>
      <c r="JOM4" s="59"/>
      <c r="JON4" s="59"/>
      <c r="JOO4" s="59"/>
      <c r="JOP4" s="59"/>
      <c r="JOQ4" s="59"/>
      <c r="JOR4" s="59"/>
      <c r="JOS4" s="59"/>
      <c r="JOT4" s="59"/>
      <c r="JOU4" s="59"/>
      <c r="JOV4" s="59"/>
      <c r="JOW4" s="59"/>
      <c r="JOX4" s="59"/>
      <c r="JOY4" s="59"/>
      <c r="JOZ4" s="59"/>
      <c r="JPA4" s="59"/>
      <c r="JPB4" s="59"/>
      <c r="JPC4" s="59"/>
      <c r="JPD4" s="59"/>
      <c r="JPE4" s="59"/>
      <c r="JPF4" s="59"/>
      <c r="JPG4" s="59"/>
      <c r="JPH4" s="59"/>
      <c r="JPI4" s="59"/>
      <c r="JPJ4" s="59"/>
      <c r="JPK4" s="59"/>
      <c r="JPL4" s="59"/>
      <c r="JPM4" s="59"/>
      <c r="JPN4" s="59"/>
      <c r="JPO4" s="59"/>
      <c r="JPP4" s="59"/>
      <c r="JPQ4" s="59"/>
      <c r="JPR4" s="59"/>
      <c r="JPS4" s="59"/>
      <c r="JPT4" s="59"/>
      <c r="JPU4" s="59"/>
      <c r="JPV4" s="59"/>
      <c r="JPW4" s="59"/>
      <c r="JPX4" s="59"/>
      <c r="JPY4" s="59"/>
      <c r="JPZ4" s="59"/>
      <c r="JQA4" s="59"/>
      <c r="JQB4" s="59"/>
      <c r="JQC4" s="59"/>
      <c r="JQD4" s="59"/>
      <c r="JQE4" s="59"/>
      <c r="JQF4" s="59"/>
      <c r="JQG4" s="59"/>
      <c r="JQH4" s="59"/>
      <c r="JQI4" s="59"/>
      <c r="JQJ4" s="59"/>
      <c r="JQK4" s="59"/>
      <c r="JQL4" s="59"/>
      <c r="JQM4" s="59"/>
      <c r="JQN4" s="59"/>
      <c r="JQO4" s="59"/>
      <c r="JQP4" s="59"/>
      <c r="JQQ4" s="59"/>
      <c r="JQR4" s="59"/>
      <c r="JQS4" s="59"/>
      <c r="JQT4" s="59"/>
      <c r="JQU4" s="59"/>
      <c r="JQV4" s="59"/>
      <c r="JQW4" s="59"/>
      <c r="JQX4" s="59"/>
      <c r="JQY4" s="59"/>
      <c r="JQZ4" s="59"/>
      <c r="JRA4" s="59"/>
      <c r="JRB4" s="59"/>
      <c r="JRC4" s="59"/>
      <c r="JRD4" s="59"/>
      <c r="JRE4" s="59"/>
      <c r="JRF4" s="59"/>
      <c r="JRG4" s="59"/>
      <c r="JRH4" s="59"/>
      <c r="JRI4" s="59"/>
      <c r="JRJ4" s="59"/>
      <c r="JRK4" s="59"/>
      <c r="JRL4" s="59"/>
      <c r="JRM4" s="59"/>
      <c r="JRN4" s="59"/>
      <c r="JRO4" s="59"/>
      <c r="JRP4" s="59"/>
      <c r="JRQ4" s="59"/>
      <c r="JRR4" s="59"/>
      <c r="JRS4" s="59"/>
      <c r="JRT4" s="59"/>
      <c r="JRU4" s="59"/>
      <c r="JRV4" s="59"/>
      <c r="JRW4" s="59"/>
      <c r="JRX4" s="59"/>
      <c r="JRY4" s="59"/>
      <c r="JRZ4" s="59"/>
      <c r="JSA4" s="59"/>
      <c r="JSB4" s="59"/>
      <c r="JSC4" s="59"/>
      <c r="JSD4" s="59"/>
      <c r="JSE4" s="59"/>
      <c r="JSF4" s="59"/>
      <c r="JSG4" s="59"/>
      <c r="JSH4" s="59"/>
      <c r="JSI4" s="59"/>
      <c r="JSJ4" s="59"/>
      <c r="JSK4" s="59"/>
      <c r="JSL4" s="59"/>
      <c r="JSM4" s="59"/>
      <c r="JSN4" s="59"/>
      <c r="JSO4" s="59"/>
      <c r="JSP4" s="59"/>
      <c r="JSQ4" s="59"/>
      <c r="JSR4" s="59"/>
      <c r="JSS4" s="59"/>
      <c r="JST4" s="59"/>
      <c r="JSU4" s="59"/>
      <c r="JSV4" s="59"/>
      <c r="JSW4" s="59"/>
      <c r="JSX4" s="59"/>
      <c r="JSY4" s="59"/>
      <c r="JSZ4" s="59"/>
      <c r="JTA4" s="59"/>
      <c r="JTB4" s="59"/>
      <c r="JTC4" s="59"/>
      <c r="JTD4" s="59"/>
      <c r="JTE4" s="59"/>
      <c r="JTF4" s="59"/>
      <c r="JTG4" s="59"/>
      <c r="JTH4" s="59"/>
      <c r="JTI4" s="59"/>
      <c r="JTJ4" s="59"/>
      <c r="JTK4" s="59"/>
      <c r="JTL4" s="59"/>
      <c r="JTM4" s="59"/>
      <c r="JTN4" s="59"/>
      <c r="JTO4" s="59"/>
      <c r="JTP4" s="59"/>
      <c r="JTQ4" s="59"/>
      <c r="JTR4" s="59"/>
      <c r="JTS4" s="59"/>
      <c r="JTT4" s="59"/>
      <c r="JTU4" s="59"/>
      <c r="JTV4" s="59"/>
      <c r="JTW4" s="59"/>
      <c r="JTX4" s="59"/>
      <c r="JTY4" s="59"/>
      <c r="JTZ4" s="59"/>
      <c r="JUA4" s="59"/>
      <c r="JUB4" s="59"/>
      <c r="JUC4" s="59"/>
      <c r="JUD4" s="59"/>
      <c r="JUE4" s="59"/>
      <c r="JUF4" s="59"/>
      <c r="JUG4" s="59"/>
      <c r="JUH4" s="59"/>
      <c r="JUI4" s="59"/>
      <c r="JUJ4" s="59"/>
      <c r="JUK4" s="59"/>
      <c r="JUL4" s="59"/>
      <c r="JUM4" s="59"/>
      <c r="JUN4" s="59"/>
      <c r="JUO4" s="59"/>
      <c r="JUP4" s="59"/>
      <c r="JUQ4" s="59"/>
      <c r="JUR4" s="59"/>
      <c r="JUS4" s="59"/>
      <c r="JUT4" s="59"/>
      <c r="JUU4" s="59"/>
      <c r="JUV4" s="59"/>
      <c r="JUW4" s="59"/>
      <c r="JUX4" s="59"/>
      <c r="JUY4" s="59"/>
      <c r="JUZ4" s="59"/>
      <c r="JVA4" s="59"/>
      <c r="JVB4" s="59"/>
      <c r="JVC4" s="59"/>
      <c r="JVD4" s="59"/>
      <c r="JVE4" s="59"/>
      <c r="JVF4" s="59"/>
      <c r="JVG4" s="59"/>
      <c r="JVH4" s="59"/>
      <c r="JVI4" s="59"/>
      <c r="JVJ4" s="59"/>
      <c r="JVK4" s="59"/>
      <c r="JVL4" s="59"/>
      <c r="JVM4" s="59"/>
      <c r="JVN4" s="59"/>
      <c r="JVO4" s="59"/>
      <c r="JVP4" s="59"/>
      <c r="JVQ4" s="59"/>
      <c r="JVR4" s="59"/>
      <c r="JVS4" s="59"/>
      <c r="JVT4" s="59"/>
      <c r="JVU4" s="59"/>
      <c r="JVV4" s="59"/>
      <c r="JVW4" s="59"/>
      <c r="JVX4" s="59"/>
      <c r="JVY4" s="59"/>
      <c r="JVZ4" s="59"/>
      <c r="JWA4" s="59"/>
      <c r="JWB4" s="59"/>
      <c r="JWC4" s="59"/>
      <c r="JWD4" s="59"/>
      <c r="JWE4" s="59"/>
      <c r="JWF4" s="59"/>
      <c r="JWG4" s="59"/>
      <c r="JWH4" s="59"/>
      <c r="JWI4" s="59"/>
      <c r="JWJ4" s="59"/>
      <c r="JWK4" s="59"/>
      <c r="JWL4" s="59"/>
      <c r="JWM4" s="59"/>
      <c r="JWN4" s="59"/>
      <c r="JWO4" s="59"/>
      <c r="JWP4" s="59"/>
      <c r="JWQ4" s="59"/>
      <c r="JWR4" s="59"/>
      <c r="JWS4" s="59"/>
      <c r="JWT4" s="59"/>
      <c r="JWU4" s="59"/>
      <c r="JWV4" s="59"/>
      <c r="JWW4" s="59"/>
      <c r="JWX4" s="59"/>
      <c r="JWY4" s="59"/>
      <c r="JWZ4" s="59"/>
      <c r="JXA4" s="59"/>
      <c r="JXB4" s="59"/>
      <c r="JXC4" s="59"/>
      <c r="JXD4" s="59"/>
      <c r="JXE4" s="59"/>
      <c r="JXF4" s="59"/>
      <c r="JXG4" s="59"/>
      <c r="JXH4" s="59"/>
      <c r="JXI4" s="59"/>
      <c r="JXJ4" s="59"/>
      <c r="JXK4" s="59"/>
      <c r="JXL4" s="59"/>
      <c r="JXM4" s="59"/>
      <c r="JXN4" s="59"/>
      <c r="JXO4" s="59"/>
      <c r="JXP4" s="59"/>
      <c r="JXQ4" s="59"/>
      <c r="JXR4" s="59"/>
      <c r="JXS4" s="59"/>
      <c r="JXT4" s="59"/>
      <c r="JXU4" s="59"/>
      <c r="JXV4" s="59"/>
      <c r="JXW4" s="59"/>
      <c r="JXX4" s="59"/>
      <c r="JXY4" s="59"/>
      <c r="JXZ4" s="59"/>
      <c r="JYA4" s="59"/>
      <c r="JYB4" s="59"/>
      <c r="JYC4" s="59"/>
      <c r="JYD4" s="59"/>
      <c r="JYE4" s="59"/>
      <c r="JYF4" s="59"/>
      <c r="JYG4" s="59"/>
      <c r="JYH4" s="59"/>
      <c r="JYI4" s="59"/>
      <c r="JYJ4" s="59"/>
      <c r="JYK4" s="59"/>
      <c r="JYL4" s="59"/>
      <c r="JYM4" s="59"/>
      <c r="JYN4" s="59"/>
      <c r="JYO4" s="59"/>
      <c r="JYP4" s="59"/>
      <c r="JYQ4" s="59"/>
      <c r="JYR4" s="59"/>
      <c r="JYS4" s="59"/>
      <c r="JYT4" s="59"/>
      <c r="JYU4" s="59"/>
      <c r="JYV4" s="59"/>
      <c r="JYW4" s="59"/>
      <c r="JYX4" s="59"/>
      <c r="JYY4" s="59"/>
      <c r="JYZ4" s="59"/>
      <c r="JZA4" s="59"/>
      <c r="JZB4" s="59"/>
      <c r="JZC4" s="59"/>
      <c r="JZD4" s="59"/>
      <c r="JZE4" s="59"/>
      <c r="JZF4" s="59"/>
      <c r="JZG4" s="59"/>
      <c r="JZH4" s="59"/>
      <c r="JZI4" s="59"/>
      <c r="JZJ4" s="59"/>
      <c r="JZK4" s="59"/>
      <c r="JZL4" s="59"/>
      <c r="JZM4" s="59"/>
      <c r="JZN4" s="59"/>
      <c r="JZO4" s="59"/>
      <c r="JZP4" s="59"/>
      <c r="JZQ4" s="59"/>
      <c r="JZR4" s="59"/>
      <c r="JZS4" s="59"/>
      <c r="JZT4" s="59"/>
      <c r="JZU4" s="59"/>
      <c r="JZV4" s="59"/>
      <c r="JZW4" s="59"/>
      <c r="JZX4" s="59"/>
      <c r="JZY4" s="59"/>
      <c r="JZZ4" s="59"/>
      <c r="KAA4" s="59"/>
      <c r="KAB4" s="59"/>
      <c r="KAC4" s="59"/>
      <c r="KAD4" s="59"/>
      <c r="KAE4" s="59"/>
      <c r="KAF4" s="59"/>
      <c r="KAG4" s="59"/>
      <c r="KAH4" s="59"/>
      <c r="KAI4" s="59"/>
      <c r="KAJ4" s="59"/>
      <c r="KAK4" s="59"/>
      <c r="KAL4" s="59"/>
      <c r="KAM4" s="59"/>
      <c r="KAN4" s="59"/>
      <c r="KAO4" s="59"/>
      <c r="KAP4" s="59"/>
      <c r="KAQ4" s="59"/>
      <c r="KAR4" s="59"/>
      <c r="KAS4" s="59"/>
      <c r="KAT4" s="59"/>
      <c r="KAU4" s="59"/>
      <c r="KAV4" s="59"/>
      <c r="KAW4" s="59"/>
      <c r="KAX4" s="59"/>
      <c r="KAY4" s="59"/>
      <c r="KAZ4" s="59"/>
      <c r="KBA4" s="59"/>
      <c r="KBB4" s="59"/>
      <c r="KBC4" s="59"/>
      <c r="KBD4" s="59"/>
      <c r="KBE4" s="59"/>
      <c r="KBF4" s="59"/>
      <c r="KBG4" s="59"/>
      <c r="KBH4" s="59"/>
      <c r="KBI4" s="59"/>
      <c r="KBJ4" s="59"/>
      <c r="KBK4" s="59"/>
      <c r="KBL4" s="59"/>
      <c r="KBM4" s="59"/>
      <c r="KBN4" s="59"/>
      <c r="KBO4" s="59"/>
      <c r="KBP4" s="59"/>
      <c r="KBQ4" s="59"/>
      <c r="KBR4" s="59"/>
      <c r="KBS4" s="59"/>
      <c r="KBT4" s="59"/>
      <c r="KBU4" s="59"/>
      <c r="KBV4" s="59"/>
      <c r="KBW4" s="59"/>
      <c r="KBX4" s="59"/>
      <c r="KBY4" s="59"/>
      <c r="KBZ4" s="59"/>
      <c r="KCA4" s="59"/>
      <c r="KCB4" s="59"/>
      <c r="KCC4" s="59"/>
      <c r="KCD4" s="59"/>
      <c r="KCE4" s="59"/>
      <c r="KCF4" s="59"/>
      <c r="KCG4" s="59"/>
      <c r="KCH4" s="59"/>
      <c r="KCI4" s="59"/>
      <c r="KCJ4" s="59"/>
      <c r="KCK4" s="59"/>
      <c r="KCL4" s="59"/>
      <c r="KCM4" s="59"/>
      <c r="KCN4" s="59"/>
      <c r="KCO4" s="59"/>
      <c r="KCP4" s="59"/>
      <c r="KCQ4" s="59"/>
      <c r="KCR4" s="59"/>
      <c r="KCS4" s="59"/>
      <c r="KCT4" s="59"/>
      <c r="KCU4" s="59"/>
      <c r="KCV4" s="59"/>
      <c r="KCW4" s="59"/>
      <c r="KCX4" s="59"/>
      <c r="KCY4" s="59"/>
      <c r="KCZ4" s="59"/>
      <c r="KDA4" s="59"/>
      <c r="KDB4" s="59"/>
      <c r="KDC4" s="59"/>
      <c r="KDD4" s="59"/>
      <c r="KDE4" s="59"/>
      <c r="KDF4" s="59"/>
      <c r="KDG4" s="59"/>
      <c r="KDH4" s="59"/>
      <c r="KDI4" s="59"/>
      <c r="KDJ4" s="59"/>
      <c r="KDK4" s="59"/>
      <c r="KDL4" s="59"/>
      <c r="KDM4" s="59"/>
      <c r="KDN4" s="59"/>
      <c r="KDO4" s="59"/>
      <c r="KDP4" s="59"/>
      <c r="KDQ4" s="59"/>
      <c r="KDR4" s="59"/>
      <c r="KDS4" s="59"/>
      <c r="KDT4" s="59"/>
      <c r="KDU4" s="59"/>
      <c r="KDV4" s="59"/>
      <c r="KDW4" s="59"/>
      <c r="KDX4" s="59"/>
      <c r="KDY4" s="59"/>
      <c r="KDZ4" s="59"/>
      <c r="KEA4" s="59"/>
      <c r="KEB4" s="59"/>
      <c r="KEC4" s="59"/>
      <c r="KED4" s="59"/>
      <c r="KEE4" s="59"/>
      <c r="KEF4" s="59"/>
      <c r="KEG4" s="59"/>
      <c r="KEH4" s="59"/>
      <c r="KEI4" s="59"/>
      <c r="KEJ4" s="59"/>
      <c r="KEK4" s="59"/>
      <c r="KEL4" s="59"/>
      <c r="KEM4" s="59"/>
      <c r="KEN4" s="59"/>
      <c r="KEO4" s="59"/>
      <c r="KEP4" s="59"/>
      <c r="KEQ4" s="59"/>
      <c r="KER4" s="59"/>
      <c r="KES4" s="59"/>
      <c r="KET4" s="59"/>
      <c r="KEU4" s="59"/>
      <c r="KEV4" s="59"/>
      <c r="KEW4" s="59"/>
      <c r="KEX4" s="59"/>
      <c r="KEY4" s="59"/>
      <c r="KEZ4" s="59"/>
      <c r="KFA4" s="59"/>
      <c r="KFB4" s="59"/>
      <c r="KFC4" s="59"/>
      <c r="KFD4" s="59"/>
      <c r="KFE4" s="59"/>
      <c r="KFF4" s="59"/>
      <c r="KFG4" s="59"/>
      <c r="KFH4" s="59"/>
      <c r="KFI4" s="59"/>
      <c r="KFJ4" s="59"/>
      <c r="KFK4" s="59"/>
      <c r="KFL4" s="59"/>
      <c r="KFM4" s="59"/>
      <c r="KFN4" s="59"/>
      <c r="KFO4" s="59"/>
      <c r="KFP4" s="59"/>
      <c r="KFQ4" s="59"/>
      <c r="KFR4" s="59"/>
      <c r="KFS4" s="59"/>
      <c r="KFT4" s="59"/>
      <c r="KFU4" s="59"/>
      <c r="KFV4" s="59"/>
      <c r="KFW4" s="59"/>
      <c r="KFX4" s="59"/>
      <c r="KFY4" s="59"/>
      <c r="KFZ4" s="59"/>
      <c r="KGA4" s="59"/>
      <c r="KGB4" s="59"/>
      <c r="KGC4" s="59"/>
      <c r="KGD4" s="59"/>
      <c r="KGE4" s="59"/>
      <c r="KGF4" s="59"/>
      <c r="KGG4" s="59"/>
      <c r="KGH4" s="59"/>
      <c r="KGI4" s="59"/>
      <c r="KGJ4" s="59"/>
      <c r="KGK4" s="59"/>
      <c r="KGL4" s="59"/>
      <c r="KGM4" s="59"/>
      <c r="KGN4" s="59"/>
      <c r="KGO4" s="59"/>
      <c r="KGP4" s="59"/>
      <c r="KGQ4" s="59"/>
      <c r="KGR4" s="59"/>
      <c r="KGS4" s="59"/>
      <c r="KGT4" s="59"/>
      <c r="KGU4" s="59"/>
      <c r="KGV4" s="59"/>
      <c r="KGW4" s="59"/>
      <c r="KGX4" s="59"/>
      <c r="KGY4" s="59"/>
      <c r="KGZ4" s="59"/>
      <c r="KHA4" s="59"/>
      <c r="KHB4" s="59"/>
      <c r="KHC4" s="59"/>
      <c r="KHD4" s="59"/>
      <c r="KHE4" s="59"/>
      <c r="KHF4" s="59"/>
      <c r="KHG4" s="59"/>
      <c r="KHH4" s="59"/>
      <c r="KHI4" s="59"/>
      <c r="KHJ4" s="59"/>
      <c r="KHK4" s="59"/>
      <c r="KHL4" s="59"/>
      <c r="KHM4" s="59"/>
      <c r="KHN4" s="59"/>
      <c r="KHO4" s="59"/>
      <c r="KHP4" s="59"/>
      <c r="KHQ4" s="59"/>
      <c r="KHR4" s="59"/>
      <c r="KHS4" s="59"/>
      <c r="KHT4" s="59"/>
      <c r="KHU4" s="59"/>
      <c r="KHV4" s="59"/>
      <c r="KHW4" s="59"/>
      <c r="KHX4" s="59"/>
      <c r="KHY4" s="59"/>
      <c r="KHZ4" s="59"/>
      <c r="KIA4" s="59"/>
      <c r="KIB4" s="59"/>
      <c r="KIC4" s="59"/>
      <c r="KID4" s="59"/>
      <c r="KIE4" s="59"/>
      <c r="KIF4" s="59"/>
      <c r="KIG4" s="59"/>
      <c r="KIH4" s="59"/>
      <c r="KII4" s="59"/>
      <c r="KIJ4" s="59"/>
      <c r="KIK4" s="59"/>
      <c r="KIL4" s="59"/>
      <c r="KIM4" s="59"/>
      <c r="KIN4" s="59"/>
      <c r="KIO4" s="59"/>
      <c r="KIP4" s="59"/>
      <c r="KIQ4" s="59"/>
      <c r="KIR4" s="59"/>
      <c r="KIS4" s="59"/>
      <c r="KIT4" s="59"/>
      <c r="KIU4" s="59"/>
      <c r="KIV4" s="59"/>
      <c r="KIW4" s="59"/>
      <c r="KIX4" s="59"/>
      <c r="KIY4" s="59"/>
      <c r="KIZ4" s="59"/>
      <c r="KJA4" s="59"/>
      <c r="KJB4" s="59"/>
      <c r="KJC4" s="59"/>
      <c r="KJD4" s="59"/>
      <c r="KJE4" s="59"/>
      <c r="KJF4" s="59"/>
      <c r="KJG4" s="59"/>
      <c r="KJH4" s="59"/>
      <c r="KJI4" s="59"/>
      <c r="KJJ4" s="59"/>
      <c r="KJK4" s="59"/>
      <c r="KJL4" s="59"/>
      <c r="KJM4" s="59"/>
      <c r="KJN4" s="59"/>
      <c r="KJO4" s="59"/>
      <c r="KJP4" s="59"/>
      <c r="KJQ4" s="59"/>
      <c r="KJR4" s="59"/>
      <c r="KJS4" s="59"/>
      <c r="KJT4" s="59"/>
      <c r="KJU4" s="59"/>
      <c r="KJV4" s="59"/>
      <c r="KJW4" s="59"/>
      <c r="KJX4" s="59"/>
      <c r="KJY4" s="59"/>
      <c r="KJZ4" s="59"/>
      <c r="KKA4" s="59"/>
      <c r="KKB4" s="59"/>
      <c r="KKC4" s="59"/>
      <c r="KKD4" s="59"/>
      <c r="KKE4" s="59"/>
      <c r="KKF4" s="59"/>
      <c r="KKG4" s="59"/>
      <c r="KKH4" s="59"/>
      <c r="KKI4" s="59"/>
      <c r="KKJ4" s="59"/>
      <c r="KKK4" s="59"/>
      <c r="KKL4" s="59"/>
      <c r="KKM4" s="59"/>
      <c r="KKN4" s="59"/>
      <c r="KKO4" s="59"/>
      <c r="KKP4" s="59"/>
      <c r="KKQ4" s="59"/>
      <c r="KKR4" s="59"/>
      <c r="KKS4" s="59"/>
      <c r="KKT4" s="59"/>
      <c r="KKU4" s="59"/>
      <c r="KKV4" s="59"/>
      <c r="KKW4" s="59"/>
      <c r="KKX4" s="59"/>
      <c r="KKY4" s="59"/>
      <c r="KKZ4" s="59"/>
      <c r="KLA4" s="59"/>
      <c r="KLB4" s="59"/>
      <c r="KLC4" s="59"/>
      <c r="KLD4" s="59"/>
      <c r="KLE4" s="59"/>
      <c r="KLF4" s="59"/>
      <c r="KLG4" s="59"/>
      <c r="KLH4" s="59"/>
      <c r="KLI4" s="59"/>
      <c r="KLJ4" s="59"/>
      <c r="KLK4" s="59"/>
      <c r="KLL4" s="59"/>
      <c r="KLM4" s="59"/>
      <c r="KLN4" s="59"/>
      <c r="KLO4" s="59"/>
      <c r="KLP4" s="59"/>
      <c r="KLQ4" s="59"/>
      <c r="KLR4" s="59"/>
      <c r="KLS4" s="59"/>
      <c r="KLT4" s="59"/>
      <c r="KLU4" s="59"/>
      <c r="KLV4" s="59"/>
      <c r="KLW4" s="59"/>
      <c r="KLX4" s="59"/>
      <c r="KLY4" s="59"/>
      <c r="KLZ4" s="59"/>
      <c r="KMA4" s="59"/>
      <c r="KMB4" s="59"/>
      <c r="KMC4" s="59"/>
      <c r="KMD4" s="59"/>
      <c r="KME4" s="59"/>
      <c r="KMF4" s="59"/>
      <c r="KMG4" s="59"/>
      <c r="KMH4" s="59"/>
      <c r="KMI4" s="59"/>
      <c r="KMJ4" s="59"/>
      <c r="KMK4" s="59"/>
      <c r="KML4" s="59"/>
      <c r="KMM4" s="59"/>
      <c r="KMN4" s="59"/>
      <c r="KMO4" s="59"/>
      <c r="KMP4" s="59"/>
      <c r="KMQ4" s="59"/>
      <c r="KMR4" s="59"/>
      <c r="KMS4" s="59"/>
      <c r="KMT4" s="59"/>
      <c r="KMU4" s="59"/>
      <c r="KMV4" s="59"/>
      <c r="KMW4" s="59"/>
      <c r="KMX4" s="59"/>
      <c r="KMY4" s="59"/>
      <c r="KMZ4" s="59"/>
      <c r="KNA4" s="59"/>
      <c r="KNB4" s="59"/>
      <c r="KNC4" s="59"/>
      <c r="KND4" s="59"/>
      <c r="KNE4" s="59"/>
      <c r="KNF4" s="59"/>
      <c r="KNG4" s="59"/>
      <c r="KNH4" s="59"/>
      <c r="KNI4" s="59"/>
      <c r="KNJ4" s="59"/>
      <c r="KNK4" s="59"/>
      <c r="KNL4" s="59"/>
      <c r="KNM4" s="59"/>
      <c r="KNN4" s="59"/>
      <c r="KNO4" s="59"/>
      <c r="KNP4" s="59"/>
      <c r="KNQ4" s="59"/>
      <c r="KNR4" s="59"/>
      <c r="KNS4" s="59"/>
      <c r="KNT4" s="59"/>
      <c r="KNU4" s="59"/>
      <c r="KNV4" s="59"/>
      <c r="KNW4" s="59"/>
      <c r="KNX4" s="59"/>
      <c r="KNY4" s="59"/>
      <c r="KNZ4" s="59"/>
      <c r="KOA4" s="59"/>
      <c r="KOB4" s="59"/>
      <c r="KOC4" s="59"/>
      <c r="KOD4" s="59"/>
      <c r="KOE4" s="59"/>
      <c r="KOF4" s="59"/>
      <c r="KOG4" s="59"/>
      <c r="KOH4" s="59"/>
      <c r="KOI4" s="59"/>
      <c r="KOJ4" s="59"/>
      <c r="KOK4" s="59"/>
      <c r="KOL4" s="59"/>
      <c r="KOM4" s="59"/>
      <c r="KON4" s="59"/>
      <c r="KOO4" s="59"/>
      <c r="KOP4" s="59"/>
      <c r="KOQ4" s="59"/>
      <c r="KOR4" s="59"/>
      <c r="KOS4" s="59"/>
      <c r="KOT4" s="59"/>
      <c r="KOU4" s="59"/>
      <c r="KOV4" s="59"/>
      <c r="KOW4" s="59"/>
      <c r="KOX4" s="59"/>
      <c r="KOY4" s="59"/>
      <c r="KOZ4" s="59"/>
      <c r="KPA4" s="59"/>
      <c r="KPB4" s="59"/>
      <c r="KPC4" s="59"/>
      <c r="KPD4" s="59"/>
      <c r="KPE4" s="59"/>
      <c r="KPF4" s="59"/>
      <c r="KPG4" s="59"/>
      <c r="KPH4" s="59"/>
      <c r="KPI4" s="59"/>
      <c r="KPJ4" s="59"/>
      <c r="KPK4" s="59"/>
      <c r="KPL4" s="59"/>
      <c r="KPM4" s="59"/>
      <c r="KPN4" s="59"/>
      <c r="KPO4" s="59"/>
      <c r="KPP4" s="59"/>
      <c r="KPQ4" s="59"/>
      <c r="KPR4" s="59"/>
      <c r="KPS4" s="59"/>
      <c r="KPT4" s="59"/>
      <c r="KPU4" s="59"/>
      <c r="KPV4" s="59"/>
      <c r="KPW4" s="59"/>
      <c r="KPX4" s="59"/>
      <c r="KPY4" s="59"/>
      <c r="KPZ4" s="59"/>
      <c r="KQA4" s="59"/>
      <c r="KQB4" s="59"/>
      <c r="KQC4" s="59"/>
      <c r="KQD4" s="59"/>
      <c r="KQE4" s="59"/>
      <c r="KQF4" s="59"/>
      <c r="KQG4" s="59"/>
      <c r="KQH4" s="59"/>
      <c r="KQI4" s="59"/>
      <c r="KQJ4" s="59"/>
      <c r="KQK4" s="59"/>
      <c r="KQL4" s="59"/>
      <c r="KQM4" s="59"/>
      <c r="KQN4" s="59"/>
      <c r="KQO4" s="59"/>
      <c r="KQP4" s="59"/>
      <c r="KQQ4" s="59"/>
      <c r="KQR4" s="59"/>
      <c r="KQS4" s="59"/>
      <c r="KQT4" s="59"/>
      <c r="KQU4" s="59"/>
      <c r="KQV4" s="59"/>
      <c r="KQW4" s="59"/>
      <c r="KQX4" s="59"/>
      <c r="KQY4" s="59"/>
      <c r="KQZ4" s="59"/>
      <c r="KRA4" s="59"/>
      <c r="KRB4" s="59"/>
      <c r="KRC4" s="59"/>
      <c r="KRD4" s="59"/>
      <c r="KRE4" s="59"/>
      <c r="KRF4" s="59"/>
      <c r="KRG4" s="59"/>
      <c r="KRH4" s="59"/>
      <c r="KRI4" s="59"/>
      <c r="KRJ4" s="59"/>
      <c r="KRK4" s="59"/>
      <c r="KRL4" s="59"/>
      <c r="KRM4" s="59"/>
      <c r="KRN4" s="59"/>
      <c r="KRO4" s="59"/>
      <c r="KRP4" s="59"/>
      <c r="KRQ4" s="59"/>
      <c r="KRR4" s="59"/>
      <c r="KRS4" s="59"/>
      <c r="KRT4" s="59"/>
      <c r="KRU4" s="59"/>
      <c r="KRV4" s="59"/>
      <c r="KRW4" s="59"/>
      <c r="KRX4" s="59"/>
      <c r="KRY4" s="59"/>
      <c r="KRZ4" s="59"/>
      <c r="KSA4" s="59"/>
      <c r="KSB4" s="59"/>
      <c r="KSC4" s="59"/>
      <c r="KSD4" s="59"/>
      <c r="KSE4" s="59"/>
      <c r="KSF4" s="59"/>
      <c r="KSG4" s="59"/>
      <c r="KSH4" s="59"/>
      <c r="KSI4" s="59"/>
      <c r="KSJ4" s="59"/>
      <c r="KSK4" s="59"/>
      <c r="KSL4" s="59"/>
      <c r="KSM4" s="59"/>
      <c r="KSN4" s="59"/>
      <c r="KSO4" s="59"/>
      <c r="KSP4" s="59"/>
      <c r="KSQ4" s="59"/>
      <c r="KSR4" s="59"/>
      <c r="KSS4" s="59"/>
      <c r="KST4" s="59"/>
      <c r="KSU4" s="59"/>
      <c r="KSV4" s="59"/>
      <c r="KSW4" s="59"/>
      <c r="KSX4" s="59"/>
      <c r="KSY4" s="59"/>
      <c r="KSZ4" s="59"/>
      <c r="KTA4" s="59"/>
      <c r="KTB4" s="59"/>
      <c r="KTC4" s="59"/>
      <c r="KTD4" s="59"/>
      <c r="KTE4" s="59"/>
      <c r="KTF4" s="59"/>
      <c r="KTG4" s="59"/>
      <c r="KTH4" s="59"/>
      <c r="KTI4" s="59"/>
      <c r="KTJ4" s="59"/>
      <c r="KTK4" s="59"/>
      <c r="KTL4" s="59"/>
      <c r="KTM4" s="59"/>
      <c r="KTN4" s="59"/>
      <c r="KTO4" s="59"/>
      <c r="KTP4" s="59"/>
      <c r="KTQ4" s="59"/>
      <c r="KTR4" s="59"/>
      <c r="KTS4" s="59"/>
      <c r="KTT4" s="59"/>
      <c r="KTU4" s="59"/>
      <c r="KTV4" s="59"/>
      <c r="KTW4" s="59"/>
      <c r="KTX4" s="59"/>
      <c r="KTY4" s="59"/>
      <c r="KTZ4" s="59"/>
      <c r="KUA4" s="59"/>
      <c r="KUB4" s="59"/>
      <c r="KUC4" s="59"/>
      <c r="KUD4" s="59"/>
      <c r="KUE4" s="59"/>
      <c r="KUF4" s="59"/>
      <c r="KUG4" s="59"/>
      <c r="KUH4" s="59"/>
      <c r="KUI4" s="59"/>
      <c r="KUJ4" s="59"/>
      <c r="KUK4" s="59"/>
      <c r="KUL4" s="59"/>
      <c r="KUM4" s="59"/>
      <c r="KUN4" s="59"/>
      <c r="KUO4" s="59"/>
      <c r="KUP4" s="59"/>
      <c r="KUQ4" s="59"/>
      <c r="KUR4" s="59"/>
      <c r="KUS4" s="59"/>
      <c r="KUT4" s="59"/>
      <c r="KUU4" s="59"/>
      <c r="KUV4" s="59"/>
      <c r="KUW4" s="59"/>
      <c r="KUX4" s="59"/>
      <c r="KUY4" s="59"/>
      <c r="KUZ4" s="59"/>
      <c r="KVA4" s="59"/>
      <c r="KVB4" s="59"/>
      <c r="KVC4" s="59"/>
      <c r="KVD4" s="59"/>
      <c r="KVE4" s="59"/>
      <c r="KVF4" s="59"/>
      <c r="KVG4" s="59"/>
      <c r="KVH4" s="59"/>
      <c r="KVI4" s="59"/>
      <c r="KVJ4" s="59"/>
      <c r="KVK4" s="59"/>
      <c r="KVL4" s="59"/>
      <c r="KVM4" s="59"/>
      <c r="KVN4" s="59"/>
      <c r="KVO4" s="59"/>
      <c r="KVP4" s="59"/>
      <c r="KVQ4" s="59"/>
      <c r="KVR4" s="59"/>
      <c r="KVS4" s="59"/>
      <c r="KVT4" s="59"/>
      <c r="KVU4" s="59"/>
      <c r="KVV4" s="59"/>
      <c r="KVW4" s="59"/>
      <c r="KVX4" s="59"/>
      <c r="KVY4" s="59"/>
      <c r="KVZ4" s="59"/>
      <c r="KWA4" s="59"/>
      <c r="KWB4" s="59"/>
      <c r="KWC4" s="59"/>
      <c r="KWD4" s="59"/>
      <c r="KWE4" s="59"/>
      <c r="KWF4" s="59"/>
      <c r="KWG4" s="59"/>
      <c r="KWH4" s="59"/>
      <c r="KWI4" s="59"/>
      <c r="KWJ4" s="59"/>
      <c r="KWK4" s="59"/>
      <c r="KWL4" s="59"/>
      <c r="KWM4" s="59"/>
      <c r="KWN4" s="59"/>
      <c r="KWO4" s="59"/>
      <c r="KWP4" s="59"/>
      <c r="KWQ4" s="59"/>
      <c r="KWR4" s="59"/>
      <c r="KWS4" s="59"/>
      <c r="KWT4" s="59"/>
      <c r="KWU4" s="59"/>
      <c r="KWV4" s="59"/>
      <c r="KWW4" s="59"/>
      <c r="KWX4" s="59"/>
      <c r="KWY4" s="59"/>
      <c r="KWZ4" s="59"/>
      <c r="KXA4" s="59"/>
      <c r="KXB4" s="59"/>
      <c r="KXC4" s="59"/>
      <c r="KXD4" s="59"/>
      <c r="KXE4" s="59"/>
      <c r="KXF4" s="59"/>
      <c r="KXG4" s="59"/>
      <c r="KXH4" s="59"/>
      <c r="KXI4" s="59"/>
      <c r="KXJ4" s="59"/>
      <c r="KXK4" s="59"/>
      <c r="KXL4" s="59"/>
      <c r="KXM4" s="59"/>
      <c r="KXN4" s="59"/>
      <c r="KXO4" s="59"/>
      <c r="KXP4" s="59"/>
      <c r="KXQ4" s="59"/>
      <c r="KXR4" s="59"/>
      <c r="KXS4" s="59"/>
      <c r="KXT4" s="59"/>
      <c r="KXU4" s="59"/>
      <c r="KXV4" s="59"/>
      <c r="KXW4" s="59"/>
      <c r="KXX4" s="59"/>
      <c r="KXY4" s="59"/>
      <c r="KXZ4" s="59"/>
      <c r="KYA4" s="59"/>
      <c r="KYB4" s="59"/>
      <c r="KYC4" s="59"/>
      <c r="KYD4" s="59"/>
      <c r="KYE4" s="59"/>
      <c r="KYF4" s="59"/>
      <c r="KYG4" s="59"/>
      <c r="KYH4" s="59"/>
      <c r="KYI4" s="59"/>
      <c r="KYJ4" s="59"/>
      <c r="KYK4" s="59"/>
      <c r="KYL4" s="59"/>
      <c r="KYM4" s="59"/>
      <c r="KYN4" s="59"/>
      <c r="KYO4" s="59"/>
      <c r="KYP4" s="59"/>
      <c r="KYQ4" s="59"/>
      <c r="KYR4" s="59"/>
      <c r="KYS4" s="59"/>
      <c r="KYT4" s="59"/>
      <c r="KYU4" s="59"/>
      <c r="KYV4" s="59"/>
      <c r="KYW4" s="59"/>
      <c r="KYX4" s="59"/>
      <c r="KYY4" s="59"/>
      <c r="KYZ4" s="59"/>
      <c r="KZA4" s="59"/>
      <c r="KZB4" s="59"/>
      <c r="KZC4" s="59"/>
      <c r="KZD4" s="59"/>
      <c r="KZE4" s="59"/>
      <c r="KZF4" s="59"/>
      <c r="KZG4" s="59"/>
      <c r="KZH4" s="59"/>
      <c r="KZI4" s="59"/>
      <c r="KZJ4" s="59"/>
      <c r="KZK4" s="59"/>
      <c r="KZL4" s="59"/>
      <c r="KZM4" s="59"/>
      <c r="KZN4" s="59"/>
      <c r="KZO4" s="59"/>
      <c r="KZP4" s="59"/>
      <c r="KZQ4" s="59"/>
      <c r="KZR4" s="59"/>
      <c r="KZS4" s="59"/>
      <c r="KZT4" s="59"/>
      <c r="KZU4" s="59"/>
      <c r="KZV4" s="59"/>
      <c r="KZW4" s="59"/>
      <c r="KZX4" s="59"/>
      <c r="KZY4" s="59"/>
      <c r="KZZ4" s="59"/>
      <c r="LAA4" s="59"/>
      <c r="LAB4" s="59"/>
      <c r="LAC4" s="59"/>
      <c r="LAD4" s="59"/>
      <c r="LAE4" s="59"/>
      <c r="LAF4" s="59"/>
      <c r="LAG4" s="59"/>
      <c r="LAH4" s="59"/>
      <c r="LAI4" s="59"/>
      <c r="LAJ4" s="59"/>
      <c r="LAK4" s="59"/>
      <c r="LAL4" s="59"/>
      <c r="LAM4" s="59"/>
      <c r="LAN4" s="59"/>
      <c r="LAO4" s="59"/>
      <c r="LAP4" s="59"/>
      <c r="LAQ4" s="59"/>
      <c r="LAR4" s="59"/>
      <c r="LAS4" s="59"/>
      <c r="LAT4" s="59"/>
      <c r="LAU4" s="59"/>
      <c r="LAV4" s="59"/>
      <c r="LAW4" s="59"/>
      <c r="LAX4" s="59"/>
      <c r="LAY4" s="59"/>
      <c r="LAZ4" s="59"/>
      <c r="LBA4" s="59"/>
      <c r="LBB4" s="59"/>
      <c r="LBC4" s="59"/>
      <c r="LBD4" s="59"/>
      <c r="LBE4" s="59"/>
      <c r="LBF4" s="59"/>
      <c r="LBG4" s="59"/>
      <c r="LBH4" s="59"/>
      <c r="LBI4" s="59"/>
      <c r="LBJ4" s="59"/>
      <c r="LBK4" s="59"/>
      <c r="LBL4" s="59"/>
      <c r="LBM4" s="59"/>
      <c r="LBN4" s="59"/>
      <c r="LBO4" s="59"/>
      <c r="LBP4" s="59"/>
      <c r="LBQ4" s="59"/>
      <c r="LBR4" s="59"/>
      <c r="LBS4" s="59"/>
      <c r="LBT4" s="59"/>
      <c r="LBU4" s="59"/>
      <c r="LBV4" s="59"/>
      <c r="LBW4" s="59"/>
      <c r="LBX4" s="59"/>
      <c r="LBY4" s="59"/>
      <c r="LBZ4" s="59"/>
      <c r="LCA4" s="59"/>
      <c r="LCB4" s="59"/>
      <c r="LCC4" s="59"/>
      <c r="LCD4" s="59"/>
      <c r="LCE4" s="59"/>
      <c r="LCF4" s="59"/>
      <c r="LCG4" s="59"/>
      <c r="LCH4" s="59"/>
      <c r="LCI4" s="59"/>
      <c r="LCJ4" s="59"/>
      <c r="LCK4" s="59"/>
      <c r="LCL4" s="59"/>
      <c r="LCM4" s="59"/>
      <c r="LCN4" s="59"/>
      <c r="LCO4" s="59"/>
      <c r="LCP4" s="59"/>
      <c r="LCQ4" s="59"/>
      <c r="LCR4" s="59"/>
      <c r="LCS4" s="59"/>
      <c r="LCT4" s="59"/>
      <c r="LCU4" s="59"/>
      <c r="LCV4" s="59"/>
      <c r="LCW4" s="59"/>
      <c r="LCX4" s="59"/>
      <c r="LCY4" s="59"/>
      <c r="LCZ4" s="59"/>
      <c r="LDA4" s="59"/>
      <c r="LDB4" s="59"/>
      <c r="LDC4" s="59"/>
      <c r="LDD4" s="59"/>
      <c r="LDE4" s="59"/>
      <c r="LDF4" s="59"/>
      <c r="LDG4" s="59"/>
      <c r="LDH4" s="59"/>
      <c r="LDI4" s="59"/>
      <c r="LDJ4" s="59"/>
      <c r="LDK4" s="59"/>
      <c r="LDL4" s="59"/>
      <c r="LDM4" s="59"/>
      <c r="LDN4" s="59"/>
      <c r="LDO4" s="59"/>
      <c r="LDP4" s="59"/>
      <c r="LDQ4" s="59"/>
      <c r="LDR4" s="59"/>
      <c r="LDS4" s="59"/>
      <c r="LDT4" s="59"/>
      <c r="LDU4" s="59"/>
      <c r="LDV4" s="59"/>
      <c r="LDW4" s="59"/>
      <c r="LDX4" s="59"/>
      <c r="LDY4" s="59"/>
      <c r="LDZ4" s="59"/>
      <c r="LEA4" s="59"/>
      <c r="LEB4" s="59"/>
      <c r="LEC4" s="59"/>
      <c r="LED4" s="59"/>
      <c r="LEE4" s="59"/>
      <c r="LEF4" s="59"/>
      <c r="LEG4" s="59"/>
      <c r="LEH4" s="59"/>
      <c r="LEI4" s="59"/>
      <c r="LEJ4" s="59"/>
      <c r="LEK4" s="59"/>
      <c r="LEL4" s="59"/>
      <c r="LEM4" s="59"/>
      <c r="LEN4" s="59"/>
      <c r="LEO4" s="59"/>
      <c r="LEP4" s="59"/>
      <c r="LEQ4" s="59"/>
      <c r="LER4" s="59"/>
      <c r="LES4" s="59"/>
      <c r="LET4" s="59"/>
      <c r="LEU4" s="59"/>
      <c r="LEV4" s="59"/>
      <c r="LEW4" s="59"/>
      <c r="LEX4" s="59"/>
      <c r="LEY4" s="59"/>
      <c r="LEZ4" s="59"/>
      <c r="LFA4" s="59"/>
      <c r="LFB4" s="59"/>
      <c r="LFC4" s="59"/>
      <c r="LFD4" s="59"/>
      <c r="LFE4" s="59"/>
      <c r="LFF4" s="59"/>
      <c r="LFG4" s="59"/>
      <c r="LFH4" s="59"/>
      <c r="LFI4" s="59"/>
      <c r="LFJ4" s="59"/>
      <c r="LFK4" s="59"/>
      <c r="LFL4" s="59"/>
      <c r="LFM4" s="59"/>
      <c r="LFN4" s="59"/>
      <c r="LFO4" s="59"/>
      <c r="LFP4" s="59"/>
      <c r="LFQ4" s="59"/>
      <c r="LFR4" s="59"/>
      <c r="LFS4" s="59"/>
      <c r="LFT4" s="59"/>
      <c r="LFU4" s="59"/>
      <c r="LFV4" s="59"/>
      <c r="LFW4" s="59"/>
      <c r="LFX4" s="59"/>
      <c r="LFY4" s="59"/>
      <c r="LFZ4" s="59"/>
      <c r="LGA4" s="59"/>
      <c r="LGB4" s="59"/>
      <c r="LGC4" s="59"/>
      <c r="LGD4" s="59"/>
      <c r="LGE4" s="59"/>
      <c r="LGF4" s="59"/>
      <c r="LGG4" s="59"/>
      <c r="LGH4" s="59"/>
      <c r="LGI4" s="59"/>
      <c r="LGJ4" s="59"/>
      <c r="LGK4" s="59"/>
      <c r="LGL4" s="59"/>
      <c r="LGM4" s="59"/>
      <c r="LGN4" s="59"/>
      <c r="LGO4" s="59"/>
      <c r="LGP4" s="59"/>
      <c r="LGQ4" s="59"/>
      <c r="LGR4" s="59"/>
      <c r="LGS4" s="59"/>
      <c r="LGT4" s="59"/>
      <c r="LGU4" s="59"/>
      <c r="LGV4" s="59"/>
      <c r="LGW4" s="59"/>
      <c r="LGX4" s="59"/>
      <c r="LGY4" s="59"/>
      <c r="LGZ4" s="59"/>
      <c r="LHA4" s="59"/>
      <c r="LHB4" s="59"/>
      <c r="LHC4" s="59"/>
      <c r="LHD4" s="59"/>
      <c r="LHE4" s="59"/>
      <c r="LHF4" s="59"/>
      <c r="LHG4" s="59"/>
      <c r="LHH4" s="59"/>
      <c r="LHI4" s="59"/>
      <c r="LHJ4" s="59"/>
      <c r="LHK4" s="59"/>
      <c r="LHL4" s="59"/>
      <c r="LHM4" s="59"/>
      <c r="LHN4" s="59"/>
      <c r="LHO4" s="59"/>
      <c r="LHP4" s="59"/>
      <c r="LHQ4" s="59"/>
      <c r="LHR4" s="59"/>
      <c r="LHS4" s="59"/>
      <c r="LHT4" s="59"/>
      <c r="LHU4" s="59"/>
      <c r="LHV4" s="59"/>
      <c r="LHW4" s="59"/>
      <c r="LHX4" s="59"/>
      <c r="LHY4" s="59"/>
      <c r="LHZ4" s="59"/>
      <c r="LIA4" s="59"/>
      <c r="LIB4" s="59"/>
      <c r="LIC4" s="59"/>
      <c r="LID4" s="59"/>
      <c r="LIE4" s="59"/>
      <c r="LIF4" s="59"/>
      <c r="LIG4" s="59"/>
      <c r="LIH4" s="59"/>
      <c r="LII4" s="59"/>
      <c r="LIJ4" s="59"/>
      <c r="LIK4" s="59"/>
      <c r="LIL4" s="59"/>
      <c r="LIM4" s="59"/>
      <c r="LIN4" s="59"/>
      <c r="LIO4" s="59"/>
      <c r="LIP4" s="59"/>
      <c r="LIQ4" s="59"/>
      <c r="LIR4" s="59"/>
      <c r="LIS4" s="59"/>
      <c r="LIT4" s="59"/>
      <c r="LIU4" s="59"/>
      <c r="LIV4" s="59"/>
      <c r="LIW4" s="59"/>
      <c r="LIX4" s="59"/>
      <c r="LIY4" s="59"/>
      <c r="LIZ4" s="59"/>
      <c r="LJA4" s="59"/>
      <c r="LJB4" s="59"/>
      <c r="LJC4" s="59"/>
      <c r="LJD4" s="59"/>
      <c r="LJE4" s="59"/>
      <c r="LJF4" s="59"/>
      <c r="LJG4" s="59"/>
      <c r="LJH4" s="59"/>
      <c r="LJI4" s="59"/>
      <c r="LJJ4" s="59"/>
      <c r="LJK4" s="59"/>
      <c r="LJL4" s="59"/>
      <c r="LJM4" s="59"/>
      <c r="LJN4" s="59"/>
      <c r="LJO4" s="59"/>
      <c r="LJP4" s="59"/>
      <c r="LJQ4" s="59"/>
      <c r="LJR4" s="59"/>
      <c r="LJS4" s="59"/>
      <c r="LJT4" s="59"/>
      <c r="LJU4" s="59"/>
      <c r="LJV4" s="59"/>
      <c r="LJW4" s="59"/>
      <c r="LJX4" s="59"/>
      <c r="LJY4" s="59"/>
      <c r="LJZ4" s="59"/>
      <c r="LKA4" s="59"/>
      <c r="LKB4" s="59"/>
      <c r="LKC4" s="59"/>
      <c r="LKD4" s="59"/>
      <c r="LKE4" s="59"/>
      <c r="LKF4" s="59"/>
      <c r="LKG4" s="59"/>
      <c r="LKH4" s="59"/>
      <c r="LKI4" s="59"/>
      <c r="LKJ4" s="59"/>
      <c r="LKK4" s="59"/>
      <c r="LKL4" s="59"/>
      <c r="LKM4" s="59"/>
      <c r="LKN4" s="59"/>
      <c r="LKO4" s="59"/>
      <c r="LKP4" s="59"/>
      <c r="LKQ4" s="59"/>
      <c r="LKR4" s="59"/>
      <c r="LKS4" s="59"/>
      <c r="LKT4" s="59"/>
      <c r="LKU4" s="59"/>
      <c r="LKV4" s="59"/>
      <c r="LKW4" s="59"/>
      <c r="LKX4" s="59"/>
      <c r="LKY4" s="59"/>
      <c r="LKZ4" s="59"/>
      <c r="LLA4" s="59"/>
      <c r="LLB4" s="59"/>
      <c r="LLC4" s="59"/>
      <c r="LLD4" s="59"/>
      <c r="LLE4" s="59"/>
      <c r="LLF4" s="59"/>
      <c r="LLG4" s="59"/>
      <c r="LLH4" s="59"/>
      <c r="LLI4" s="59"/>
      <c r="LLJ4" s="59"/>
      <c r="LLK4" s="59"/>
      <c r="LLL4" s="59"/>
      <c r="LLM4" s="59"/>
      <c r="LLN4" s="59"/>
      <c r="LLO4" s="59"/>
      <c r="LLP4" s="59"/>
      <c r="LLQ4" s="59"/>
      <c r="LLR4" s="59"/>
      <c r="LLS4" s="59"/>
      <c r="LLT4" s="59"/>
      <c r="LLU4" s="59"/>
      <c r="LLV4" s="59"/>
      <c r="LLW4" s="59"/>
      <c r="LLX4" s="59"/>
      <c r="LLY4" s="59"/>
      <c r="LLZ4" s="59"/>
      <c r="LMA4" s="59"/>
      <c r="LMB4" s="59"/>
      <c r="LMC4" s="59"/>
      <c r="LMD4" s="59"/>
      <c r="LME4" s="59"/>
      <c r="LMF4" s="59"/>
      <c r="LMG4" s="59"/>
      <c r="LMH4" s="59"/>
      <c r="LMI4" s="59"/>
      <c r="LMJ4" s="59"/>
      <c r="LMK4" s="59"/>
      <c r="LML4" s="59"/>
      <c r="LMM4" s="59"/>
      <c r="LMN4" s="59"/>
      <c r="LMO4" s="59"/>
      <c r="LMP4" s="59"/>
      <c r="LMQ4" s="59"/>
      <c r="LMR4" s="59"/>
      <c r="LMS4" s="59"/>
      <c r="LMT4" s="59"/>
      <c r="LMU4" s="59"/>
      <c r="LMV4" s="59"/>
      <c r="LMW4" s="59"/>
      <c r="LMX4" s="59"/>
      <c r="LMY4" s="59"/>
      <c r="LMZ4" s="59"/>
      <c r="LNA4" s="59"/>
      <c r="LNB4" s="59"/>
      <c r="LNC4" s="59"/>
      <c r="LND4" s="59"/>
      <c r="LNE4" s="59"/>
      <c r="LNF4" s="59"/>
      <c r="LNG4" s="59"/>
      <c r="LNH4" s="59"/>
      <c r="LNI4" s="59"/>
      <c r="LNJ4" s="59"/>
      <c r="LNK4" s="59"/>
      <c r="LNL4" s="59"/>
      <c r="LNM4" s="59"/>
      <c r="LNN4" s="59"/>
      <c r="LNO4" s="59"/>
      <c r="LNP4" s="59"/>
      <c r="LNQ4" s="59"/>
      <c r="LNR4" s="59"/>
      <c r="LNS4" s="59"/>
      <c r="LNT4" s="59"/>
      <c r="LNU4" s="59"/>
      <c r="LNV4" s="59"/>
      <c r="LNW4" s="59"/>
      <c r="LNX4" s="59"/>
      <c r="LNY4" s="59"/>
      <c r="LNZ4" s="59"/>
      <c r="LOA4" s="59"/>
      <c r="LOB4" s="59"/>
      <c r="LOC4" s="59"/>
      <c r="LOD4" s="59"/>
      <c r="LOE4" s="59"/>
      <c r="LOF4" s="59"/>
      <c r="LOG4" s="59"/>
      <c r="LOH4" s="59"/>
      <c r="LOI4" s="59"/>
      <c r="LOJ4" s="59"/>
      <c r="LOK4" s="59"/>
      <c r="LOL4" s="59"/>
      <c r="LOM4" s="59"/>
      <c r="LON4" s="59"/>
      <c r="LOO4" s="59"/>
      <c r="LOP4" s="59"/>
      <c r="LOQ4" s="59"/>
      <c r="LOR4" s="59"/>
      <c r="LOS4" s="59"/>
      <c r="LOT4" s="59"/>
      <c r="LOU4" s="59"/>
      <c r="LOV4" s="59"/>
      <c r="LOW4" s="59"/>
      <c r="LOX4" s="59"/>
      <c r="LOY4" s="59"/>
      <c r="LOZ4" s="59"/>
      <c r="LPA4" s="59"/>
      <c r="LPB4" s="59"/>
      <c r="LPC4" s="59"/>
      <c r="LPD4" s="59"/>
      <c r="LPE4" s="59"/>
      <c r="LPF4" s="59"/>
      <c r="LPG4" s="59"/>
      <c r="LPH4" s="59"/>
      <c r="LPI4" s="59"/>
      <c r="LPJ4" s="59"/>
      <c r="LPK4" s="59"/>
      <c r="LPL4" s="59"/>
      <c r="LPM4" s="59"/>
      <c r="LPN4" s="59"/>
      <c r="LPO4" s="59"/>
      <c r="LPP4" s="59"/>
      <c r="LPQ4" s="59"/>
      <c r="LPR4" s="59"/>
      <c r="LPS4" s="59"/>
      <c r="LPT4" s="59"/>
      <c r="LPU4" s="59"/>
      <c r="LPV4" s="59"/>
      <c r="LPW4" s="59"/>
      <c r="LPX4" s="59"/>
      <c r="LPY4" s="59"/>
      <c r="LPZ4" s="59"/>
      <c r="LQA4" s="59"/>
      <c r="LQB4" s="59"/>
      <c r="LQC4" s="59"/>
      <c r="LQD4" s="59"/>
      <c r="LQE4" s="59"/>
      <c r="LQF4" s="59"/>
      <c r="LQG4" s="59"/>
      <c r="LQH4" s="59"/>
      <c r="LQI4" s="59"/>
      <c r="LQJ4" s="59"/>
      <c r="LQK4" s="59"/>
      <c r="LQL4" s="59"/>
      <c r="LQM4" s="59"/>
      <c r="LQN4" s="59"/>
      <c r="LQO4" s="59"/>
      <c r="LQP4" s="59"/>
      <c r="LQQ4" s="59"/>
      <c r="LQR4" s="59"/>
      <c r="LQS4" s="59"/>
      <c r="LQT4" s="59"/>
      <c r="LQU4" s="59"/>
      <c r="LQV4" s="59"/>
      <c r="LQW4" s="59"/>
      <c r="LQX4" s="59"/>
      <c r="LQY4" s="59"/>
      <c r="LQZ4" s="59"/>
      <c r="LRA4" s="59"/>
      <c r="LRB4" s="59"/>
      <c r="LRC4" s="59"/>
      <c r="LRD4" s="59"/>
      <c r="LRE4" s="59"/>
      <c r="LRF4" s="59"/>
      <c r="LRG4" s="59"/>
      <c r="LRH4" s="59"/>
      <c r="LRI4" s="59"/>
      <c r="LRJ4" s="59"/>
      <c r="LRK4" s="59"/>
      <c r="LRL4" s="59"/>
      <c r="LRM4" s="59"/>
      <c r="LRN4" s="59"/>
      <c r="LRO4" s="59"/>
      <c r="LRP4" s="59"/>
      <c r="LRQ4" s="59"/>
      <c r="LRR4" s="59"/>
      <c r="LRS4" s="59"/>
      <c r="LRT4" s="59"/>
      <c r="LRU4" s="59"/>
      <c r="LRV4" s="59"/>
      <c r="LRW4" s="59"/>
      <c r="LRX4" s="59"/>
      <c r="LRY4" s="59"/>
      <c r="LRZ4" s="59"/>
      <c r="LSA4" s="59"/>
      <c r="LSB4" s="59"/>
      <c r="LSC4" s="59"/>
      <c r="LSD4" s="59"/>
      <c r="LSE4" s="59"/>
      <c r="LSF4" s="59"/>
      <c r="LSG4" s="59"/>
      <c r="LSH4" s="59"/>
      <c r="LSI4" s="59"/>
      <c r="LSJ4" s="59"/>
      <c r="LSK4" s="59"/>
      <c r="LSL4" s="59"/>
      <c r="LSM4" s="59"/>
      <c r="LSN4" s="59"/>
      <c r="LSO4" s="59"/>
      <c r="LSP4" s="59"/>
      <c r="LSQ4" s="59"/>
      <c r="LSR4" s="59"/>
      <c r="LSS4" s="59"/>
      <c r="LST4" s="59"/>
      <c r="LSU4" s="59"/>
      <c r="LSV4" s="59"/>
      <c r="LSW4" s="59"/>
      <c r="LSX4" s="59"/>
      <c r="LSY4" s="59"/>
      <c r="LSZ4" s="59"/>
      <c r="LTA4" s="59"/>
      <c r="LTB4" s="59"/>
      <c r="LTC4" s="59"/>
      <c r="LTD4" s="59"/>
      <c r="LTE4" s="59"/>
      <c r="LTF4" s="59"/>
      <c r="LTG4" s="59"/>
      <c r="LTH4" s="59"/>
      <c r="LTI4" s="59"/>
      <c r="LTJ4" s="59"/>
      <c r="LTK4" s="59"/>
      <c r="LTL4" s="59"/>
      <c r="LTM4" s="59"/>
      <c r="LTN4" s="59"/>
      <c r="LTO4" s="59"/>
      <c r="LTP4" s="59"/>
      <c r="LTQ4" s="59"/>
      <c r="LTR4" s="59"/>
      <c r="LTS4" s="59"/>
      <c r="LTT4" s="59"/>
      <c r="LTU4" s="59"/>
      <c r="LTV4" s="59"/>
      <c r="LTW4" s="59"/>
      <c r="LTX4" s="59"/>
      <c r="LTY4" s="59"/>
      <c r="LTZ4" s="59"/>
      <c r="LUA4" s="59"/>
      <c r="LUB4" s="59"/>
      <c r="LUC4" s="59"/>
      <c r="LUD4" s="59"/>
      <c r="LUE4" s="59"/>
      <c r="LUF4" s="59"/>
      <c r="LUG4" s="59"/>
      <c r="LUH4" s="59"/>
      <c r="LUI4" s="59"/>
      <c r="LUJ4" s="59"/>
      <c r="LUK4" s="59"/>
      <c r="LUL4" s="59"/>
      <c r="LUM4" s="59"/>
      <c r="LUN4" s="59"/>
      <c r="LUO4" s="59"/>
      <c r="LUP4" s="59"/>
      <c r="LUQ4" s="59"/>
      <c r="LUR4" s="59"/>
      <c r="LUS4" s="59"/>
      <c r="LUT4" s="59"/>
      <c r="LUU4" s="59"/>
      <c r="LUV4" s="59"/>
      <c r="LUW4" s="59"/>
      <c r="LUX4" s="59"/>
      <c r="LUY4" s="59"/>
      <c r="LUZ4" s="59"/>
      <c r="LVA4" s="59"/>
      <c r="LVB4" s="59"/>
      <c r="LVC4" s="59"/>
      <c r="LVD4" s="59"/>
      <c r="LVE4" s="59"/>
      <c r="LVF4" s="59"/>
      <c r="LVG4" s="59"/>
      <c r="LVH4" s="59"/>
      <c r="LVI4" s="59"/>
      <c r="LVJ4" s="59"/>
      <c r="LVK4" s="59"/>
      <c r="LVL4" s="59"/>
      <c r="LVM4" s="59"/>
      <c r="LVN4" s="59"/>
      <c r="LVO4" s="59"/>
      <c r="LVP4" s="59"/>
      <c r="LVQ4" s="59"/>
      <c r="LVR4" s="59"/>
      <c r="LVS4" s="59"/>
      <c r="LVT4" s="59"/>
      <c r="LVU4" s="59"/>
      <c r="LVV4" s="59"/>
      <c r="LVW4" s="59"/>
      <c r="LVX4" s="59"/>
      <c r="LVY4" s="59"/>
      <c r="LVZ4" s="59"/>
      <c r="LWA4" s="59"/>
      <c r="LWB4" s="59"/>
      <c r="LWC4" s="59"/>
      <c r="LWD4" s="59"/>
      <c r="LWE4" s="59"/>
      <c r="LWF4" s="59"/>
      <c r="LWG4" s="59"/>
      <c r="LWH4" s="59"/>
      <c r="LWI4" s="59"/>
      <c r="LWJ4" s="59"/>
      <c r="LWK4" s="59"/>
      <c r="LWL4" s="59"/>
      <c r="LWM4" s="59"/>
      <c r="LWN4" s="59"/>
      <c r="LWO4" s="59"/>
      <c r="LWP4" s="59"/>
      <c r="LWQ4" s="59"/>
      <c r="LWR4" s="59"/>
      <c r="LWS4" s="59"/>
      <c r="LWT4" s="59"/>
      <c r="LWU4" s="59"/>
      <c r="LWV4" s="59"/>
      <c r="LWW4" s="59"/>
      <c r="LWX4" s="59"/>
      <c r="LWY4" s="59"/>
      <c r="LWZ4" s="59"/>
      <c r="LXA4" s="59"/>
      <c r="LXB4" s="59"/>
      <c r="LXC4" s="59"/>
      <c r="LXD4" s="59"/>
      <c r="LXE4" s="59"/>
      <c r="LXF4" s="59"/>
      <c r="LXG4" s="59"/>
      <c r="LXH4" s="59"/>
      <c r="LXI4" s="59"/>
      <c r="LXJ4" s="59"/>
      <c r="LXK4" s="59"/>
      <c r="LXL4" s="59"/>
      <c r="LXM4" s="59"/>
      <c r="LXN4" s="59"/>
      <c r="LXO4" s="59"/>
      <c r="LXP4" s="59"/>
      <c r="LXQ4" s="59"/>
      <c r="LXR4" s="59"/>
      <c r="LXS4" s="59"/>
      <c r="LXT4" s="59"/>
      <c r="LXU4" s="59"/>
      <c r="LXV4" s="59"/>
      <c r="LXW4" s="59"/>
      <c r="LXX4" s="59"/>
      <c r="LXY4" s="59"/>
      <c r="LXZ4" s="59"/>
      <c r="LYA4" s="59"/>
      <c r="LYB4" s="59"/>
      <c r="LYC4" s="59"/>
      <c r="LYD4" s="59"/>
      <c r="LYE4" s="59"/>
      <c r="LYF4" s="59"/>
      <c r="LYG4" s="59"/>
      <c r="LYH4" s="59"/>
      <c r="LYI4" s="59"/>
      <c r="LYJ4" s="59"/>
      <c r="LYK4" s="59"/>
      <c r="LYL4" s="59"/>
      <c r="LYM4" s="59"/>
      <c r="LYN4" s="59"/>
      <c r="LYO4" s="59"/>
      <c r="LYP4" s="59"/>
      <c r="LYQ4" s="59"/>
      <c r="LYR4" s="59"/>
      <c r="LYS4" s="59"/>
      <c r="LYT4" s="59"/>
      <c r="LYU4" s="59"/>
      <c r="LYV4" s="59"/>
      <c r="LYW4" s="59"/>
      <c r="LYX4" s="59"/>
      <c r="LYY4" s="59"/>
      <c r="LYZ4" s="59"/>
      <c r="LZA4" s="59"/>
      <c r="LZB4" s="59"/>
      <c r="LZC4" s="59"/>
      <c r="LZD4" s="59"/>
      <c r="LZE4" s="59"/>
      <c r="LZF4" s="59"/>
      <c r="LZG4" s="59"/>
      <c r="LZH4" s="59"/>
      <c r="LZI4" s="59"/>
      <c r="LZJ4" s="59"/>
      <c r="LZK4" s="59"/>
      <c r="LZL4" s="59"/>
      <c r="LZM4" s="59"/>
      <c r="LZN4" s="59"/>
      <c r="LZO4" s="59"/>
      <c r="LZP4" s="59"/>
      <c r="LZQ4" s="59"/>
      <c r="LZR4" s="59"/>
      <c r="LZS4" s="59"/>
      <c r="LZT4" s="59"/>
      <c r="LZU4" s="59"/>
      <c r="LZV4" s="59"/>
      <c r="LZW4" s="59"/>
      <c r="LZX4" s="59"/>
      <c r="LZY4" s="59"/>
      <c r="LZZ4" s="59"/>
      <c r="MAA4" s="59"/>
      <c r="MAB4" s="59"/>
      <c r="MAC4" s="59"/>
      <c r="MAD4" s="59"/>
      <c r="MAE4" s="59"/>
      <c r="MAF4" s="59"/>
      <c r="MAG4" s="59"/>
      <c r="MAH4" s="59"/>
      <c r="MAI4" s="59"/>
      <c r="MAJ4" s="59"/>
      <c r="MAK4" s="59"/>
      <c r="MAL4" s="59"/>
      <c r="MAM4" s="59"/>
      <c r="MAN4" s="59"/>
      <c r="MAO4" s="59"/>
      <c r="MAP4" s="59"/>
      <c r="MAQ4" s="59"/>
      <c r="MAR4" s="59"/>
      <c r="MAS4" s="59"/>
      <c r="MAT4" s="59"/>
      <c r="MAU4" s="59"/>
      <c r="MAV4" s="59"/>
      <c r="MAW4" s="59"/>
      <c r="MAX4" s="59"/>
      <c r="MAY4" s="59"/>
      <c r="MAZ4" s="59"/>
      <c r="MBA4" s="59"/>
      <c r="MBB4" s="59"/>
      <c r="MBC4" s="59"/>
      <c r="MBD4" s="59"/>
      <c r="MBE4" s="59"/>
      <c r="MBF4" s="59"/>
      <c r="MBG4" s="59"/>
      <c r="MBH4" s="59"/>
      <c r="MBI4" s="59"/>
      <c r="MBJ4" s="59"/>
      <c r="MBK4" s="59"/>
      <c r="MBL4" s="59"/>
      <c r="MBM4" s="59"/>
      <c r="MBN4" s="59"/>
      <c r="MBO4" s="59"/>
      <c r="MBP4" s="59"/>
      <c r="MBQ4" s="59"/>
      <c r="MBR4" s="59"/>
      <c r="MBS4" s="59"/>
      <c r="MBT4" s="59"/>
      <c r="MBU4" s="59"/>
      <c r="MBV4" s="59"/>
      <c r="MBW4" s="59"/>
      <c r="MBX4" s="59"/>
      <c r="MBY4" s="59"/>
      <c r="MBZ4" s="59"/>
      <c r="MCA4" s="59"/>
      <c r="MCB4" s="59"/>
      <c r="MCC4" s="59"/>
      <c r="MCD4" s="59"/>
      <c r="MCE4" s="59"/>
      <c r="MCF4" s="59"/>
      <c r="MCG4" s="59"/>
      <c r="MCH4" s="59"/>
      <c r="MCI4" s="59"/>
      <c r="MCJ4" s="59"/>
      <c r="MCK4" s="59"/>
      <c r="MCL4" s="59"/>
      <c r="MCM4" s="59"/>
      <c r="MCN4" s="59"/>
      <c r="MCO4" s="59"/>
      <c r="MCP4" s="59"/>
      <c r="MCQ4" s="59"/>
      <c r="MCR4" s="59"/>
      <c r="MCS4" s="59"/>
      <c r="MCT4" s="59"/>
      <c r="MCU4" s="59"/>
      <c r="MCV4" s="59"/>
      <c r="MCW4" s="59"/>
      <c r="MCX4" s="59"/>
      <c r="MCY4" s="59"/>
      <c r="MCZ4" s="59"/>
      <c r="MDA4" s="59"/>
      <c r="MDB4" s="59"/>
      <c r="MDC4" s="59"/>
      <c r="MDD4" s="59"/>
      <c r="MDE4" s="59"/>
      <c r="MDF4" s="59"/>
      <c r="MDG4" s="59"/>
      <c r="MDH4" s="59"/>
      <c r="MDI4" s="59"/>
      <c r="MDJ4" s="59"/>
      <c r="MDK4" s="59"/>
      <c r="MDL4" s="59"/>
      <c r="MDM4" s="59"/>
      <c r="MDN4" s="59"/>
      <c r="MDO4" s="59"/>
      <c r="MDP4" s="59"/>
      <c r="MDQ4" s="59"/>
      <c r="MDR4" s="59"/>
      <c r="MDS4" s="59"/>
      <c r="MDT4" s="59"/>
      <c r="MDU4" s="59"/>
      <c r="MDV4" s="59"/>
      <c r="MDW4" s="59"/>
      <c r="MDX4" s="59"/>
      <c r="MDY4" s="59"/>
      <c r="MDZ4" s="59"/>
      <c r="MEA4" s="59"/>
      <c r="MEB4" s="59"/>
      <c r="MEC4" s="59"/>
      <c r="MED4" s="59"/>
      <c r="MEE4" s="59"/>
      <c r="MEF4" s="59"/>
      <c r="MEG4" s="59"/>
      <c r="MEH4" s="59"/>
      <c r="MEI4" s="59"/>
      <c r="MEJ4" s="59"/>
      <c r="MEK4" s="59"/>
      <c r="MEL4" s="59"/>
      <c r="MEM4" s="59"/>
      <c r="MEN4" s="59"/>
      <c r="MEO4" s="59"/>
      <c r="MEP4" s="59"/>
      <c r="MEQ4" s="59"/>
      <c r="MER4" s="59"/>
      <c r="MES4" s="59"/>
      <c r="MET4" s="59"/>
      <c r="MEU4" s="59"/>
      <c r="MEV4" s="59"/>
      <c r="MEW4" s="59"/>
      <c r="MEX4" s="59"/>
      <c r="MEY4" s="59"/>
      <c r="MEZ4" s="59"/>
      <c r="MFA4" s="59"/>
      <c r="MFB4" s="59"/>
      <c r="MFC4" s="59"/>
      <c r="MFD4" s="59"/>
      <c r="MFE4" s="59"/>
      <c r="MFF4" s="59"/>
      <c r="MFG4" s="59"/>
      <c r="MFH4" s="59"/>
      <c r="MFI4" s="59"/>
      <c r="MFJ4" s="59"/>
      <c r="MFK4" s="59"/>
      <c r="MFL4" s="59"/>
      <c r="MFM4" s="59"/>
      <c r="MFN4" s="59"/>
      <c r="MFO4" s="59"/>
      <c r="MFP4" s="59"/>
      <c r="MFQ4" s="59"/>
      <c r="MFR4" s="59"/>
      <c r="MFS4" s="59"/>
      <c r="MFT4" s="59"/>
      <c r="MFU4" s="59"/>
      <c r="MFV4" s="59"/>
      <c r="MFW4" s="59"/>
      <c r="MFX4" s="59"/>
      <c r="MFY4" s="59"/>
      <c r="MFZ4" s="59"/>
      <c r="MGA4" s="59"/>
      <c r="MGB4" s="59"/>
      <c r="MGC4" s="59"/>
      <c r="MGD4" s="59"/>
      <c r="MGE4" s="59"/>
      <c r="MGF4" s="59"/>
      <c r="MGG4" s="59"/>
      <c r="MGH4" s="59"/>
      <c r="MGI4" s="59"/>
      <c r="MGJ4" s="59"/>
      <c r="MGK4" s="59"/>
      <c r="MGL4" s="59"/>
      <c r="MGM4" s="59"/>
      <c r="MGN4" s="59"/>
      <c r="MGO4" s="59"/>
      <c r="MGP4" s="59"/>
      <c r="MGQ4" s="59"/>
      <c r="MGR4" s="59"/>
      <c r="MGS4" s="59"/>
      <c r="MGT4" s="59"/>
      <c r="MGU4" s="59"/>
      <c r="MGV4" s="59"/>
      <c r="MGW4" s="59"/>
      <c r="MGX4" s="59"/>
      <c r="MGY4" s="59"/>
      <c r="MGZ4" s="59"/>
      <c r="MHA4" s="59"/>
      <c r="MHB4" s="59"/>
      <c r="MHC4" s="59"/>
      <c r="MHD4" s="59"/>
      <c r="MHE4" s="59"/>
      <c r="MHF4" s="59"/>
      <c r="MHG4" s="59"/>
      <c r="MHH4" s="59"/>
      <c r="MHI4" s="59"/>
      <c r="MHJ4" s="59"/>
      <c r="MHK4" s="59"/>
      <c r="MHL4" s="59"/>
      <c r="MHM4" s="59"/>
      <c r="MHN4" s="59"/>
      <c r="MHO4" s="59"/>
      <c r="MHP4" s="59"/>
      <c r="MHQ4" s="59"/>
      <c r="MHR4" s="59"/>
      <c r="MHS4" s="59"/>
      <c r="MHT4" s="59"/>
      <c r="MHU4" s="59"/>
      <c r="MHV4" s="59"/>
      <c r="MHW4" s="59"/>
      <c r="MHX4" s="59"/>
      <c r="MHY4" s="59"/>
      <c r="MHZ4" s="59"/>
      <c r="MIA4" s="59"/>
      <c r="MIB4" s="59"/>
      <c r="MIC4" s="59"/>
      <c r="MID4" s="59"/>
      <c r="MIE4" s="59"/>
      <c r="MIF4" s="59"/>
      <c r="MIG4" s="59"/>
      <c r="MIH4" s="59"/>
      <c r="MII4" s="59"/>
      <c r="MIJ4" s="59"/>
      <c r="MIK4" s="59"/>
      <c r="MIL4" s="59"/>
      <c r="MIM4" s="59"/>
      <c r="MIN4" s="59"/>
      <c r="MIO4" s="59"/>
      <c r="MIP4" s="59"/>
      <c r="MIQ4" s="59"/>
      <c r="MIR4" s="59"/>
      <c r="MIS4" s="59"/>
      <c r="MIT4" s="59"/>
      <c r="MIU4" s="59"/>
      <c r="MIV4" s="59"/>
      <c r="MIW4" s="59"/>
      <c r="MIX4" s="59"/>
      <c r="MIY4" s="59"/>
      <c r="MIZ4" s="59"/>
      <c r="MJA4" s="59"/>
      <c r="MJB4" s="59"/>
      <c r="MJC4" s="59"/>
      <c r="MJD4" s="59"/>
      <c r="MJE4" s="59"/>
      <c r="MJF4" s="59"/>
      <c r="MJG4" s="59"/>
      <c r="MJH4" s="59"/>
      <c r="MJI4" s="59"/>
      <c r="MJJ4" s="59"/>
      <c r="MJK4" s="59"/>
      <c r="MJL4" s="59"/>
      <c r="MJM4" s="59"/>
      <c r="MJN4" s="59"/>
      <c r="MJO4" s="59"/>
      <c r="MJP4" s="59"/>
      <c r="MJQ4" s="59"/>
      <c r="MJR4" s="59"/>
      <c r="MJS4" s="59"/>
      <c r="MJT4" s="59"/>
      <c r="MJU4" s="59"/>
      <c r="MJV4" s="59"/>
      <c r="MJW4" s="59"/>
      <c r="MJX4" s="59"/>
      <c r="MJY4" s="59"/>
      <c r="MJZ4" s="59"/>
      <c r="MKA4" s="59"/>
      <c r="MKB4" s="59"/>
      <c r="MKC4" s="59"/>
      <c r="MKD4" s="59"/>
      <c r="MKE4" s="59"/>
      <c r="MKF4" s="59"/>
      <c r="MKG4" s="59"/>
      <c r="MKH4" s="59"/>
      <c r="MKI4" s="59"/>
      <c r="MKJ4" s="59"/>
      <c r="MKK4" s="59"/>
      <c r="MKL4" s="59"/>
      <c r="MKM4" s="59"/>
      <c r="MKN4" s="59"/>
      <c r="MKO4" s="59"/>
      <c r="MKP4" s="59"/>
      <c r="MKQ4" s="59"/>
      <c r="MKR4" s="59"/>
      <c r="MKS4" s="59"/>
      <c r="MKT4" s="59"/>
      <c r="MKU4" s="59"/>
      <c r="MKV4" s="59"/>
      <c r="MKW4" s="59"/>
      <c r="MKX4" s="59"/>
      <c r="MKY4" s="59"/>
      <c r="MKZ4" s="59"/>
      <c r="MLA4" s="59"/>
      <c r="MLB4" s="59"/>
      <c r="MLC4" s="59"/>
      <c r="MLD4" s="59"/>
      <c r="MLE4" s="59"/>
      <c r="MLF4" s="59"/>
      <c r="MLG4" s="59"/>
      <c r="MLH4" s="59"/>
      <c r="MLI4" s="59"/>
      <c r="MLJ4" s="59"/>
      <c r="MLK4" s="59"/>
      <c r="MLL4" s="59"/>
      <c r="MLM4" s="59"/>
      <c r="MLN4" s="59"/>
      <c r="MLO4" s="59"/>
      <c r="MLP4" s="59"/>
      <c r="MLQ4" s="59"/>
      <c r="MLR4" s="59"/>
      <c r="MLS4" s="59"/>
      <c r="MLT4" s="59"/>
      <c r="MLU4" s="59"/>
      <c r="MLV4" s="59"/>
      <c r="MLW4" s="59"/>
      <c r="MLX4" s="59"/>
      <c r="MLY4" s="59"/>
      <c r="MLZ4" s="59"/>
      <c r="MMA4" s="59"/>
      <c r="MMB4" s="59"/>
      <c r="MMC4" s="59"/>
      <c r="MMD4" s="59"/>
      <c r="MME4" s="59"/>
      <c r="MMF4" s="59"/>
      <c r="MMG4" s="59"/>
      <c r="MMH4" s="59"/>
      <c r="MMI4" s="59"/>
      <c r="MMJ4" s="59"/>
      <c r="MMK4" s="59"/>
      <c r="MML4" s="59"/>
      <c r="MMM4" s="59"/>
      <c r="MMN4" s="59"/>
      <c r="MMO4" s="59"/>
      <c r="MMP4" s="59"/>
      <c r="MMQ4" s="59"/>
      <c r="MMR4" s="59"/>
      <c r="MMS4" s="59"/>
      <c r="MMT4" s="59"/>
      <c r="MMU4" s="59"/>
      <c r="MMV4" s="59"/>
      <c r="MMW4" s="59"/>
      <c r="MMX4" s="59"/>
      <c r="MMY4" s="59"/>
      <c r="MMZ4" s="59"/>
      <c r="MNA4" s="59"/>
      <c r="MNB4" s="59"/>
      <c r="MNC4" s="59"/>
      <c r="MND4" s="59"/>
      <c r="MNE4" s="59"/>
      <c r="MNF4" s="59"/>
      <c r="MNG4" s="59"/>
      <c r="MNH4" s="59"/>
      <c r="MNI4" s="59"/>
      <c r="MNJ4" s="59"/>
      <c r="MNK4" s="59"/>
      <c r="MNL4" s="59"/>
      <c r="MNM4" s="59"/>
      <c r="MNN4" s="59"/>
      <c r="MNO4" s="59"/>
      <c r="MNP4" s="59"/>
      <c r="MNQ4" s="59"/>
      <c r="MNR4" s="59"/>
      <c r="MNS4" s="59"/>
      <c r="MNT4" s="59"/>
      <c r="MNU4" s="59"/>
      <c r="MNV4" s="59"/>
      <c r="MNW4" s="59"/>
      <c r="MNX4" s="59"/>
      <c r="MNY4" s="59"/>
      <c r="MNZ4" s="59"/>
      <c r="MOA4" s="59"/>
      <c r="MOB4" s="59"/>
      <c r="MOC4" s="59"/>
      <c r="MOD4" s="59"/>
      <c r="MOE4" s="59"/>
      <c r="MOF4" s="59"/>
      <c r="MOG4" s="59"/>
      <c r="MOH4" s="59"/>
      <c r="MOI4" s="59"/>
      <c r="MOJ4" s="59"/>
      <c r="MOK4" s="59"/>
      <c r="MOL4" s="59"/>
      <c r="MOM4" s="59"/>
      <c r="MON4" s="59"/>
      <c r="MOO4" s="59"/>
      <c r="MOP4" s="59"/>
      <c r="MOQ4" s="59"/>
      <c r="MOR4" s="59"/>
      <c r="MOS4" s="59"/>
      <c r="MOT4" s="59"/>
      <c r="MOU4" s="59"/>
      <c r="MOV4" s="59"/>
      <c r="MOW4" s="59"/>
      <c r="MOX4" s="59"/>
      <c r="MOY4" s="59"/>
      <c r="MOZ4" s="59"/>
      <c r="MPA4" s="59"/>
      <c r="MPB4" s="59"/>
      <c r="MPC4" s="59"/>
      <c r="MPD4" s="59"/>
      <c r="MPE4" s="59"/>
      <c r="MPF4" s="59"/>
      <c r="MPG4" s="59"/>
      <c r="MPH4" s="59"/>
      <c r="MPI4" s="59"/>
      <c r="MPJ4" s="59"/>
      <c r="MPK4" s="59"/>
      <c r="MPL4" s="59"/>
      <c r="MPM4" s="59"/>
      <c r="MPN4" s="59"/>
      <c r="MPO4" s="59"/>
      <c r="MPP4" s="59"/>
      <c r="MPQ4" s="59"/>
      <c r="MPR4" s="59"/>
      <c r="MPS4" s="59"/>
      <c r="MPT4" s="59"/>
      <c r="MPU4" s="59"/>
      <c r="MPV4" s="59"/>
      <c r="MPW4" s="59"/>
      <c r="MPX4" s="59"/>
      <c r="MPY4" s="59"/>
      <c r="MPZ4" s="59"/>
      <c r="MQA4" s="59"/>
      <c r="MQB4" s="59"/>
      <c r="MQC4" s="59"/>
      <c r="MQD4" s="59"/>
      <c r="MQE4" s="59"/>
      <c r="MQF4" s="59"/>
      <c r="MQG4" s="59"/>
      <c r="MQH4" s="59"/>
      <c r="MQI4" s="59"/>
      <c r="MQJ4" s="59"/>
      <c r="MQK4" s="59"/>
      <c r="MQL4" s="59"/>
      <c r="MQM4" s="59"/>
      <c r="MQN4" s="59"/>
      <c r="MQO4" s="59"/>
      <c r="MQP4" s="59"/>
      <c r="MQQ4" s="59"/>
      <c r="MQR4" s="59"/>
      <c r="MQS4" s="59"/>
      <c r="MQT4" s="59"/>
      <c r="MQU4" s="59"/>
      <c r="MQV4" s="59"/>
      <c r="MQW4" s="59"/>
      <c r="MQX4" s="59"/>
      <c r="MQY4" s="59"/>
      <c r="MQZ4" s="59"/>
      <c r="MRA4" s="59"/>
      <c r="MRB4" s="59"/>
      <c r="MRC4" s="59"/>
      <c r="MRD4" s="59"/>
      <c r="MRE4" s="59"/>
      <c r="MRF4" s="59"/>
      <c r="MRG4" s="59"/>
      <c r="MRH4" s="59"/>
      <c r="MRI4" s="59"/>
      <c r="MRJ4" s="59"/>
      <c r="MRK4" s="59"/>
      <c r="MRL4" s="59"/>
      <c r="MRM4" s="59"/>
      <c r="MRN4" s="59"/>
      <c r="MRO4" s="59"/>
      <c r="MRP4" s="59"/>
      <c r="MRQ4" s="59"/>
      <c r="MRR4" s="59"/>
      <c r="MRS4" s="59"/>
      <c r="MRT4" s="59"/>
      <c r="MRU4" s="59"/>
      <c r="MRV4" s="59"/>
      <c r="MRW4" s="59"/>
      <c r="MRX4" s="59"/>
      <c r="MRY4" s="59"/>
      <c r="MRZ4" s="59"/>
      <c r="MSA4" s="59"/>
      <c r="MSB4" s="59"/>
      <c r="MSC4" s="59"/>
      <c r="MSD4" s="59"/>
      <c r="MSE4" s="59"/>
      <c r="MSF4" s="59"/>
      <c r="MSG4" s="59"/>
      <c r="MSH4" s="59"/>
      <c r="MSI4" s="59"/>
      <c r="MSJ4" s="59"/>
      <c r="MSK4" s="59"/>
      <c r="MSL4" s="59"/>
      <c r="MSM4" s="59"/>
      <c r="MSN4" s="59"/>
      <c r="MSO4" s="59"/>
      <c r="MSP4" s="59"/>
      <c r="MSQ4" s="59"/>
      <c r="MSR4" s="59"/>
      <c r="MSS4" s="59"/>
      <c r="MST4" s="59"/>
      <c r="MSU4" s="59"/>
      <c r="MSV4" s="59"/>
      <c r="MSW4" s="59"/>
      <c r="MSX4" s="59"/>
      <c r="MSY4" s="59"/>
      <c r="MSZ4" s="59"/>
      <c r="MTA4" s="59"/>
      <c r="MTB4" s="59"/>
      <c r="MTC4" s="59"/>
      <c r="MTD4" s="59"/>
      <c r="MTE4" s="59"/>
      <c r="MTF4" s="59"/>
      <c r="MTG4" s="59"/>
      <c r="MTH4" s="59"/>
      <c r="MTI4" s="59"/>
      <c r="MTJ4" s="59"/>
      <c r="MTK4" s="59"/>
      <c r="MTL4" s="59"/>
      <c r="MTM4" s="59"/>
      <c r="MTN4" s="59"/>
      <c r="MTO4" s="59"/>
      <c r="MTP4" s="59"/>
      <c r="MTQ4" s="59"/>
      <c r="MTR4" s="59"/>
      <c r="MTS4" s="59"/>
      <c r="MTT4" s="59"/>
      <c r="MTU4" s="59"/>
      <c r="MTV4" s="59"/>
      <c r="MTW4" s="59"/>
      <c r="MTX4" s="59"/>
      <c r="MTY4" s="59"/>
      <c r="MTZ4" s="59"/>
      <c r="MUA4" s="59"/>
      <c r="MUB4" s="59"/>
      <c r="MUC4" s="59"/>
      <c r="MUD4" s="59"/>
      <c r="MUE4" s="59"/>
      <c r="MUF4" s="59"/>
      <c r="MUG4" s="59"/>
      <c r="MUH4" s="59"/>
      <c r="MUI4" s="59"/>
      <c r="MUJ4" s="59"/>
      <c r="MUK4" s="59"/>
      <c r="MUL4" s="59"/>
      <c r="MUM4" s="59"/>
      <c r="MUN4" s="59"/>
      <c r="MUO4" s="59"/>
      <c r="MUP4" s="59"/>
      <c r="MUQ4" s="59"/>
      <c r="MUR4" s="59"/>
      <c r="MUS4" s="59"/>
      <c r="MUT4" s="59"/>
      <c r="MUU4" s="59"/>
      <c r="MUV4" s="59"/>
      <c r="MUW4" s="59"/>
      <c r="MUX4" s="59"/>
      <c r="MUY4" s="59"/>
      <c r="MUZ4" s="59"/>
      <c r="MVA4" s="59"/>
      <c r="MVB4" s="59"/>
      <c r="MVC4" s="59"/>
      <c r="MVD4" s="59"/>
      <c r="MVE4" s="59"/>
      <c r="MVF4" s="59"/>
      <c r="MVG4" s="59"/>
      <c r="MVH4" s="59"/>
      <c r="MVI4" s="59"/>
      <c r="MVJ4" s="59"/>
      <c r="MVK4" s="59"/>
      <c r="MVL4" s="59"/>
      <c r="MVM4" s="59"/>
      <c r="MVN4" s="59"/>
      <c r="MVO4" s="59"/>
      <c r="MVP4" s="59"/>
      <c r="MVQ4" s="59"/>
      <c r="MVR4" s="59"/>
      <c r="MVS4" s="59"/>
      <c r="MVT4" s="59"/>
      <c r="MVU4" s="59"/>
      <c r="MVV4" s="59"/>
      <c r="MVW4" s="59"/>
      <c r="MVX4" s="59"/>
      <c r="MVY4" s="59"/>
      <c r="MVZ4" s="59"/>
      <c r="MWA4" s="59"/>
      <c r="MWB4" s="59"/>
      <c r="MWC4" s="59"/>
      <c r="MWD4" s="59"/>
      <c r="MWE4" s="59"/>
      <c r="MWF4" s="59"/>
      <c r="MWG4" s="59"/>
      <c r="MWH4" s="59"/>
      <c r="MWI4" s="59"/>
      <c r="MWJ4" s="59"/>
      <c r="MWK4" s="59"/>
      <c r="MWL4" s="59"/>
      <c r="MWM4" s="59"/>
      <c r="MWN4" s="59"/>
      <c r="MWO4" s="59"/>
      <c r="MWP4" s="59"/>
      <c r="MWQ4" s="59"/>
      <c r="MWR4" s="59"/>
      <c r="MWS4" s="59"/>
      <c r="MWT4" s="59"/>
      <c r="MWU4" s="59"/>
      <c r="MWV4" s="59"/>
      <c r="MWW4" s="59"/>
      <c r="MWX4" s="59"/>
      <c r="MWY4" s="59"/>
      <c r="MWZ4" s="59"/>
      <c r="MXA4" s="59"/>
      <c r="MXB4" s="59"/>
      <c r="MXC4" s="59"/>
      <c r="MXD4" s="59"/>
      <c r="MXE4" s="59"/>
      <c r="MXF4" s="59"/>
      <c r="MXG4" s="59"/>
      <c r="MXH4" s="59"/>
      <c r="MXI4" s="59"/>
      <c r="MXJ4" s="59"/>
      <c r="MXK4" s="59"/>
      <c r="MXL4" s="59"/>
      <c r="MXM4" s="59"/>
      <c r="MXN4" s="59"/>
      <c r="MXO4" s="59"/>
      <c r="MXP4" s="59"/>
      <c r="MXQ4" s="59"/>
      <c r="MXR4" s="59"/>
      <c r="MXS4" s="59"/>
      <c r="MXT4" s="59"/>
      <c r="MXU4" s="59"/>
      <c r="MXV4" s="59"/>
      <c r="MXW4" s="59"/>
      <c r="MXX4" s="59"/>
      <c r="MXY4" s="59"/>
      <c r="MXZ4" s="59"/>
      <c r="MYA4" s="59"/>
      <c r="MYB4" s="59"/>
      <c r="MYC4" s="59"/>
      <c r="MYD4" s="59"/>
      <c r="MYE4" s="59"/>
      <c r="MYF4" s="59"/>
      <c r="MYG4" s="59"/>
      <c r="MYH4" s="59"/>
      <c r="MYI4" s="59"/>
      <c r="MYJ4" s="59"/>
      <c r="MYK4" s="59"/>
      <c r="MYL4" s="59"/>
      <c r="MYM4" s="59"/>
      <c r="MYN4" s="59"/>
      <c r="MYO4" s="59"/>
      <c r="MYP4" s="59"/>
      <c r="MYQ4" s="59"/>
      <c r="MYR4" s="59"/>
      <c r="MYS4" s="59"/>
      <c r="MYT4" s="59"/>
      <c r="MYU4" s="59"/>
      <c r="MYV4" s="59"/>
      <c r="MYW4" s="59"/>
      <c r="MYX4" s="59"/>
      <c r="MYY4" s="59"/>
      <c r="MYZ4" s="59"/>
      <c r="MZA4" s="59"/>
      <c r="MZB4" s="59"/>
      <c r="MZC4" s="59"/>
      <c r="MZD4" s="59"/>
      <c r="MZE4" s="59"/>
      <c r="MZF4" s="59"/>
      <c r="MZG4" s="59"/>
      <c r="MZH4" s="59"/>
      <c r="MZI4" s="59"/>
      <c r="MZJ4" s="59"/>
      <c r="MZK4" s="59"/>
      <c r="MZL4" s="59"/>
      <c r="MZM4" s="59"/>
      <c r="MZN4" s="59"/>
      <c r="MZO4" s="59"/>
      <c r="MZP4" s="59"/>
      <c r="MZQ4" s="59"/>
      <c r="MZR4" s="59"/>
      <c r="MZS4" s="59"/>
      <c r="MZT4" s="59"/>
      <c r="MZU4" s="59"/>
      <c r="MZV4" s="59"/>
      <c r="MZW4" s="59"/>
      <c r="MZX4" s="59"/>
      <c r="MZY4" s="59"/>
      <c r="MZZ4" s="59"/>
      <c r="NAA4" s="59"/>
      <c r="NAB4" s="59"/>
      <c r="NAC4" s="59"/>
      <c r="NAD4" s="59"/>
      <c r="NAE4" s="59"/>
      <c r="NAF4" s="59"/>
      <c r="NAG4" s="59"/>
      <c r="NAH4" s="59"/>
      <c r="NAI4" s="59"/>
      <c r="NAJ4" s="59"/>
      <c r="NAK4" s="59"/>
      <c r="NAL4" s="59"/>
      <c r="NAM4" s="59"/>
      <c r="NAN4" s="59"/>
      <c r="NAO4" s="59"/>
      <c r="NAP4" s="59"/>
      <c r="NAQ4" s="59"/>
      <c r="NAR4" s="59"/>
      <c r="NAS4" s="59"/>
      <c r="NAT4" s="59"/>
      <c r="NAU4" s="59"/>
      <c r="NAV4" s="59"/>
      <c r="NAW4" s="59"/>
      <c r="NAX4" s="59"/>
      <c r="NAY4" s="59"/>
      <c r="NAZ4" s="59"/>
      <c r="NBA4" s="59"/>
      <c r="NBB4" s="59"/>
      <c r="NBC4" s="59"/>
      <c r="NBD4" s="59"/>
      <c r="NBE4" s="59"/>
      <c r="NBF4" s="59"/>
      <c r="NBG4" s="59"/>
      <c r="NBH4" s="59"/>
      <c r="NBI4" s="59"/>
      <c r="NBJ4" s="59"/>
      <c r="NBK4" s="59"/>
      <c r="NBL4" s="59"/>
      <c r="NBM4" s="59"/>
      <c r="NBN4" s="59"/>
      <c r="NBO4" s="59"/>
      <c r="NBP4" s="59"/>
      <c r="NBQ4" s="59"/>
      <c r="NBR4" s="59"/>
      <c r="NBS4" s="59"/>
      <c r="NBT4" s="59"/>
      <c r="NBU4" s="59"/>
      <c r="NBV4" s="59"/>
      <c r="NBW4" s="59"/>
      <c r="NBX4" s="59"/>
      <c r="NBY4" s="59"/>
      <c r="NBZ4" s="59"/>
      <c r="NCA4" s="59"/>
      <c r="NCB4" s="59"/>
      <c r="NCC4" s="59"/>
      <c r="NCD4" s="59"/>
      <c r="NCE4" s="59"/>
      <c r="NCF4" s="59"/>
      <c r="NCG4" s="59"/>
      <c r="NCH4" s="59"/>
      <c r="NCI4" s="59"/>
      <c r="NCJ4" s="59"/>
      <c r="NCK4" s="59"/>
      <c r="NCL4" s="59"/>
      <c r="NCM4" s="59"/>
      <c r="NCN4" s="59"/>
      <c r="NCO4" s="59"/>
      <c r="NCP4" s="59"/>
      <c r="NCQ4" s="59"/>
      <c r="NCR4" s="59"/>
      <c r="NCS4" s="59"/>
      <c r="NCT4" s="59"/>
      <c r="NCU4" s="59"/>
      <c r="NCV4" s="59"/>
      <c r="NCW4" s="59"/>
      <c r="NCX4" s="59"/>
      <c r="NCY4" s="59"/>
      <c r="NCZ4" s="59"/>
      <c r="NDA4" s="59"/>
      <c r="NDB4" s="59"/>
      <c r="NDC4" s="59"/>
      <c r="NDD4" s="59"/>
      <c r="NDE4" s="59"/>
      <c r="NDF4" s="59"/>
      <c r="NDG4" s="59"/>
      <c r="NDH4" s="59"/>
      <c r="NDI4" s="59"/>
      <c r="NDJ4" s="59"/>
      <c r="NDK4" s="59"/>
      <c r="NDL4" s="59"/>
      <c r="NDM4" s="59"/>
      <c r="NDN4" s="59"/>
      <c r="NDO4" s="59"/>
      <c r="NDP4" s="59"/>
      <c r="NDQ4" s="59"/>
      <c r="NDR4" s="59"/>
      <c r="NDS4" s="59"/>
      <c r="NDT4" s="59"/>
      <c r="NDU4" s="59"/>
      <c r="NDV4" s="59"/>
      <c r="NDW4" s="59"/>
      <c r="NDX4" s="59"/>
      <c r="NDY4" s="59"/>
      <c r="NDZ4" s="59"/>
      <c r="NEA4" s="59"/>
      <c r="NEB4" s="59"/>
      <c r="NEC4" s="59"/>
      <c r="NED4" s="59"/>
      <c r="NEE4" s="59"/>
      <c r="NEF4" s="59"/>
      <c r="NEG4" s="59"/>
      <c r="NEH4" s="59"/>
      <c r="NEI4" s="59"/>
      <c r="NEJ4" s="59"/>
      <c r="NEK4" s="59"/>
      <c r="NEL4" s="59"/>
      <c r="NEM4" s="59"/>
      <c r="NEN4" s="59"/>
      <c r="NEO4" s="59"/>
      <c r="NEP4" s="59"/>
      <c r="NEQ4" s="59"/>
      <c r="NER4" s="59"/>
      <c r="NES4" s="59"/>
      <c r="NET4" s="59"/>
      <c r="NEU4" s="59"/>
      <c r="NEV4" s="59"/>
      <c r="NEW4" s="59"/>
      <c r="NEX4" s="59"/>
      <c r="NEY4" s="59"/>
      <c r="NEZ4" s="59"/>
      <c r="NFA4" s="59"/>
      <c r="NFB4" s="59"/>
      <c r="NFC4" s="59"/>
      <c r="NFD4" s="59"/>
      <c r="NFE4" s="59"/>
      <c r="NFF4" s="59"/>
      <c r="NFG4" s="59"/>
      <c r="NFH4" s="59"/>
      <c r="NFI4" s="59"/>
      <c r="NFJ4" s="59"/>
      <c r="NFK4" s="59"/>
      <c r="NFL4" s="59"/>
      <c r="NFM4" s="59"/>
      <c r="NFN4" s="59"/>
      <c r="NFO4" s="59"/>
      <c r="NFP4" s="59"/>
      <c r="NFQ4" s="59"/>
      <c r="NFR4" s="59"/>
      <c r="NFS4" s="59"/>
      <c r="NFT4" s="59"/>
      <c r="NFU4" s="59"/>
      <c r="NFV4" s="59"/>
      <c r="NFW4" s="59"/>
      <c r="NFX4" s="59"/>
      <c r="NFY4" s="59"/>
      <c r="NFZ4" s="59"/>
      <c r="NGA4" s="59"/>
      <c r="NGB4" s="59"/>
      <c r="NGC4" s="59"/>
      <c r="NGD4" s="59"/>
      <c r="NGE4" s="59"/>
      <c r="NGF4" s="59"/>
      <c r="NGG4" s="59"/>
      <c r="NGH4" s="59"/>
      <c r="NGI4" s="59"/>
      <c r="NGJ4" s="59"/>
      <c r="NGK4" s="59"/>
      <c r="NGL4" s="59"/>
      <c r="NGM4" s="59"/>
      <c r="NGN4" s="59"/>
      <c r="NGO4" s="59"/>
      <c r="NGP4" s="59"/>
      <c r="NGQ4" s="59"/>
      <c r="NGR4" s="59"/>
      <c r="NGS4" s="59"/>
      <c r="NGT4" s="59"/>
      <c r="NGU4" s="59"/>
      <c r="NGV4" s="59"/>
      <c r="NGW4" s="59"/>
      <c r="NGX4" s="59"/>
      <c r="NGY4" s="59"/>
      <c r="NGZ4" s="59"/>
      <c r="NHA4" s="59"/>
      <c r="NHB4" s="59"/>
      <c r="NHC4" s="59"/>
      <c r="NHD4" s="59"/>
      <c r="NHE4" s="59"/>
      <c r="NHF4" s="59"/>
      <c r="NHG4" s="59"/>
      <c r="NHH4" s="59"/>
      <c r="NHI4" s="59"/>
      <c r="NHJ4" s="59"/>
      <c r="NHK4" s="59"/>
      <c r="NHL4" s="59"/>
      <c r="NHM4" s="59"/>
      <c r="NHN4" s="59"/>
      <c r="NHO4" s="59"/>
      <c r="NHP4" s="59"/>
      <c r="NHQ4" s="59"/>
      <c r="NHR4" s="59"/>
      <c r="NHS4" s="59"/>
      <c r="NHT4" s="59"/>
      <c r="NHU4" s="59"/>
      <c r="NHV4" s="59"/>
      <c r="NHW4" s="59"/>
      <c r="NHX4" s="59"/>
      <c r="NHY4" s="59"/>
      <c r="NHZ4" s="59"/>
      <c r="NIA4" s="59"/>
      <c r="NIB4" s="59"/>
      <c r="NIC4" s="59"/>
      <c r="NID4" s="59"/>
      <c r="NIE4" s="59"/>
      <c r="NIF4" s="59"/>
      <c r="NIG4" s="59"/>
      <c r="NIH4" s="59"/>
      <c r="NII4" s="59"/>
      <c r="NIJ4" s="59"/>
      <c r="NIK4" s="59"/>
      <c r="NIL4" s="59"/>
      <c r="NIM4" s="59"/>
      <c r="NIN4" s="59"/>
      <c r="NIO4" s="59"/>
      <c r="NIP4" s="59"/>
      <c r="NIQ4" s="59"/>
      <c r="NIR4" s="59"/>
      <c r="NIS4" s="59"/>
      <c r="NIT4" s="59"/>
      <c r="NIU4" s="59"/>
      <c r="NIV4" s="59"/>
      <c r="NIW4" s="59"/>
      <c r="NIX4" s="59"/>
      <c r="NIY4" s="59"/>
      <c r="NIZ4" s="59"/>
      <c r="NJA4" s="59"/>
      <c r="NJB4" s="59"/>
      <c r="NJC4" s="59"/>
      <c r="NJD4" s="59"/>
      <c r="NJE4" s="59"/>
      <c r="NJF4" s="59"/>
      <c r="NJG4" s="59"/>
      <c r="NJH4" s="59"/>
      <c r="NJI4" s="59"/>
      <c r="NJJ4" s="59"/>
      <c r="NJK4" s="59"/>
      <c r="NJL4" s="59"/>
      <c r="NJM4" s="59"/>
      <c r="NJN4" s="59"/>
      <c r="NJO4" s="59"/>
      <c r="NJP4" s="59"/>
      <c r="NJQ4" s="59"/>
      <c r="NJR4" s="59"/>
      <c r="NJS4" s="59"/>
      <c r="NJT4" s="59"/>
      <c r="NJU4" s="59"/>
      <c r="NJV4" s="59"/>
      <c r="NJW4" s="59"/>
      <c r="NJX4" s="59"/>
      <c r="NJY4" s="59"/>
      <c r="NJZ4" s="59"/>
      <c r="NKA4" s="59"/>
      <c r="NKB4" s="59"/>
      <c r="NKC4" s="59"/>
      <c r="NKD4" s="59"/>
      <c r="NKE4" s="59"/>
      <c r="NKF4" s="59"/>
      <c r="NKG4" s="59"/>
      <c r="NKH4" s="59"/>
      <c r="NKI4" s="59"/>
      <c r="NKJ4" s="59"/>
      <c r="NKK4" s="59"/>
      <c r="NKL4" s="59"/>
      <c r="NKM4" s="59"/>
      <c r="NKN4" s="59"/>
      <c r="NKO4" s="59"/>
      <c r="NKP4" s="59"/>
      <c r="NKQ4" s="59"/>
      <c r="NKR4" s="59"/>
      <c r="NKS4" s="59"/>
      <c r="NKT4" s="59"/>
      <c r="NKU4" s="59"/>
      <c r="NKV4" s="59"/>
      <c r="NKW4" s="59"/>
      <c r="NKX4" s="59"/>
      <c r="NKY4" s="59"/>
      <c r="NKZ4" s="59"/>
      <c r="NLA4" s="59"/>
      <c r="NLB4" s="59"/>
      <c r="NLC4" s="59"/>
      <c r="NLD4" s="59"/>
      <c r="NLE4" s="59"/>
      <c r="NLF4" s="59"/>
      <c r="NLG4" s="59"/>
      <c r="NLH4" s="59"/>
      <c r="NLI4" s="59"/>
      <c r="NLJ4" s="59"/>
      <c r="NLK4" s="59"/>
      <c r="NLL4" s="59"/>
      <c r="NLM4" s="59"/>
      <c r="NLN4" s="59"/>
      <c r="NLO4" s="59"/>
      <c r="NLP4" s="59"/>
      <c r="NLQ4" s="59"/>
      <c r="NLR4" s="59"/>
      <c r="NLS4" s="59"/>
      <c r="NLT4" s="59"/>
      <c r="NLU4" s="59"/>
      <c r="NLV4" s="59"/>
      <c r="NLW4" s="59"/>
      <c r="NLX4" s="59"/>
      <c r="NLY4" s="59"/>
      <c r="NLZ4" s="59"/>
      <c r="NMA4" s="59"/>
      <c r="NMB4" s="59"/>
      <c r="NMC4" s="59"/>
      <c r="NMD4" s="59"/>
      <c r="NME4" s="59"/>
      <c r="NMF4" s="59"/>
      <c r="NMG4" s="59"/>
      <c r="NMH4" s="59"/>
      <c r="NMI4" s="59"/>
      <c r="NMJ4" s="59"/>
      <c r="NMK4" s="59"/>
      <c r="NML4" s="59"/>
      <c r="NMM4" s="59"/>
      <c r="NMN4" s="59"/>
      <c r="NMO4" s="59"/>
      <c r="NMP4" s="59"/>
      <c r="NMQ4" s="59"/>
      <c r="NMR4" s="59"/>
      <c r="NMS4" s="59"/>
      <c r="NMT4" s="59"/>
      <c r="NMU4" s="59"/>
      <c r="NMV4" s="59"/>
      <c r="NMW4" s="59"/>
      <c r="NMX4" s="59"/>
      <c r="NMY4" s="59"/>
      <c r="NMZ4" s="59"/>
      <c r="NNA4" s="59"/>
      <c r="NNB4" s="59"/>
      <c r="NNC4" s="59"/>
      <c r="NND4" s="59"/>
      <c r="NNE4" s="59"/>
      <c r="NNF4" s="59"/>
      <c r="NNG4" s="59"/>
      <c r="NNH4" s="59"/>
      <c r="NNI4" s="59"/>
      <c r="NNJ4" s="59"/>
      <c r="NNK4" s="59"/>
      <c r="NNL4" s="59"/>
      <c r="NNM4" s="59"/>
      <c r="NNN4" s="59"/>
      <c r="NNO4" s="59"/>
      <c r="NNP4" s="59"/>
      <c r="NNQ4" s="59"/>
      <c r="NNR4" s="59"/>
      <c r="NNS4" s="59"/>
      <c r="NNT4" s="59"/>
      <c r="NNU4" s="59"/>
      <c r="NNV4" s="59"/>
      <c r="NNW4" s="59"/>
      <c r="NNX4" s="59"/>
      <c r="NNY4" s="59"/>
      <c r="NNZ4" s="59"/>
      <c r="NOA4" s="59"/>
      <c r="NOB4" s="59"/>
      <c r="NOC4" s="59"/>
      <c r="NOD4" s="59"/>
      <c r="NOE4" s="59"/>
      <c r="NOF4" s="59"/>
      <c r="NOG4" s="59"/>
      <c r="NOH4" s="59"/>
      <c r="NOI4" s="59"/>
      <c r="NOJ4" s="59"/>
      <c r="NOK4" s="59"/>
      <c r="NOL4" s="59"/>
      <c r="NOM4" s="59"/>
      <c r="NON4" s="59"/>
      <c r="NOO4" s="59"/>
      <c r="NOP4" s="59"/>
      <c r="NOQ4" s="59"/>
      <c r="NOR4" s="59"/>
      <c r="NOS4" s="59"/>
      <c r="NOT4" s="59"/>
      <c r="NOU4" s="59"/>
      <c r="NOV4" s="59"/>
      <c r="NOW4" s="59"/>
      <c r="NOX4" s="59"/>
      <c r="NOY4" s="59"/>
      <c r="NOZ4" s="59"/>
      <c r="NPA4" s="59"/>
      <c r="NPB4" s="59"/>
      <c r="NPC4" s="59"/>
      <c r="NPD4" s="59"/>
      <c r="NPE4" s="59"/>
      <c r="NPF4" s="59"/>
      <c r="NPG4" s="59"/>
      <c r="NPH4" s="59"/>
      <c r="NPI4" s="59"/>
      <c r="NPJ4" s="59"/>
      <c r="NPK4" s="59"/>
      <c r="NPL4" s="59"/>
      <c r="NPM4" s="59"/>
      <c r="NPN4" s="59"/>
      <c r="NPO4" s="59"/>
      <c r="NPP4" s="59"/>
      <c r="NPQ4" s="59"/>
      <c r="NPR4" s="59"/>
      <c r="NPS4" s="59"/>
      <c r="NPT4" s="59"/>
      <c r="NPU4" s="59"/>
      <c r="NPV4" s="59"/>
      <c r="NPW4" s="59"/>
      <c r="NPX4" s="59"/>
      <c r="NPY4" s="59"/>
      <c r="NPZ4" s="59"/>
      <c r="NQA4" s="59"/>
      <c r="NQB4" s="59"/>
      <c r="NQC4" s="59"/>
      <c r="NQD4" s="59"/>
      <c r="NQE4" s="59"/>
      <c r="NQF4" s="59"/>
      <c r="NQG4" s="59"/>
      <c r="NQH4" s="59"/>
      <c r="NQI4" s="59"/>
      <c r="NQJ4" s="59"/>
      <c r="NQK4" s="59"/>
      <c r="NQL4" s="59"/>
      <c r="NQM4" s="59"/>
      <c r="NQN4" s="59"/>
      <c r="NQO4" s="59"/>
      <c r="NQP4" s="59"/>
      <c r="NQQ4" s="59"/>
      <c r="NQR4" s="59"/>
      <c r="NQS4" s="59"/>
      <c r="NQT4" s="59"/>
      <c r="NQU4" s="59"/>
      <c r="NQV4" s="59"/>
      <c r="NQW4" s="59"/>
      <c r="NQX4" s="59"/>
      <c r="NQY4" s="59"/>
      <c r="NQZ4" s="59"/>
      <c r="NRA4" s="59"/>
      <c r="NRB4" s="59"/>
      <c r="NRC4" s="59"/>
      <c r="NRD4" s="59"/>
      <c r="NRE4" s="59"/>
      <c r="NRF4" s="59"/>
      <c r="NRG4" s="59"/>
      <c r="NRH4" s="59"/>
      <c r="NRI4" s="59"/>
      <c r="NRJ4" s="59"/>
      <c r="NRK4" s="59"/>
      <c r="NRL4" s="59"/>
      <c r="NRM4" s="59"/>
      <c r="NRN4" s="59"/>
      <c r="NRO4" s="59"/>
      <c r="NRP4" s="59"/>
      <c r="NRQ4" s="59"/>
      <c r="NRR4" s="59"/>
      <c r="NRS4" s="59"/>
      <c r="NRT4" s="59"/>
      <c r="NRU4" s="59"/>
      <c r="NRV4" s="59"/>
      <c r="NRW4" s="59"/>
      <c r="NRX4" s="59"/>
      <c r="NRY4" s="59"/>
      <c r="NRZ4" s="59"/>
      <c r="NSA4" s="59"/>
      <c r="NSB4" s="59"/>
      <c r="NSC4" s="59"/>
      <c r="NSD4" s="59"/>
      <c r="NSE4" s="59"/>
      <c r="NSF4" s="59"/>
      <c r="NSG4" s="59"/>
      <c r="NSH4" s="59"/>
      <c r="NSI4" s="59"/>
      <c r="NSJ4" s="59"/>
      <c r="NSK4" s="59"/>
      <c r="NSL4" s="59"/>
      <c r="NSM4" s="59"/>
      <c r="NSN4" s="59"/>
      <c r="NSO4" s="59"/>
      <c r="NSP4" s="59"/>
      <c r="NSQ4" s="59"/>
      <c r="NSR4" s="59"/>
      <c r="NSS4" s="59"/>
      <c r="NST4" s="59"/>
      <c r="NSU4" s="59"/>
      <c r="NSV4" s="59"/>
      <c r="NSW4" s="59"/>
      <c r="NSX4" s="59"/>
      <c r="NSY4" s="59"/>
      <c r="NSZ4" s="59"/>
      <c r="NTA4" s="59"/>
      <c r="NTB4" s="59"/>
      <c r="NTC4" s="59"/>
      <c r="NTD4" s="59"/>
      <c r="NTE4" s="59"/>
      <c r="NTF4" s="59"/>
      <c r="NTG4" s="59"/>
      <c r="NTH4" s="59"/>
      <c r="NTI4" s="59"/>
      <c r="NTJ4" s="59"/>
      <c r="NTK4" s="59"/>
      <c r="NTL4" s="59"/>
      <c r="NTM4" s="59"/>
      <c r="NTN4" s="59"/>
      <c r="NTO4" s="59"/>
      <c r="NTP4" s="59"/>
      <c r="NTQ4" s="59"/>
      <c r="NTR4" s="59"/>
      <c r="NTS4" s="59"/>
      <c r="NTT4" s="59"/>
      <c r="NTU4" s="59"/>
      <c r="NTV4" s="59"/>
      <c r="NTW4" s="59"/>
      <c r="NTX4" s="59"/>
      <c r="NTY4" s="59"/>
      <c r="NTZ4" s="59"/>
      <c r="NUA4" s="59"/>
      <c r="NUB4" s="59"/>
      <c r="NUC4" s="59"/>
      <c r="NUD4" s="59"/>
      <c r="NUE4" s="59"/>
      <c r="NUF4" s="59"/>
      <c r="NUG4" s="59"/>
      <c r="NUH4" s="59"/>
      <c r="NUI4" s="59"/>
      <c r="NUJ4" s="59"/>
      <c r="NUK4" s="59"/>
      <c r="NUL4" s="59"/>
      <c r="NUM4" s="59"/>
      <c r="NUN4" s="59"/>
      <c r="NUO4" s="59"/>
      <c r="NUP4" s="59"/>
      <c r="NUQ4" s="59"/>
      <c r="NUR4" s="59"/>
      <c r="NUS4" s="59"/>
      <c r="NUT4" s="59"/>
      <c r="NUU4" s="59"/>
      <c r="NUV4" s="59"/>
      <c r="NUW4" s="59"/>
      <c r="NUX4" s="59"/>
      <c r="NUY4" s="59"/>
      <c r="NUZ4" s="59"/>
      <c r="NVA4" s="59"/>
      <c r="NVB4" s="59"/>
      <c r="NVC4" s="59"/>
      <c r="NVD4" s="59"/>
      <c r="NVE4" s="59"/>
      <c r="NVF4" s="59"/>
      <c r="NVG4" s="59"/>
      <c r="NVH4" s="59"/>
      <c r="NVI4" s="59"/>
      <c r="NVJ4" s="59"/>
      <c r="NVK4" s="59"/>
      <c r="NVL4" s="59"/>
      <c r="NVM4" s="59"/>
      <c r="NVN4" s="59"/>
      <c r="NVO4" s="59"/>
      <c r="NVP4" s="59"/>
      <c r="NVQ4" s="59"/>
      <c r="NVR4" s="59"/>
      <c r="NVS4" s="59"/>
      <c r="NVT4" s="59"/>
      <c r="NVU4" s="59"/>
      <c r="NVV4" s="59"/>
      <c r="NVW4" s="59"/>
      <c r="NVX4" s="59"/>
      <c r="NVY4" s="59"/>
      <c r="NVZ4" s="59"/>
      <c r="NWA4" s="59"/>
      <c r="NWB4" s="59"/>
      <c r="NWC4" s="59"/>
      <c r="NWD4" s="59"/>
      <c r="NWE4" s="59"/>
      <c r="NWF4" s="59"/>
      <c r="NWG4" s="59"/>
      <c r="NWH4" s="59"/>
      <c r="NWI4" s="59"/>
      <c r="NWJ4" s="59"/>
      <c r="NWK4" s="59"/>
      <c r="NWL4" s="59"/>
      <c r="NWM4" s="59"/>
      <c r="NWN4" s="59"/>
      <c r="NWO4" s="59"/>
      <c r="NWP4" s="59"/>
      <c r="NWQ4" s="59"/>
      <c r="NWR4" s="59"/>
      <c r="NWS4" s="59"/>
      <c r="NWT4" s="59"/>
      <c r="NWU4" s="59"/>
      <c r="NWV4" s="59"/>
      <c r="NWW4" s="59"/>
      <c r="NWX4" s="59"/>
      <c r="NWY4" s="59"/>
      <c r="NWZ4" s="59"/>
      <c r="NXA4" s="59"/>
      <c r="NXB4" s="59"/>
      <c r="NXC4" s="59"/>
      <c r="NXD4" s="59"/>
      <c r="NXE4" s="59"/>
      <c r="NXF4" s="59"/>
      <c r="NXG4" s="59"/>
      <c r="NXH4" s="59"/>
      <c r="NXI4" s="59"/>
      <c r="NXJ4" s="59"/>
      <c r="NXK4" s="59"/>
      <c r="NXL4" s="59"/>
      <c r="NXM4" s="59"/>
      <c r="NXN4" s="59"/>
      <c r="NXO4" s="59"/>
      <c r="NXP4" s="59"/>
      <c r="NXQ4" s="59"/>
      <c r="NXR4" s="59"/>
      <c r="NXS4" s="59"/>
      <c r="NXT4" s="59"/>
      <c r="NXU4" s="59"/>
      <c r="NXV4" s="59"/>
      <c r="NXW4" s="59"/>
      <c r="NXX4" s="59"/>
      <c r="NXY4" s="59"/>
      <c r="NXZ4" s="59"/>
      <c r="NYA4" s="59"/>
      <c r="NYB4" s="59"/>
      <c r="NYC4" s="59"/>
      <c r="NYD4" s="59"/>
      <c r="NYE4" s="59"/>
      <c r="NYF4" s="59"/>
      <c r="NYG4" s="59"/>
      <c r="NYH4" s="59"/>
      <c r="NYI4" s="59"/>
      <c r="NYJ4" s="59"/>
      <c r="NYK4" s="59"/>
      <c r="NYL4" s="59"/>
      <c r="NYM4" s="59"/>
      <c r="NYN4" s="59"/>
      <c r="NYO4" s="59"/>
      <c r="NYP4" s="59"/>
      <c r="NYQ4" s="59"/>
      <c r="NYR4" s="59"/>
      <c r="NYS4" s="59"/>
      <c r="NYT4" s="59"/>
      <c r="NYU4" s="59"/>
      <c r="NYV4" s="59"/>
      <c r="NYW4" s="59"/>
      <c r="NYX4" s="59"/>
      <c r="NYY4" s="59"/>
      <c r="NYZ4" s="59"/>
      <c r="NZA4" s="59"/>
      <c r="NZB4" s="59"/>
      <c r="NZC4" s="59"/>
      <c r="NZD4" s="59"/>
      <c r="NZE4" s="59"/>
      <c r="NZF4" s="59"/>
      <c r="NZG4" s="59"/>
      <c r="NZH4" s="59"/>
      <c r="NZI4" s="59"/>
      <c r="NZJ4" s="59"/>
      <c r="NZK4" s="59"/>
      <c r="NZL4" s="59"/>
      <c r="NZM4" s="59"/>
      <c r="NZN4" s="59"/>
      <c r="NZO4" s="59"/>
      <c r="NZP4" s="59"/>
      <c r="NZQ4" s="59"/>
      <c r="NZR4" s="59"/>
      <c r="NZS4" s="59"/>
      <c r="NZT4" s="59"/>
      <c r="NZU4" s="59"/>
      <c r="NZV4" s="59"/>
      <c r="NZW4" s="59"/>
      <c r="NZX4" s="59"/>
      <c r="NZY4" s="59"/>
      <c r="NZZ4" s="59"/>
      <c r="OAA4" s="59"/>
      <c r="OAB4" s="59"/>
      <c r="OAC4" s="59"/>
      <c r="OAD4" s="59"/>
      <c r="OAE4" s="59"/>
      <c r="OAF4" s="59"/>
      <c r="OAG4" s="59"/>
      <c r="OAH4" s="59"/>
      <c r="OAI4" s="59"/>
      <c r="OAJ4" s="59"/>
      <c r="OAK4" s="59"/>
      <c r="OAL4" s="59"/>
      <c r="OAM4" s="59"/>
      <c r="OAN4" s="59"/>
      <c r="OAO4" s="59"/>
      <c r="OAP4" s="59"/>
      <c r="OAQ4" s="59"/>
      <c r="OAR4" s="59"/>
      <c r="OAS4" s="59"/>
      <c r="OAT4" s="59"/>
      <c r="OAU4" s="59"/>
      <c r="OAV4" s="59"/>
      <c r="OAW4" s="59"/>
      <c r="OAX4" s="59"/>
      <c r="OAY4" s="59"/>
      <c r="OAZ4" s="59"/>
      <c r="OBA4" s="59"/>
      <c r="OBB4" s="59"/>
      <c r="OBC4" s="59"/>
      <c r="OBD4" s="59"/>
      <c r="OBE4" s="59"/>
      <c r="OBF4" s="59"/>
      <c r="OBG4" s="59"/>
      <c r="OBH4" s="59"/>
      <c r="OBI4" s="59"/>
      <c r="OBJ4" s="59"/>
      <c r="OBK4" s="59"/>
      <c r="OBL4" s="59"/>
      <c r="OBM4" s="59"/>
      <c r="OBN4" s="59"/>
      <c r="OBO4" s="59"/>
      <c r="OBP4" s="59"/>
      <c r="OBQ4" s="59"/>
      <c r="OBR4" s="59"/>
      <c r="OBS4" s="59"/>
      <c r="OBT4" s="59"/>
      <c r="OBU4" s="59"/>
      <c r="OBV4" s="59"/>
      <c r="OBW4" s="59"/>
      <c r="OBX4" s="59"/>
      <c r="OBY4" s="59"/>
      <c r="OBZ4" s="59"/>
      <c r="OCA4" s="59"/>
      <c r="OCB4" s="59"/>
      <c r="OCC4" s="59"/>
      <c r="OCD4" s="59"/>
      <c r="OCE4" s="59"/>
      <c r="OCF4" s="59"/>
      <c r="OCG4" s="59"/>
      <c r="OCH4" s="59"/>
      <c r="OCI4" s="59"/>
      <c r="OCJ4" s="59"/>
      <c r="OCK4" s="59"/>
      <c r="OCL4" s="59"/>
      <c r="OCM4" s="59"/>
      <c r="OCN4" s="59"/>
      <c r="OCO4" s="59"/>
      <c r="OCP4" s="59"/>
      <c r="OCQ4" s="59"/>
      <c r="OCR4" s="59"/>
      <c r="OCS4" s="59"/>
      <c r="OCT4" s="59"/>
      <c r="OCU4" s="59"/>
      <c r="OCV4" s="59"/>
      <c r="OCW4" s="59"/>
      <c r="OCX4" s="59"/>
      <c r="OCY4" s="59"/>
      <c r="OCZ4" s="59"/>
      <c r="ODA4" s="59"/>
      <c r="ODB4" s="59"/>
      <c r="ODC4" s="59"/>
      <c r="ODD4" s="59"/>
      <c r="ODE4" s="59"/>
      <c r="ODF4" s="59"/>
      <c r="ODG4" s="59"/>
      <c r="ODH4" s="59"/>
      <c r="ODI4" s="59"/>
      <c r="ODJ4" s="59"/>
      <c r="ODK4" s="59"/>
      <c r="ODL4" s="59"/>
      <c r="ODM4" s="59"/>
      <c r="ODN4" s="59"/>
      <c r="ODO4" s="59"/>
      <c r="ODP4" s="59"/>
      <c r="ODQ4" s="59"/>
      <c r="ODR4" s="59"/>
      <c r="ODS4" s="59"/>
      <c r="ODT4" s="59"/>
      <c r="ODU4" s="59"/>
      <c r="ODV4" s="59"/>
      <c r="ODW4" s="59"/>
      <c r="ODX4" s="59"/>
      <c r="ODY4" s="59"/>
      <c r="ODZ4" s="59"/>
      <c r="OEA4" s="59"/>
      <c r="OEB4" s="59"/>
      <c r="OEC4" s="59"/>
      <c r="OED4" s="59"/>
      <c r="OEE4" s="59"/>
      <c r="OEF4" s="59"/>
      <c r="OEG4" s="59"/>
      <c r="OEH4" s="59"/>
      <c r="OEI4" s="59"/>
      <c r="OEJ4" s="59"/>
      <c r="OEK4" s="59"/>
      <c r="OEL4" s="59"/>
      <c r="OEM4" s="59"/>
      <c r="OEN4" s="59"/>
      <c r="OEO4" s="59"/>
      <c r="OEP4" s="59"/>
      <c r="OEQ4" s="59"/>
      <c r="OER4" s="59"/>
      <c r="OES4" s="59"/>
      <c r="OET4" s="59"/>
      <c r="OEU4" s="59"/>
      <c r="OEV4" s="59"/>
      <c r="OEW4" s="59"/>
      <c r="OEX4" s="59"/>
      <c r="OEY4" s="59"/>
      <c r="OEZ4" s="59"/>
      <c r="OFA4" s="59"/>
      <c r="OFB4" s="59"/>
      <c r="OFC4" s="59"/>
      <c r="OFD4" s="59"/>
      <c r="OFE4" s="59"/>
      <c r="OFF4" s="59"/>
      <c r="OFG4" s="59"/>
      <c r="OFH4" s="59"/>
      <c r="OFI4" s="59"/>
      <c r="OFJ4" s="59"/>
      <c r="OFK4" s="59"/>
      <c r="OFL4" s="59"/>
      <c r="OFM4" s="59"/>
      <c r="OFN4" s="59"/>
      <c r="OFO4" s="59"/>
      <c r="OFP4" s="59"/>
      <c r="OFQ4" s="59"/>
      <c r="OFR4" s="59"/>
      <c r="OFS4" s="59"/>
      <c r="OFT4" s="59"/>
      <c r="OFU4" s="59"/>
      <c r="OFV4" s="59"/>
      <c r="OFW4" s="59"/>
      <c r="OFX4" s="59"/>
      <c r="OFY4" s="59"/>
      <c r="OFZ4" s="59"/>
      <c r="OGA4" s="59"/>
      <c r="OGB4" s="59"/>
      <c r="OGC4" s="59"/>
      <c r="OGD4" s="59"/>
      <c r="OGE4" s="59"/>
      <c r="OGF4" s="59"/>
      <c r="OGG4" s="59"/>
      <c r="OGH4" s="59"/>
      <c r="OGI4" s="59"/>
      <c r="OGJ4" s="59"/>
      <c r="OGK4" s="59"/>
      <c r="OGL4" s="59"/>
      <c r="OGM4" s="59"/>
      <c r="OGN4" s="59"/>
      <c r="OGO4" s="59"/>
      <c r="OGP4" s="59"/>
      <c r="OGQ4" s="59"/>
      <c r="OGR4" s="59"/>
      <c r="OGS4" s="59"/>
      <c r="OGT4" s="59"/>
      <c r="OGU4" s="59"/>
      <c r="OGV4" s="59"/>
      <c r="OGW4" s="59"/>
      <c r="OGX4" s="59"/>
      <c r="OGY4" s="59"/>
      <c r="OGZ4" s="59"/>
      <c r="OHA4" s="59"/>
      <c r="OHB4" s="59"/>
      <c r="OHC4" s="59"/>
      <c r="OHD4" s="59"/>
      <c r="OHE4" s="59"/>
      <c r="OHF4" s="59"/>
      <c r="OHG4" s="59"/>
      <c r="OHH4" s="59"/>
      <c r="OHI4" s="59"/>
      <c r="OHJ4" s="59"/>
      <c r="OHK4" s="59"/>
      <c r="OHL4" s="59"/>
      <c r="OHM4" s="59"/>
      <c r="OHN4" s="59"/>
      <c r="OHO4" s="59"/>
      <c r="OHP4" s="59"/>
      <c r="OHQ4" s="59"/>
      <c r="OHR4" s="59"/>
      <c r="OHS4" s="59"/>
      <c r="OHT4" s="59"/>
      <c r="OHU4" s="59"/>
      <c r="OHV4" s="59"/>
      <c r="OHW4" s="59"/>
      <c r="OHX4" s="59"/>
      <c r="OHY4" s="59"/>
      <c r="OHZ4" s="59"/>
      <c r="OIA4" s="59"/>
      <c r="OIB4" s="59"/>
      <c r="OIC4" s="59"/>
      <c r="OID4" s="59"/>
      <c r="OIE4" s="59"/>
      <c r="OIF4" s="59"/>
      <c r="OIG4" s="59"/>
      <c r="OIH4" s="59"/>
      <c r="OII4" s="59"/>
      <c r="OIJ4" s="59"/>
      <c r="OIK4" s="59"/>
      <c r="OIL4" s="59"/>
      <c r="OIM4" s="59"/>
      <c r="OIN4" s="59"/>
      <c r="OIO4" s="59"/>
      <c r="OIP4" s="59"/>
      <c r="OIQ4" s="59"/>
      <c r="OIR4" s="59"/>
      <c r="OIS4" s="59"/>
      <c r="OIT4" s="59"/>
      <c r="OIU4" s="59"/>
      <c r="OIV4" s="59"/>
      <c r="OIW4" s="59"/>
      <c r="OIX4" s="59"/>
      <c r="OIY4" s="59"/>
      <c r="OIZ4" s="59"/>
      <c r="OJA4" s="59"/>
      <c r="OJB4" s="59"/>
      <c r="OJC4" s="59"/>
      <c r="OJD4" s="59"/>
      <c r="OJE4" s="59"/>
      <c r="OJF4" s="59"/>
      <c r="OJG4" s="59"/>
      <c r="OJH4" s="59"/>
      <c r="OJI4" s="59"/>
      <c r="OJJ4" s="59"/>
      <c r="OJK4" s="59"/>
      <c r="OJL4" s="59"/>
      <c r="OJM4" s="59"/>
      <c r="OJN4" s="59"/>
      <c r="OJO4" s="59"/>
      <c r="OJP4" s="59"/>
      <c r="OJQ4" s="59"/>
      <c r="OJR4" s="59"/>
      <c r="OJS4" s="59"/>
      <c r="OJT4" s="59"/>
      <c r="OJU4" s="59"/>
      <c r="OJV4" s="59"/>
      <c r="OJW4" s="59"/>
      <c r="OJX4" s="59"/>
      <c r="OJY4" s="59"/>
      <c r="OJZ4" s="59"/>
      <c r="OKA4" s="59"/>
      <c r="OKB4" s="59"/>
      <c r="OKC4" s="59"/>
      <c r="OKD4" s="59"/>
      <c r="OKE4" s="59"/>
      <c r="OKF4" s="59"/>
      <c r="OKG4" s="59"/>
      <c r="OKH4" s="59"/>
      <c r="OKI4" s="59"/>
      <c r="OKJ4" s="59"/>
      <c r="OKK4" s="59"/>
      <c r="OKL4" s="59"/>
      <c r="OKM4" s="59"/>
      <c r="OKN4" s="59"/>
      <c r="OKO4" s="59"/>
      <c r="OKP4" s="59"/>
      <c r="OKQ4" s="59"/>
      <c r="OKR4" s="59"/>
      <c r="OKS4" s="59"/>
      <c r="OKT4" s="59"/>
      <c r="OKU4" s="59"/>
      <c r="OKV4" s="59"/>
      <c r="OKW4" s="59"/>
      <c r="OKX4" s="59"/>
      <c r="OKY4" s="59"/>
      <c r="OKZ4" s="59"/>
      <c r="OLA4" s="59"/>
      <c r="OLB4" s="59"/>
      <c r="OLC4" s="59"/>
      <c r="OLD4" s="59"/>
      <c r="OLE4" s="59"/>
      <c r="OLF4" s="59"/>
      <c r="OLG4" s="59"/>
      <c r="OLH4" s="59"/>
      <c r="OLI4" s="59"/>
      <c r="OLJ4" s="59"/>
      <c r="OLK4" s="59"/>
      <c r="OLL4" s="59"/>
      <c r="OLM4" s="59"/>
      <c r="OLN4" s="59"/>
      <c r="OLO4" s="59"/>
      <c r="OLP4" s="59"/>
      <c r="OLQ4" s="59"/>
      <c r="OLR4" s="59"/>
      <c r="OLS4" s="59"/>
      <c r="OLT4" s="59"/>
      <c r="OLU4" s="59"/>
      <c r="OLV4" s="59"/>
      <c r="OLW4" s="59"/>
      <c r="OLX4" s="59"/>
      <c r="OLY4" s="59"/>
      <c r="OLZ4" s="59"/>
      <c r="OMA4" s="59"/>
      <c r="OMB4" s="59"/>
      <c r="OMC4" s="59"/>
      <c r="OMD4" s="59"/>
      <c r="OME4" s="59"/>
      <c r="OMF4" s="59"/>
      <c r="OMG4" s="59"/>
      <c r="OMH4" s="59"/>
      <c r="OMI4" s="59"/>
      <c r="OMJ4" s="59"/>
      <c r="OMK4" s="59"/>
      <c r="OML4" s="59"/>
      <c r="OMM4" s="59"/>
      <c r="OMN4" s="59"/>
      <c r="OMO4" s="59"/>
      <c r="OMP4" s="59"/>
      <c r="OMQ4" s="59"/>
      <c r="OMR4" s="59"/>
      <c r="OMS4" s="59"/>
      <c r="OMT4" s="59"/>
      <c r="OMU4" s="59"/>
      <c r="OMV4" s="59"/>
      <c r="OMW4" s="59"/>
      <c r="OMX4" s="59"/>
      <c r="OMY4" s="59"/>
      <c r="OMZ4" s="59"/>
      <c r="ONA4" s="59"/>
      <c r="ONB4" s="59"/>
      <c r="ONC4" s="59"/>
      <c r="OND4" s="59"/>
      <c r="ONE4" s="59"/>
      <c r="ONF4" s="59"/>
      <c r="ONG4" s="59"/>
      <c r="ONH4" s="59"/>
      <c r="ONI4" s="59"/>
      <c r="ONJ4" s="59"/>
      <c r="ONK4" s="59"/>
      <c r="ONL4" s="59"/>
      <c r="ONM4" s="59"/>
      <c r="ONN4" s="59"/>
      <c r="ONO4" s="59"/>
      <c r="ONP4" s="59"/>
      <c r="ONQ4" s="59"/>
      <c r="ONR4" s="59"/>
      <c r="ONS4" s="59"/>
      <c r="ONT4" s="59"/>
      <c r="ONU4" s="59"/>
      <c r="ONV4" s="59"/>
      <c r="ONW4" s="59"/>
      <c r="ONX4" s="59"/>
      <c r="ONY4" s="59"/>
      <c r="ONZ4" s="59"/>
      <c r="OOA4" s="59"/>
      <c r="OOB4" s="59"/>
      <c r="OOC4" s="59"/>
      <c r="OOD4" s="59"/>
      <c r="OOE4" s="59"/>
      <c r="OOF4" s="59"/>
      <c r="OOG4" s="59"/>
      <c r="OOH4" s="59"/>
      <c r="OOI4" s="59"/>
      <c r="OOJ4" s="59"/>
      <c r="OOK4" s="59"/>
      <c r="OOL4" s="59"/>
      <c r="OOM4" s="59"/>
      <c r="OON4" s="59"/>
      <c r="OOO4" s="59"/>
      <c r="OOP4" s="59"/>
      <c r="OOQ4" s="59"/>
      <c r="OOR4" s="59"/>
      <c r="OOS4" s="59"/>
      <c r="OOT4" s="59"/>
      <c r="OOU4" s="59"/>
      <c r="OOV4" s="59"/>
      <c r="OOW4" s="59"/>
      <c r="OOX4" s="59"/>
      <c r="OOY4" s="59"/>
      <c r="OOZ4" s="59"/>
      <c r="OPA4" s="59"/>
      <c r="OPB4" s="59"/>
      <c r="OPC4" s="59"/>
      <c r="OPD4" s="59"/>
      <c r="OPE4" s="59"/>
      <c r="OPF4" s="59"/>
      <c r="OPG4" s="59"/>
      <c r="OPH4" s="59"/>
      <c r="OPI4" s="59"/>
      <c r="OPJ4" s="59"/>
      <c r="OPK4" s="59"/>
      <c r="OPL4" s="59"/>
      <c r="OPM4" s="59"/>
      <c r="OPN4" s="59"/>
      <c r="OPO4" s="59"/>
      <c r="OPP4" s="59"/>
      <c r="OPQ4" s="59"/>
      <c r="OPR4" s="59"/>
      <c r="OPS4" s="59"/>
      <c r="OPT4" s="59"/>
      <c r="OPU4" s="59"/>
      <c r="OPV4" s="59"/>
      <c r="OPW4" s="59"/>
      <c r="OPX4" s="59"/>
      <c r="OPY4" s="59"/>
      <c r="OPZ4" s="59"/>
      <c r="OQA4" s="59"/>
      <c r="OQB4" s="59"/>
      <c r="OQC4" s="59"/>
      <c r="OQD4" s="59"/>
      <c r="OQE4" s="59"/>
      <c r="OQF4" s="59"/>
      <c r="OQG4" s="59"/>
      <c r="OQH4" s="59"/>
      <c r="OQI4" s="59"/>
      <c r="OQJ4" s="59"/>
      <c r="OQK4" s="59"/>
      <c r="OQL4" s="59"/>
      <c r="OQM4" s="59"/>
      <c r="OQN4" s="59"/>
      <c r="OQO4" s="59"/>
      <c r="OQP4" s="59"/>
      <c r="OQQ4" s="59"/>
      <c r="OQR4" s="59"/>
      <c r="OQS4" s="59"/>
      <c r="OQT4" s="59"/>
      <c r="OQU4" s="59"/>
      <c r="OQV4" s="59"/>
      <c r="OQW4" s="59"/>
      <c r="OQX4" s="59"/>
      <c r="OQY4" s="59"/>
      <c r="OQZ4" s="59"/>
      <c r="ORA4" s="59"/>
      <c r="ORB4" s="59"/>
      <c r="ORC4" s="59"/>
      <c r="ORD4" s="59"/>
      <c r="ORE4" s="59"/>
      <c r="ORF4" s="59"/>
      <c r="ORG4" s="59"/>
      <c r="ORH4" s="59"/>
      <c r="ORI4" s="59"/>
      <c r="ORJ4" s="59"/>
      <c r="ORK4" s="59"/>
      <c r="ORL4" s="59"/>
      <c r="ORM4" s="59"/>
      <c r="ORN4" s="59"/>
      <c r="ORO4" s="59"/>
      <c r="ORP4" s="59"/>
      <c r="ORQ4" s="59"/>
      <c r="ORR4" s="59"/>
      <c r="ORS4" s="59"/>
      <c r="ORT4" s="59"/>
      <c r="ORU4" s="59"/>
      <c r="ORV4" s="59"/>
      <c r="ORW4" s="59"/>
      <c r="ORX4" s="59"/>
      <c r="ORY4" s="59"/>
      <c r="ORZ4" s="59"/>
      <c r="OSA4" s="59"/>
      <c r="OSB4" s="59"/>
      <c r="OSC4" s="59"/>
      <c r="OSD4" s="59"/>
      <c r="OSE4" s="59"/>
      <c r="OSF4" s="59"/>
      <c r="OSG4" s="59"/>
      <c r="OSH4" s="59"/>
      <c r="OSI4" s="59"/>
      <c r="OSJ4" s="59"/>
      <c r="OSK4" s="59"/>
      <c r="OSL4" s="59"/>
      <c r="OSM4" s="59"/>
      <c r="OSN4" s="59"/>
      <c r="OSO4" s="59"/>
      <c r="OSP4" s="59"/>
      <c r="OSQ4" s="59"/>
      <c r="OSR4" s="59"/>
      <c r="OSS4" s="59"/>
      <c r="OST4" s="59"/>
      <c r="OSU4" s="59"/>
      <c r="OSV4" s="59"/>
      <c r="OSW4" s="59"/>
      <c r="OSX4" s="59"/>
      <c r="OSY4" s="59"/>
      <c r="OSZ4" s="59"/>
      <c r="OTA4" s="59"/>
      <c r="OTB4" s="59"/>
      <c r="OTC4" s="59"/>
      <c r="OTD4" s="59"/>
      <c r="OTE4" s="59"/>
      <c r="OTF4" s="59"/>
      <c r="OTG4" s="59"/>
      <c r="OTH4" s="59"/>
      <c r="OTI4" s="59"/>
      <c r="OTJ4" s="59"/>
      <c r="OTK4" s="59"/>
      <c r="OTL4" s="59"/>
      <c r="OTM4" s="59"/>
      <c r="OTN4" s="59"/>
      <c r="OTO4" s="59"/>
      <c r="OTP4" s="59"/>
      <c r="OTQ4" s="59"/>
      <c r="OTR4" s="59"/>
      <c r="OTS4" s="59"/>
      <c r="OTT4" s="59"/>
      <c r="OTU4" s="59"/>
      <c r="OTV4" s="59"/>
      <c r="OTW4" s="59"/>
      <c r="OTX4" s="59"/>
      <c r="OTY4" s="59"/>
      <c r="OTZ4" s="59"/>
      <c r="OUA4" s="59"/>
      <c r="OUB4" s="59"/>
      <c r="OUC4" s="59"/>
      <c r="OUD4" s="59"/>
      <c r="OUE4" s="59"/>
      <c r="OUF4" s="59"/>
      <c r="OUG4" s="59"/>
      <c r="OUH4" s="59"/>
      <c r="OUI4" s="59"/>
      <c r="OUJ4" s="59"/>
      <c r="OUK4" s="59"/>
      <c r="OUL4" s="59"/>
      <c r="OUM4" s="59"/>
      <c r="OUN4" s="59"/>
      <c r="OUO4" s="59"/>
      <c r="OUP4" s="59"/>
      <c r="OUQ4" s="59"/>
      <c r="OUR4" s="59"/>
      <c r="OUS4" s="59"/>
      <c r="OUT4" s="59"/>
      <c r="OUU4" s="59"/>
      <c r="OUV4" s="59"/>
      <c r="OUW4" s="59"/>
      <c r="OUX4" s="59"/>
      <c r="OUY4" s="59"/>
      <c r="OUZ4" s="59"/>
      <c r="OVA4" s="59"/>
      <c r="OVB4" s="59"/>
      <c r="OVC4" s="59"/>
      <c r="OVD4" s="59"/>
      <c r="OVE4" s="59"/>
      <c r="OVF4" s="59"/>
      <c r="OVG4" s="59"/>
      <c r="OVH4" s="59"/>
      <c r="OVI4" s="59"/>
      <c r="OVJ4" s="59"/>
      <c r="OVK4" s="59"/>
      <c r="OVL4" s="59"/>
      <c r="OVM4" s="59"/>
      <c r="OVN4" s="59"/>
      <c r="OVO4" s="59"/>
      <c r="OVP4" s="59"/>
      <c r="OVQ4" s="59"/>
      <c r="OVR4" s="59"/>
      <c r="OVS4" s="59"/>
      <c r="OVT4" s="59"/>
      <c r="OVU4" s="59"/>
      <c r="OVV4" s="59"/>
      <c r="OVW4" s="59"/>
      <c r="OVX4" s="59"/>
      <c r="OVY4" s="59"/>
      <c r="OVZ4" s="59"/>
      <c r="OWA4" s="59"/>
      <c r="OWB4" s="59"/>
      <c r="OWC4" s="59"/>
      <c r="OWD4" s="59"/>
      <c r="OWE4" s="59"/>
      <c r="OWF4" s="59"/>
      <c r="OWG4" s="59"/>
      <c r="OWH4" s="59"/>
      <c r="OWI4" s="59"/>
      <c r="OWJ4" s="59"/>
      <c r="OWK4" s="59"/>
      <c r="OWL4" s="59"/>
      <c r="OWM4" s="59"/>
      <c r="OWN4" s="59"/>
      <c r="OWO4" s="59"/>
      <c r="OWP4" s="59"/>
      <c r="OWQ4" s="59"/>
      <c r="OWR4" s="59"/>
      <c r="OWS4" s="59"/>
      <c r="OWT4" s="59"/>
      <c r="OWU4" s="59"/>
      <c r="OWV4" s="59"/>
      <c r="OWW4" s="59"/>
      <c r="OWX4" s="59"/>
      <c r="OWY4" s="59"/>
      <c r="OWZ4" s="59"/>
      <c r="OXA4" s="59"/>
      <c r="OXB4" s="59"/>
      <c r="OXC4" s="59"/>
      <c r="OXD4" s="59"/>
      <c r="OXE4" s="59"/>
      <c r="OXF4" s="59"/>
      <c r="OXG4" s="59"/>
      <c r="OXH4" s="59"/>
      <c r="OXI4" s="59"/>
      <c r="OXJ4" s="59"/>
      <c r="OXK4" s="59"/>
      <c r="OXL4" s="59"/>
      <c r="OXM4" s="59"/>
      <c r="OXN4" s="59"/>
      <c r="OXO4" s="59"/>
      <c r="OXP4" s="59"/>
      <c r="OXQ4" s="59"/>
      <c r="OXR4" s="59"/>
      <c r="OXS4" s="59"/>
      <c r="OXT4" s="59"/>
      <c r="OXU4" s="59"/>
      <c r="OXV4" s="59"/>
      <c r="OXW4" s="59"/>
      <c r="OXX4" s="59"/>
      <c r="OXY4" s="59"/>
      <c r="OXZ4" s="59"/>
      <c r="OYA4" s="59"/>
      <c r="OYB4" s="59"/>
      <c r="OYC4" s="59"/>
      <c r="OYD4" s="59"/>
      <c r="OYE4" s="59"/>
      <c r="OYF4" s="59"/>
      <c r="OYG4" s="59"/>
      <c r="OYH4" s="59"/>
      <c r="OYI4" s="59"/>
      <c r="OYJ4" s="59"/>
      <c r="OYK4" s="59"/>
      <c r="OYL4" s="59"/>
      <c r="OYM4" s="59"/>
      <c r="OYN4" s="59"/>
      <c r="OYO4" s="59"/>
      <c r="OYP4" s="59"/>
      <c r="OYQ4" s="59"/>
      <c r="OYR4" s="59"/>
      <c r="OYS4" s="59"/>
      <c r="OYT4" s="59"/>
      <c r="OYU4" s="59"/>
      <c r="OYV4" s="59"/>
      <c r="OYW4" s="59"/>
      <c r="OYX4" s="59"/>
      <c r="OYY4" s="59"/>
      <c r="OYZ4" s="59"/>
      <c r="OZA4" s="59"/>
      <c r="OZB4" s="59"/>
      <c r="OZC4" s="59"/>
      <c r="OZD4" s="59"/>
      <c r="OZE4" s="59"/>
      <c r="OZF4" s="59"/>
      <c r="OZG4" s="59"/>
      <c r="OZH4" s="59"/>
      <c r="OZI4" s="59"/>
      <c r="OZJ4" s="59"/>
      <c r="OZK4" s="59"/>
      <c r="OZL4" s="59"/>
      <c r="OZM4" s="59"/>
      <c r="OZN4" s="59"/>
      <c r="OZO4" s="59"/>
      <c r="OZP4" s="59"/>
      <c r="OZQ4" s="59"/>
      <c r="OZR4" s="59"/>
      <c r="OZS4" s="59"/>
      <c r="OZT4" s="59"/>
      <c r="OZU4" s="59"/>
      <c r="OZV4" s="59"/>
      <c r="OZW4" s="59"/>
      <c r="OZX4" s="59"/>
      <c r="OZY4" s="59"/>
      <c r="OZZ4" s="59"/>
      <c r="PAA4" s="59"/>
      <c r="PAB4" s="59"/>
      <c r="PAC4" s="59"/>
      <c r="PAD4" s="59"/>
      <c r="PAE4" s="59"/>
      <c r="PAF4" s="59"/>
      <c r="PAG4" s="59"/>
      <c r="PAH4" s="59"/>
      <c r="PAI4" s="59"/>
      <c r="PAJ4" s="59"/>
      <c r="PAK4" s="59"/>
      <c r="PAL4" s="59"/>
      <c r="PAM4" s="59"/>
      <c r="PAN4" s="59"/>
      <c r="PAO4" s="59"/>
      <c r="PAP4" s="59"/>
      <c r="PAQ4" s="59"/>
      <c r="PAR4" s="59"/>
      <c r="PAS4" s="59"/>
      <c r="PAT4" s="59"/>
      <c r="PAU4" s="59"/>
      <c r="PAV4" s="59"/>
      <c r="PAW4" s="59"/>
      <c r="PAX4" s="59"/>
      <c r="PAY4" s="59"/>
      <c r="PAZ4" s="59"/>
      <c r="PBA4" s="59"/>
      <c r="PBB4" s="59"/>
      <c r="PBC4" s="59"/>
      <c r="PBD4" s="59"/>
      <c r="PBE4" s="59"/>
      <c r="PBF4" s="59"/>
      <c r="PBG4" s="59"/>
      <c r="PBH4" s="59"/>
      <c r="PBI4" s="59"/>
      <c r="PBJ4" s="59"/>
      <c r="PBK4" s="59"/>
      <c r="PBL4" s="59"/>
      <c r="PBM4" s="59"/>
      <c r="PBN4" s="59"/>
      <c r="PBO4" s="59"/>
      <c r="PBP4" s="59"/>
      <c r="PBQ4" s="59"/>
      <c r="PBR4" s="59"/>
      <c r="PBS4" s="59"/>
      <c r="PBT4" s="59"/>
      <c r="PBU4" s="59"/>
      <c r="PBV4" s="59"/>
      <c r="PBW4" s="59"/>
      <c r="PBX4" s="59"/>
      <c r="PBY4" s="59"/>
      <c r="PBZ4" s="59"/>
      <c r="PCA4" s="59"/>
      <c r="PCB4" s="59"/>
      <c r="PCC4" s="59"/>
      <c r="PCD4" s="59"/>
      <c r="PCE4" s="59"/>
      <c r="PCF4" s="59"/>
      <c r="PCG4" s="59"/>
      <c r="PCH4" s="59"/>
      <c r="PCI4" s="59"/>
      <c r="PCJ4" s="59"/>
      <c r="PCK4" s="59"/>
      <c r="PCL4" s="59"/>
      <c r="PCM4" s="59"/>
      <c r="PCN4" s="59"/>
      <c r="PCO4" s="59"/>
      <c r="PCP4" s="59"/>
      <c r="PCQ4" s="59"/>
      <c r="PCR4" s="59"/>
      <c r="PCS4" s="59"/>
      <c r="PCT4" s="59"/>
      <c r="PCU4" s="59"/>
      <c r="PCV4" s="59"/>
      <c r="PCW4" s="59"/>
      <c r="PCX4" s="59"/>
      <c r="PCY4" s="59"/>
      <c r="PCZ4" s="59"/>
      <c r="PDA4" s="59"/>
      <c r="PDB4" s="59"/>
      <c r="PDC4" s="59"/>
      <c r="PDD4" s="59"/>
      <c r="PDE4" s="59"/>
      <c r="PDF4" s="59"/>
      <c r="PDG4" s="59"/>
      <c r="PDH4" s="59"/>
      <c r="PDI4" s="59"/>
      <c r="PDJ4" s="59"/>
      <c r="PDK4" s="59"/>
      <c r="PDL4" s="59"/>
      <c r="PDM4" s="59"/>
      <c r="PDN4" s="59"/>
      <c r="PDO4" s="59"/>
      <c r="PDP4" s="59"/>
      <c r="PDQ4" s="59"/>
      <c r="PDR4" s="59"/>
      <c r="PDS4" s="59"/>
      <c r="PDT4" s="59"/>
      <c r="PDU4" s="59"/>
      <c r="PDV4" s="59"/>
      <c r="PDW4" s="59"/>
      <c r="PDX4" s="59"/>
      <c r="PDY4" s="59"/>
      <c r="PDZ4" s="59"/>
      <c r="PEA4" s="59"/>
      <c r="PEB4" s="59"/>
      <c r="PEC4" s="59"/>
      <c r="PED4" s="59"/>
      <c r="PEE4" s="59"/>
      <c r="PEF4" s="59"/>
      <c r="PEG4" s="59"/>
      <c r="PEH4" s="59"/>
      <c r="PEI4" s="59"/>
      <c r="PEJ4" s="59"/>
      <c r="PEK4" s="59"/>
      <c r="PEL4" s="59"/>
      <c r="PEM4" s="59"/>
      <c r="PEN4" s="59"/>
      <c r="PEO4" s="59"/>
      <c r="PEP4" s="59"/>
      <c r="PEQ4" s="59"/>
      <c r="PER4" s="59"/>
      <c r="PES4" s="59"/>
      <c r="PET4" s="59"/>
      <c r="PEU4" s="59"/>
      <c r="PEV4" s="59"/>
      <c r="PEW4" s="59"/>
      <c r="PEX4" s="59"/>
      <c r="PEY4" s="59"/>
      <c r="PEZ4" s="59"/>
      <c r="PFA4" s="59"/>
      <c r="PFB4" s="59"/>
      <c r="PFC4" s="59"/>
      <c r="PFD4" s="59"/>
      <c r="PFE4" s="59"/>
      <c r="PFF4" s="59"/>
      <c r="PFG4" s="59"/>
      <c r="PFH4" s="59"/>
      <c r="PFI4" s="59"/>
      <c r="PFJ4" s="59"/>
      <c r="PFK4" s="59"/>
      <c r="PFL4" s="59"/>
      <c r="PFM4" s="59"/>
      <c r="PFN4" s="59"/>
      <c r="PFO4" s="59"/>
      <c r="PFP4" s="59"/>
      <c r="PFQ4" s="59"/>
      <c r="PFR4" s="59"/>
      <c r="PFS4" s="59"/>
      <c r="PFT4" s="59"/>
      <c r="PFU4" s="59"/>
      <c r="PFV4" s="59"/>
      <c r="PFW4" s="59"/>
      <c r="PFX4" s="59"/>
      <c r="PFY4" s="59"/>
      <c r="PFZ4" s="59"/>
      <c r="PGA4" s="59"/>
      <c r="PGB4" s="59"/>
      <c r="PGC4" s="59"/>
      <c r="PGD4" s="59"/>
      <c r="PGE4" s="59"/>
      <c r="PGF4" s="59"/>
      <c r="PGG4" s="59"/>
      <c r="PGH4" s="59"/>
      <c r="PGI4" s="59"/>
      <c r="PGJ4" s="59"/>
      <c r="PGK4" s="59"/>
      <c r="PGL4" s="59"/>
      <c r="PGM4" s="59"/>
      <c r="PGN4" s="59"/>
      <c r="PGO4" s="59"/>
      <c r="PGP4" s="59"/>
      <c r="PGQ4" s="59"/>
      <c r="PGR4" s="59"/>
      <c r="PGS4" s="59"/>
      <c r="PGT4" s="59"/>
      <c r="PGU4" s="59"/>
      <c r="PGV4" s="59"/>
      <c r="PGW4" s="59"/>
      <c r="PGX4" s="59"/>
      <c r="PGY4" s="59"/>
      <c r="PGZ4" s="59"/>
      <c r="PHA4" s="59"/>
      <c r="PHB4" s="59"/>
      <c r="PHC4" s="59"/>
      <c r="PHD4" s="59"/>
      <c r="PHE4" s="59"/>
      <c r="PHF4" s="59"/>
      <c r="PHG4" s="59"/>
      <c r="PHH4" s="59"/>
      <c r="PHI4" s="59"/>
      <c r="PHJ4" s="59"/>
      <c r="PHK4" s="59"/>
      <c r="PHL4" s="59"/>
      <c r="PHM4" s="59"/>
      <c r="PHN4" s="59"/>
      <c r="PHO4" s="59"/>
      <c r="PHP4" s="59"/>
      <c r="PHQ4" s="59"/>
      <c r="PHR4" s="59"/>
      <c r="PHS4" s="59"/>
      <c r="PHT4" s="59"/>
      <c r="PHU4" s="59"/>
      <c r="PHV4" s="59"/>
      <c r="PHW4" s="59"/>
      <c r="PHX4" s="59"/>
      <c r="PHY4" s="59"/>
      <c r="PHZ4" s="59"/>
      <c r="PIA4" s="59"/>
      <c r="PIB4" s="59"/>
      <c r="PIC4" s="59"/>
      <c r="PID4" s="59"/>
      <c r="PIE4" s="59"/>
      <c r="PIF4" s="59"/>
      <c r="PIG4" s="59"/>
      <c r="PIH4" s="59"/>
      <c r="PII4" s="59"/>
      <c r="PIJ4" s="59"/>
      <c r="PIK4" s="59"/>
      <c r="PIL4" s="59"/>
      <c r="PIM4" s="59"/>
      <c r="PIN4" s="59"/>
      <c r="PIO4" s="59"/>
      <c r="PIP4" s="59"/>
      <c r="PIQ4" s="59"/>
      <c r="PIR4" s="59"/>
      <c r="PIS4" s="59"/>
      <c r="PIT4" s="59"/>
      <c r="PIU4" s="59"/>
      <c r="PIV4" s="59"/>
      <c r="PIW4" s="59"/>
      <c r="PIX4" s="59"/>
      <c r="PIY4" s="59"/>
      <c r="PIZ4" s="59"/>
      <c r="PJA4" s="59"/>
      <c r="PJB4" s="59"/>
      <c r="PJC4" s="59"/>
      <c r="PJD4" s="59"/>
      <c r="PJE4" s="59"/>
      <c r="PJF4" s="59"/>
      <c r="PJG4" s="59"/>
      <c r="PJH4" s="59"/>
      <c r="PJI4" s="59"/>
      <c r="PJJ4" s="59"/>
      <c r="PJK4" s="59"/>
      <c r="PJL4" s="59"/>
      <c r="PJM4" s="59"/>
      <c r="PJN4" s="59"/>
      <c r="PJO4" s="59"/>
      <c r="PJP4" s="59"/>
      <c r="PJQ4" s="59"/>
      <c r="PJR4" s="59"/>
      <c r="PJS4" s="59"/>
      <c r="PJT4" s="59"/>
      <c r="PJU4" s="59"/>
      <c r="PJV4" s="59"/>
      <c r="PJW4" s="59"/>
      <c r="PJX4" s="59"/>
      <c r="PJY4" s="59"/>
      <c r="PJZ4" s="59"/>
      <c r="PKA4" s="59"/>
      <c r="PKB4" s="59"/>
      <c r="PKC4" s="59"/>
      <c r="PKD4" s="59"/>
      <c r="PKE4" s="59"/>
      <c r="PKF4" s="59"/>
      <c r="PKG4" s="59"/>
      <c r="PKH4" s="59"/>
      <c r="PKI4" s="59"/>
      <c r="PKJ4" s="59"/>
      <c r="PKK4" s="59"/>
      <c r="PKL4" s="59"/>
      <c r="PKM4" s="59"/>
      <c r="PKN4" s="59"/>
      <c r="PKO4" s="59"/>
      <c r="PKP4" s="59"/>
      <c r="PKQ4" s="59"/>
      <c r="PKR4" s="59"/>
      <c r="PKS4" s="59"/>
      <c r="PKT4" s="59"/>
      <c r="PKU4" s="59"/>
      <c r="PKV4" s="59"/>
      <c r="PKW4" s="59"/>
      <c r="PKX4" s="59"/>
      <c r="PKY4" s="59"/>
      <c r="PKZ4" s="59"/>
      <c r="PLA4" s="59"/>
      <c r="PLB4" s="59"/>
      <c r="PLC4" s="59"/>
      <c r="PLD4" s="59"/>
      <c r="PLE4" s="59"/>
      <c r="PLF4" s="59"/>
      <c r="PLG4" s="59"/>
      <c r="PLH4" s="59"/>
      <c r="PLI4" s="59"/>
      <c r="PLJ4" s="59"/>
      <c r="PLK4" s="59"/>
      <c r="PLL4" s="59"/>
      <c r="PLM4" s="59"/>
      <c r="PLN4" s="59"/>
      <c r="PLO4" s="59"/>
      <c r="PLP4" s="59"/>
      <c r="PLQ4" s="59"/>
      <c r="PLR4" s="59"/>
      <c r="PLS4" s="59"/>
      <c r="PLT4" s="59"/>
      <c r="PLU4" s="59"/>
      <c r="PLV4" s="59"/>
      <c r="PLW4" s="59"/>
      <c r="PLX4" s="59"/>
      <c r="PLY4" s="59"/>
      <c r="PLZ4" s="59"/>
      <c r="PMA4" s="59"/>
      <c r="PMB4" s="59"/>
      <c r="PMC4" s="59"/>
      <c r="PMD4" s="59"/>
      <c r="PME4" s="59"/>
      <c r="PMF4" s="59"/>
      <c r="PMG4" s="59"/>
      <c r="PMH4" s="59"/>
      <c r="PMI4" s="59"/>
      <c r="PMJ4" s="59"/>
      <c r="PMK4" s="59"/>
      <c r="PML4" s="59"/>
      <c r="PMM4" s="59"/>
      <c r="PMN4" s="59"/>
      <c r="PMO4" s="59"/>
      <c r="PMP4" s="59"/>
      <c r="PMQ4" s="59"/>
      <c r="PMR4" s="59"/>
      <c r="PMS4" s="59"/>
      <c r="PMT4" s="59"/>
      <c r="PMU4" s="59"/>
      <c r="PMV4" s="59"/>
      <c r="PMW4" s="59"/>
      <c r="PMX4" s="59"/>
      <c r="PMY4" s="59"/>
      <c r="PMZ4" s="59"/>
      <c r="PNA4" s="59"/>
      <c r="PNB4" s="59"/>
      <c r="PNC4" s="59"/>
      <c r="PND4" s="59"/>
      <c r="PNE4" s="59"/>
      <c r="PNF4" s="59"/>
      <c r="PNG4" s="59"/>
      <c r="PNH4" s="59"/>
      <c r="PNI4" s="59"/>
      <c r="PNJ4" s="59"/>
      <c r="PNK4" s="59"/>
      <c r="PNL4" s="59"/>
      <c r="PNM4" s="59"/>
      <c r="PNN4" s="59"/>
      <c r="PNO4" s="59"/>
      <c r="PNP4" s="59"/>
      <c r="PNQ4" s="59"/>
      <c r="PNR4" s="59"/>
      <c r="PNS4" s="59"/>
      <c r="PNT4" s="59"/>
      <c r="PNU4" s="59"/>
      <c r="PNV4" s="59"/>
      <c r="PNW4" s="59"/>
      <c r="PNX4" s="59"/>
      <c r="PNY4" s="59"/>
      <c r="PNZ4" s="59"/>
      <c r="POA4" s="59"/>
      <c r="POB4" s="59"/>
      <c r="POC4" s="59"/>
      <c r="POD4" s="59"/>
      <c r="POE4" s="59"/>
      <c r="POF4" s="59"/>
      <c r="POG4" s="59"/>
      <c r="POH4" s="59"/>
      <c r="POI4" s="59"/>
      <c r="POJ4" s="59"/>
      <c r="POK4" s="59"/>
      <c r="POL4" s="59"/>
      <c r="POM4" s="59"/>
      <c r="PON4" s="59"/>
      <c r="POO4" s="59"/>
      <c r="POP4" s="59"/>
      <c r="POQ4" s="59"/>
      <c r="POR4" s="59"/>
      <c r="POS4" s="59"/>
      <c r="POT4" s="59"/>
      <c r="POU4" s="59"/>
      <c r="POV4" s="59"/>
      <c r="POW4" s="59"/>
      <c r="POX4" s="59"/>
      <c r="POY4" s="59"/>
      <c r="POZ4" s="59"/>
      <c r="PPA4" s="59"/>
      <c r="PPB4" s="59"/>
      <c r="PPC4" s="59"/>
      <c r="PPD4" s="59"/>
      <c r="PPE4" s="59"/>
      <c r="PPF4" s="59"/>
      <c r="PPG4" s="59"/>
      <c r="PPH4" s="59"/>
      <c r="PPI4" s="59"/>
      <c r="PPJ4" s="59"/>
      <c r="PPK4" s="59"/>
      <c r="PPL4" s="59"/>
      <c r="PPM4" s="59"/>
      <c r="PPN4" s="59"/>
      <c r="PPO4" s="59"/>
      <c r="PPP4" s="59"/>
      <c r="PPQ4" s="59"/>
      <c r="PPR4" s="59"/>
      <c r="PPS4" s="59"/>
      <c r="PPT4" s="59"/>
      <c r="PPU4" s="59"/>
      <c r="PPV4" s="59"/>
      <c r="PPW4" s="59"/>
      <c r="PPX4" s="59"/>
      <c r="PPY4" s="59"/>
      <c r="PPZ4" s="59"/>
      <c r="PQA4" s="59"/>
      <c r="PQB4" s="59"/>
      <c r="PQC4" s="59"/>
      <c r="PQD4" s="59"/>
      <c r="PQE4" s="59"/>
      <c r="PQF4" s="59"/>
      <c r="PQG4" s="59"/>
      <c r="PQH4" s="59"/>
      <c r="PQI4" s="59"/>
      <c r="PQJ4" s="59"/>
      <c r="PQK4" s="59"/>
      <c r="PQL4" s="59"/>
      <c r="PQM4" s="59"/>
      <c r="PQN4" s="59"/>
      <c r="PQO4" s="59"/>
      <c r="PQP4" s="59"/>
      <c r="PQQ4" s="59"/>
      <c r="PQR4" s="59"/>
      <c r="PQS4" s="59"/>
      <c r="PQT4" s="59"/>
      <c r="PQU4" s="59"/>
      <c r="PQV4" s="59"/>
      <c r="PQW4" s="59"/>
      <c r="PQX4" s="59"/>
      <c r="PQY4" s="59"/>
      <c r="PQZ4" s="59"/>
      <c r="PRA4" s="59"/>
      <c r="PRB4" s="59"/>
      <c r="PRC4" s="59"/>
      <c r="PRD4" s="59"/>
      <c r="PRE4" s="59"/>
      <c r="PRF4" s="59"/>
      <c r="PRG4" s="59"/>
      <c r="PRH4" s="59"/>
      <c r="PRI4" s="59"/>
      <c r="PRJ4" s="59"/>
      <c r="PRK4" s="59"/>
      <c r="PRL4" s="59"/>
      <c r="PRM4" s="59"/>
      <c r="PRN4" s="59"/>
      <c r="PRO4" s="59"/>
      <c r="PRP4" s="59"/>
      <c r="PRQ4" s="59"/>
      <c r="PRR4" s="59"/>
      <c r="PRS4" s="59"/>
      <c r="PRT4" s="59"/>
      <c r="PRU4" s="59"/>
      <c r="PRV4" s="59"/>
      <c r="PRW4" s="59"/>
      <c r="PRX4" s="59"/>
      <c r="PRY4" s="59"/>
      <c r="PRZ4" s="59"/>
      <c r="PSA4" s="59"/>
      <c r="PSB4" s="59"/>
      <c r="PSC4" s="59"/>
      <c r="PSD4" s="59"/>
      <c r="PSE4" s="59"/>
      <c r="PSF4" s="59"/>
      <c r="PSG4" s="59"/>
      <c r="PSH4" s="59"/>
      <c r="PSI4" s="59"/>
      <c r="PSJ4" s="59"/>
      <c r="PSK4" s="59"/>
      <c r="PSL4" s="59"/>
      <c r="PSM4" s="59"/>
      <c r="PSN4" s="59"/>
      <c r="PSO4" s="59"/>
      <c r="PSP4" s="59"/>
      <c r="PSQ4" s="59"/>
      <c r="PSR4" s="59"/>
      <c r="PSS4" s="59"/>
      <c r="PST4" s="59"/>
      <c r="PSU4" s="59"/>
      <c r="PSV4" s="59"/>
      <c r="PSW4" s="59"/>
      <c r="PSX4" s="59"/>
      <c r="PSY4" s="59"/>
      <c r="PSZ4" s="59"/>
      <c r="PTA4" s="59"/>
      <c r="PTB4" s="59"/>
      <c r="PTC4" s="59"/>
      <c r="PTD4" s="59"/>
      <c r="PTE4" s="59"/>
      <c r="PTF4" s="59"/>
      <c r="PTG4" s="59"/>
      <c r="PTH4" s="59"/>
      <c r="PTI4" s="59"/>
      <c r="PTJ4" s="59"/>
      <c r="PTK4" s="59"/>
      <c r="PTL4" s="59"/>
      <c r="PTM4" s="59"/>
      <c r="PTN4" s="59"/>
      <c r="PTO4" s="59"/>
      <c r="PTP4" s="59"/>
      <c r="PTQ4" s="59"/>
      <c r="PTR4" s="59"/>
      <c r="PTS4" s="59"/>
      <c r="PTT4" s="59"/>
      <c r="PTU4" s="59"/>
      <c r="PTV4" s="59"/>
      <c r="PTW4" s="59"/>
      <c r="PTX4" s="59"/>
      <c r="PTY4" s="59"/>
      <c r="PTZ4" s="59"/>
      <c r="PUA4" s="59"/>
      <c r="PUB4" s="59"/>
      <c r="PUC4" s="59"/>
      <c r="PUD4" s="59"/>
      <c r="PUE4" s="59"/>
      <c r="PUF4" s="59"/>
      <c r="PUG4" s="59"/>
      <c r="PUH4" s="59"/>
      <c r="PUI4" s="59"/>
      <c r="PUJ4" s="59"/>
      <c r="PUK4" s="59"/>
      <c r="PUL4" s="59"/>
      <c r="PUM4" s="59"/>
      <c r="PUN4" s="59"/>
      <c r="PUO4" s="59"/>
      <c r="PUP4" s="59"/>
      <c r="PUQ4" s="59"/>
      <c r="PUR4" s="59"/>
      <c r="PUS4" s="59"/>
      <c r="PUT4" s="59"/>
      <c r="PUU4" s="59"/>
      <c r="PUV4" s="59"/>
      <c r="PUW4" s="59"/>
      <c r="PUX4" s="59"/>
      <c r="PUY4" s="59"/>
      <c r="PUZ4" s="59"/>
      <c r="PVA4" s="59"/>
      <c r="PVB4" s="59"/>
      <c r="PVC4" s="59"/>
      <c r="PVD4" s="59"/>
      <c r="PVE4" s="59"/>
      <c r="PVF4" s="59"/>
      <c r="PVG4" s="59"/>
      <c r="PVH4" s="59"/>
      <c r="PVI4" s="59"/>
      <c r="PVJ4" s="59"/>
      <c r="PVK4" s="59"/>
      <c r="PVL4" s="59"/>
      <c r="PVM4" s="59"/>
      <c r="PVN4" s="59"/>
      <c r="PVO4" s="59"/>
      <c r="PVP4" s="59"/>
      <c r="PVQ4" s="59"/>
      <c r="PVR4" s="59"/>
      <c r="PVS4" s="59"/>
      <c r="PVT4" s="59"/>
      <c r="PVU4" s="59"/>
      <c r="PVV4" s="59"/>
      <c r="PVW4" s="59"/>
      <c r="PVX4" s="59"/>
      <c r="PVY4" s="59"/>
      <c r="PVZ4" s="59"/>
      <c r="PWA4" s="59"/>
      <c r="PWB4" s="59"/>
      <c r="PWC4" s="59"/>
      <c r="PWD4" s="59"/>
      <c r="PWE4" s="59"/>
      <c r="PWF4" s="59"/>
      <c r="PWG4" s="59"/>
      <c r="PWH4" s="59"/>
      <c r="PWI4" s="59"/>
      <c r="PWJ4" s="59"/>
      <c r="PWK4" s="59"/>
      <c r="PWL4" s="59"/>
      <c r="PWM4" s="59"/>
      <c r="PWN4" s="59"/>
      <c r="PWO4" s="59"/>
      <c r="PWP4" s="59"/>
      <c r="PWQ4" s="59"/>
      <c r="PWR4" s="59"/>
      <c r="PWS4" s="59"/>
      <c r="PWT4" s="59"/>
      <c r="PWU4" s="59"/>
      <c r="PWV4" s="59"/>
      <c r="PWW4" s="59"/>
      <c r="PWX4" s="59"/>
      <c r="PWY4" s="59"/>
      <c r="PWZ4" s="59"/>
      <c r="PXA4" s="59"/>
      <c r="PXB4" s="59"/>
      <c r="PXC4" s="59"/>
      <c r="PXD4" s="59"/>
      <c r="PXE4" s="59"/>
      <c r="PXF4" s="59"/>
      <c r="PXG4" s="59"/>
      <c r="PXH4" s="59"/>
      <c r="PXI4" s="59"/>
      <c r="PXJ4" s="59"/>
      <c r="PXK4" s="59"/>
      <c r="PXL4" s="59"/>
      <c r="PXM4" s="59"/>
      <c r="PXN4" s="59"/>
      <c r="PXO4" s="59"/>
      <c r="PXP4" s="59"/>
      <c r="PXQ4" s="59"/>
      <c r="PXR4" s="59"/>
      <c r="PXS4" s="59"/>
      <c r="PXT4" s="59"/>
      <c r="PXU4" s="59"/>
      <c r="PXV4" s="59"/>
      <c r="PXW4" s="59"/>
      <c r="PXX4" s="59"/>
      <c r="PXY4" s="59"/>
      <c r="PXZ4" s="59"/>
      <c r="PYA4" s="59"/>
      <c r="PYB4" s="59"/>
      <c r="PYC4" s="59"/>
      <c r="PYD4" s="59"/>
      <c r="PYE4" s="59"/>
      <c r="PYF4" s="59"/>
      <c r="PYG4" s="59"/>
      <c r="PYH4" s="59"/>
      <c r="PYI4" s="59"/>
      <c r="PYJ4" s="59"/>
      <c r="PYK4" s="59"/>
      <c r="PYL4" s="59"/>
      <c r="PYM4" s="59"/>
      <c r="PYN4" s="59"/>
      <c r="PYO4" s="59"/>
      <c r="PYP4" s="59"/>
      <c r="PYQ4" s="59"/>
      <c r="PYR4" s="59"/>
      <c r="PYS4" s="59"/>
      <c r="PYT4" s="59"/>
      <c r="PYU4" s="59"/>
      <c r="PYV4" s="59"/>
      <c r="PYW4" s="59"/>
      <c r="PYX4" s="59"/>
      <c r="PYY4" s="59"/>
      <c r="PYZ4" s="59"/>
      <c r="PZA4" s="59"/>
      <c r="PZB4" s="59"/>
      <c r="PZC4" s="59"/>
      <c r="PZD4" s="59"/>
      <c r="PZE4" s="59"/>
      <c r="PZF4" s="59"/>
      <c r="PZG4" s="59"/>
      <c r="PZH4" s="59"/>
      <c r="PZI4" s="59"/>
      <c r="PZJ4" s="59"/>
      <c r="PZK4" s="59"/>
      <c r="PZL4" s="59"/>
      <c r="PZM4" s="59"/>
      <c r="PZN4" s="59"/>
      <c r="PZO4" s="59"/>
      <c r="PZP4" s="59"/>
      <c r="PZQ4" s="59"/>
      <c r="PZR4" s="59"/>
      <c r="PZS4" s="59"/>
      <c r="PZT4" s="59"/>
      <c r="PZU4" s="59"/>
      <c r="PZV4" s="59"/>
      <c r="PZW4" s="59"/>
      <c r="PZX4" s="59"/>
      <c r="PZY4" s="59"/>
      <c r="PZZ4" s="59"/>
      <c r="QAA4" s="59"/>
      <c r="QAB4" s="59"/>
      <c r="QAC4" s="59"/>
      <c r="QAD4" s="59"/>
      <c r="QAE4" s="59"/>
      <c r="QAF4" s="59"/>
      <c r="QAG4" s="59"/>
      <c r="QAH4" s="59"/>
      <c r="QAI4" s="59"/>
      <c r="QAJ4" s="59"/>
      <c r="QAK4" s="59"/>
      <c r="QAL4" s="59"/>
      <c r="QAM4" s="59"/>
      <c r="QAN4" s="59"/>
      <c r="QAO4" s="59"/>
      <c r="QAP4" s="59"/>
      <c r="QAQ4" s="59"/>
      <c r="QAR4" s="59"/>
      <c r="QAS4" s="59"/>
      <c r="QAT4" s="59"/>
      <c r="QAU4" s="59"/>
      <c r="QAV4" s="59"/>
      <c r="QAW4" s="59"/>
      <c r="QAX4" s="59"/>
      <c r="QAY4" s="59"/>
      <c r="QAZ4" s="59"/>
      <c r="QBA4" s="59"/>
      <c r="QBB4" s="59"/>
      <c r="QBC4" s="59"/>
      <c r="QBD4" s="59"/>
      <c r="QBE4" s="59"/>
      <c r="QBF4" s="59"/>
      <c r="QBG4" s="59"/>
      <c r="QBH4" s="59"/>
      <c r="QBI4" s="59"/>
      <c r="QBJ4" s="59"/>
      <c r="QBK4" s="59"/>
      <c r="QBL4" s="59"/>
      <c r="QBM4" s="59"/>
      <c r="QBN4" s="59"/>
      <c r="QBO4" s="59"/>
      <c r="QBP4" s="59"/>
      <c r="QBQ4" s="59"/>
      <c r="QBR4" s="59"/>
      <c r="QBS4" s="59"/>
      <c r="QBT4" s="59"/>
      <c r="QBU4" s="59"/>
      <c r="QBV4" s="59"/>
      <c r="QBW4" s="59"/>
      <c r="QBX4" s="59"/>
      <c r="QBY4" s="59"/>
      <c r="QBZ4" s="59"/>
      <c r="QCA4" s="59"/>
      <c r="QCB4" s="59"/>
      <c r="QCC4" s="59"/>
      <c r="QCD4" s="59"/>
      <c r="QCE4" s="59"/>
      <c r="QCF4" s="59"/>
      <c r="QCG4" s="59"/>
      <c r="QCH4" s="59"/>
      <c r="QCI4" s="59"/>
      <c r="QCJ4" s="59"/>
      <c r="QCK4" s="59"/>
      <c r="QCL4" s="59"/>
      <c r="QCM4" s="59"/>
      <c r="QCN4" s="59"/>
      <c r="QCO4" s="59"/>
      <c r="QCP4" s="59"/>
      <c r="QCQ4" s="59"/>
      <c r="QCR4" s="59"/>
      <c r="QCS4" s="59"/>
      <c r="QCT4" s="59"/>
      <c r="QCU4" s="59"/>
      <c r="QCV4" s="59"/>
      <c r="QCW4" s="59"/>
      <c r="QCX4" s="59"/>
      <c r="QCY4" s="59"/>
      <c r="QCZ4" s="59"/>
      <c r="QDA4" s="59"/>
      <c r="QDB4" s="59"/>
      <c r="QDC4" s="59"/>
      <c r="QDD4" s="59"/>
      <c r="QDE4" s="59"/>
      <c r="QDF4" s="59"/>
      <c r="QDG4" s="59"/>
      <c r="QDH4" s="59"/>
      <c r="QDI4" s="59"/>
      <c r="QDJ4" s="59"/>
      <c r="QDK4" s="59"/>
      <c r="QDL4" s="59"/>
      <c r="QDM4" s="59"/>
      <c r="QDN4" s="59"/>
      <c r="QDO4" s="59"/>
      <c r="QDP4" s="59"/>
      <c r="QDQ4" s="59"/>
      <c r="QDR4" s="59"/>
      <c r="QDS4" s="59"/>
      <c r="QDT4" s="59"/>
      <c r="QDU4" s="59"/>
      <c r="QDV4" s="59"/>
      <c r="QDW4" s="59"/>
      <c r="QDX4" s="59"/>
      <c r="QDY4" s="59"/>
      <c r="QDZ4" s="59"/>
      <c r="QEA4" s="59"/>
      <c r="QEB4" s="59"/>
      <c r="QEC4" s="59"/>
      <c r="QED4" s="59"/>
      <c r="QEE4" s="59"/>
      <c r="QEF4" s="59"/>
      <c r="QEG4" s="59"/>
      <c r="QEH4" s="59"/>
      <c r="QEI4" s="59"/>
      <c r="QEJ4" s="59"/>
      <c r="QEK4" s="59"/>
      <c r="QEL4" s="59"/>
      <c r="QEM4" s="59"/>
      <c r="QEN4" s="59"/>
      <c r="QEO4" s="59"/>
      <c r="QEP4" s="59"/>
      <c r="QEQ4" s="59"/>
      <c r="QER4" s="59"/>
      <c r="QES4" s="59"/>
      <c r="QET4" s="59"/>
      <c r="QEU4" s="59"/>
      <c r="QEV4" s="59"/>
      <c r="QEW4" s="59"/>
      <c r="QEX4" s="59"/>
      <c r="QEY4" s="59"/>
      <c r="QEZ4" s="59"/>
      <c r="QFA4" s="59"/>
      <c r="QFB4" s="59"/>
      <c r="QFC4" s="59"/>
      <c r="QFD4" s="59"/>
      <c r="QFE4" s="59"/>
      <c r="QFF4" s="59"/>
      <c r="QFG4" s="59"/>
      <c r="QFH4" s="59"/>
      <c r="QFI4" s="59"/>
      <c r="QFJ4" s="59"/>
      <c r="QFK4" s="59"/>
      <c r="QFL4" s="59"/>
      <c r="QFM4" s="59"/>
      <c r="QFN4" s="59"/>
      <c r="QFO4" s="59"/>
      <c r="QFP4" s="59"/>
      <c r="QFQ4" s="59"/>
      <c r="QFR4" s="59"/>
      <c r="QFS4" s="59"/>
      <c r="QFT4" s="59"/>
      <c r="QFU4" s="59"/>
      <c r="QFV4" s="59"/>
      <c r="QFW4" s="59"/>
      <c r="QFX4" s="59"/>
      <c r="QFY4" s="59"/>
      <c r="QFZ4" s="59"/>
      <c r="QGA4" s="59"/>
      <c r="QGB4" s="59"/>
      <c r="QGC4" s="59"/>
      <c r="QGD4" s="59"/>
      <c r="QGE4" s="59"/>
      <c r="QGF4" s="59"/>
      <c r="QGG4" s="59"/>
      <c r="QGH4" s="59"/>
      <c r="QGI4" s="59"/>
      <c r="QGJ4" s="59"/>
      <c r="QGK4" s="59"/>
      <c r="QGL4" s="59"/>
      <c r="QGM4" s="59"/>
      <c r="QGN4" s="59"/>
      <c r="QGO4" s="59"/>
      <c r="QGP4" s="59"/>
      <c r="QGQ4" s="59"/>
      <c r="QGR4" s="59"/>
      <c r="QGS4" s="59"/>
      <c r="QGT4" s="59"/>
      <c r="QGU4" s="59"/>
      <c r="QGV4" s="59"/>
      <c r="QGW4" s="59"/>
      <c r="QGX4" s="59"/>
      <c r="QGY4" s="59"/>
      <c r="QGZ4" s="59"/>
      <c r="QHA4" s="59"/>
      <c r="QHB4" s="59"/>
      <c r="QHC4" s="59"/>
      <c r="QHD4" s="59"/>
      <c r="QHE4" s="59"/>
      <c r="QHF4" s="59"/>
      <c r="QHG4" s="59"/>
      <c r="QHH4" s="59"/>
      <c r="QHI4" s="59"/>
      <c r="QHJ4" s="59"/>
      <c r="QHK4" s="59"/>
      <c r="QHL4" s="59"/>
      <c r="QHM4" s="59"/>
      <c r="QHN4" s="59"/>
      <c r="QHO4" s="59"/>
      <c r="QHP4" s="59"/>
      <c r="QHQ4" s="59"/>
      <c r="QHR4" s="59"/>
      <c r="QHS4" s="59"/>
      <c r="QHT4" s="59"/>
      <c r="QHU4" s="59"/>
      <c r="QHV4" s="59"/>
      <c r="QHW4" s="59"/>
      <c r="QHX4" s="59"/>
      <c r="QHY4" s="59"/>
      <c r="QHZ4" s="59"/>
      <c r="QIA4" s="59"/>
      <c r="QIB4" s="59"/>
      <c r="QIC4" s="59"/>
      <c r="QID4" s="59"/>
      <c r="QIE4" s="59"/>
      <c r="QIF4" s="59"/>
      <c r="QIG4" s="59"/>
      <c r="QIH4" s="59"/>
      <c r="QII4" s="59"/>
      <c r="QIJ4" s="59"/>
      <c r="QIK4" s="59"/>
      <c r="QIL4" s="59"/>
      <c r="QIM4" s="59"/>
      <c r="QIN4" s="59"/>
      <c r="QIO4" s="59"/>
      <c r="QIP4" s="59"/>
      <c r="QIQ4" s="59"/>
      <c r="QIR4" s="59"/>
      <c r="QIS4" s="59"/>
      <c r="QIT4" s="59"/>
      <c r="QIU4" s="59"/>
      <c r="QIV4" s="59"/>
      <c r="QIW4" s="59"/>
      <c r="QIX4" s="59"/>
      <c r="QIY4" s="59"/>
      <c r="QIZ4" s="59"/>
      <c r="QJA4" s="59"/>
      <c r="QJB4" s="59"/>
      <c r="QJC4" s="59"/>
      <c r="QJD4" s="59"/>
      <c r="QJE4" s="59"/>
      <c r="QJF4" s="59"/>
      <c r="QJG4" s="59"/>
      <c r="QJH4" s="59"/>
      <c r="QJI4" s="59"/>
      <c r="QJJ4" s="59"/>
      <c r="QJK4" s="59"/>
      <c r="QJL4" s="59"/>
      <c r="QJM4" s="59"/>
      <c r="QJN4" s="59"/>
      <c r="QJO4" s="59"/>
      <c r="QJP4" s="59"/>
      <c r="QJQ4" s="59"/>
      <c r="QJR4" s="59"/>
      <c r="QJS4" s="59"/>
      <c r="QJT4" s="59"/>
      <c r="QJU4" s="59"/>
      <c r="QJV4" s="59"/>
      <c r="QJW4" s="59"/>
      <c r="QJX4" s="59"/>
      <c r="QJY4" s="59"/>
      <c r="QJZ4" s="59"/>
      <c r="QKA4" s="59"/>
      <c r="QKB4" s="59"/>
      <c r="QKC4" s="59"/>
      <c r="QKD4" s="59"/>
      <c r="QKE4" s="59"/>
      <c r="QKF4" s="59"/>
      <c r="QKG4" s="59"/>
      <c r="QKH4" s="59"/>
      <c r="QKI4" s="59"/>
      <c r="QKJ4" s="59"/>
      <c r="QKK4" s="59"/>
      <c r="QKL4" s="59"/>
      <c r="QKM4" s="59"/>
      <c r="QKN4" s="59"/>
      <c r="QKO4" s="59"/>
      <c r="QKP4" s="59"/>
      <c r="QKQ4" s="59"/>
      <c r="QKR4" s="59"/>
      <c r="QKS4" s="59"/>
      <c r="QKT4" s="59"/>
      <c r="QKU4" s="59"/>
      <c r="QKV4" s="59"/>
      <c r="QKW4" s="59"/>
      <c r="QKX4" s="59"/>
      <c r="QKY4" s="59"/>
      <c r="QKZ4" s="59"/>
      <c r="QLA4" s="59"/>
      <c r="QLB4" s="59"/>
      <c r="QLC4" s="59"/>
      <c r="QLD4" s="59"/>
      <c r="QLE4" s="59"/>
      <c r="QLF4" s="59"/>
      <c r="QLG4" s="59"/>
      <c r="QLH4" s="59"/>
      <c r="QLI4" s="59"/>
      <c r="QLJ4" s="59"/>
      <c r="QLK4" s="59"/>
      <c r="QLL4" s="59"/>
      <c r="QLM4" s="59"/>
      <c r="QLN4" s="59"/>
      <c r="QLO4" s="59"/>
      <c r="QLP4" s="59"/>
      <c r="QLQ4" s="59"/>
      <c r="QLR4" s="59"/>
      <c r="QLS4" s="59"/>
      <c r="QLT4" s="59"/>
      <c r="QLU4" s="59"/>
      <c r="QLV4" s="59"/>
      <c r="QLW4" s="59"/>
      <c r="QLX4" s="59"/>
      <c r="QLY4" s="59"/>
      <c r="QLZ4" s="59"/>
      <c r="QMA4" s="59"/>
      <c r="QMB4" s="59"/>
      <c r="QMC4" s="59"/>
      <c r="QMD4" s="59"/>
      <c r="QME4" s="59"/>
      <c r="QMF4" s="59"/>
      <c r="QMG4" s="59"/>
      <c r="QMH4" s="59"/>
      <c r="QMI4" s="59"/>
      <c r="QMJ4" s="59"/>
      <c r="QMK4" s="59"/>
      <c r="QML4" s="59"/>
      <c r="QMM4" s="59"/>
      <c r="QMN4" s="59"/>
      <c r="QMO4" s="59"/>
      <c r="QMP4" s="59"/>
      <c r="QMQ4" s="59"/>
      <c r="QMR4" s="59"/>
      <c r="QMS4" s="59"/>
      <c r="QMT4" s="59"/>
      <c r="QMU4" s="59"/>
      <c r="QMV4" s="59"/>
      <c r="QMW4" s="59"/>
      <c r="QMX4" s="59"/>
      <c r="QMY4" s="59"/>
      <c r="QMZ4" s="59"/>
      <c r="QNA4" s="59"/>
      <c r="QNB4" s="59"/>
      <c r="QNC4" s="59"/>
      <c r="QND4" s="59"/>
      <c r="QNE4" s="59"/>
      <c r="QNF4" s="59"/>
      <c r="QNG4" s="59"/>
      <c r="QNH4" s="59"/>
      <c r="QNI4" s="59"/>
      <c r="QNJ4" s="59"/>
      <c r="QNK4" s="59"/>
      <c r="QNL4" s="59"/>
      <c r="QNM4" s="59"/>
      <c r="QNN4" s="59"/>
      <c r="QNO4" s="59"/>
      <c r="QNP4" s="59"/>
      <c r="QNQ4" s="59"/>
      <c r="QNR4" s="59"/>
      <c r="QNS4" s="59"/>
      <c r="QNT4" s="59"/>
      <c r="QNU4" s="59"/>
      <c r="QNV4" s="59"/>
      <c r="QNW4" s="59"/>
      <c r="QNX4" s="59"/>
      <c r="QNY4" s="59"/>
      <c r="QNZ4" s="59"/>
      <c r="QOA4" s="59"/>
      <c r="QOB4" s="59"/>
      <c r="QOC4" s="59"/>
      <c r="QOD4" s="59"/>
      <c r="QOE4" s="59"/>
      <c r="QOF4" s="59"/>
      <c r="QOG4" s="59"/>
      <c r="QOH4" s="59"/>
      <c r="QOI4" s="59"/>
      <c r="QOJ4" s="59"/>
      <c r="QOK4" s="59"/>
      <c r="QOL4" s="59"/>
      <c r="QOM4" s="59"/>
      <c r="QON4" s="59"/>
      <c r="QOO4" s="59"/>
      <c r="QOP4" s="59"/>
      <c r="QOQ4" s="59"/>
      <c r="QOR4" s="59"/>
      <c r="QOS4" s="59"/>
      <c r="QOT4" s="59"/>
      <c r="QOU4" s="59"/>
      <c r="QOV4" s="59"/>
      <c r="QOW4" s="59"/>
      <c r="QOX4" s="59"/>
      <c r="QOY4" s="59"/>
      <c r="QOZ4" s="59"/>
      <c r="QPA4" s="59"/>
      <c r="QPB4" s="59"/>
      <c r="QPC4" s="59"/>
      <c r="QPD4" s="59"/>
      <c r="QPE4" s="59"/>
      <c r="QPF4" s="59"/>
      <c r="QPG4" s="59"/>
      <c r="QPH4" s="59"/>
      <c r="QPI4" s="59"/>
      <c r="QPJ4" s="59"/>
      <c r="QPK4" s="59"/>
      <c r="QPL4" s="59"/>
      <c r="QPM4" s="59"/>
      <c r="QPN4" s="59"/>
      <c r="QPO4" s="59"/>
      <c r="QPP4" s="59"/>
      <c r="QPQ4" s="59"/>
      <c r="QPR4" s="59"/>
      <c r="QPS4" s="59"/>
      <c r="QPT4" s="59"/>
      <c r="QPU4" s="59"/>
      <c r="QPV4" s="59"/>
      <c r="QPW4" s="59"/>
      <c r="QPX4" s="59"/>
      <c r="QPY4" s="59"/>
      <c r="QPZ4" s="59"/>
      <c r="QQA4" s="59"/>
      <c r="QQB4" s="59"/>
      <c r="QQC4" s="59"/>
      <c r="QQD4" s="59"/>
      <c r="QQE4" s="59"/>
      <c r="QQF4" s="59"/>
      <c r="QQG4" s="59"/>
      <c r="QQH4" s="59"/>
      <c r="QQI4" s="59"/>
      <c r="QQJ4" s="59"/>
      <c r="QQK4" s="59"/>
      <c r="QQL4" s="59"/>
      <c r="QQM4" s="59"/>
      <c r="QQN4" s="59"/>
      <c r="QQO4" s="59"/>
      <c r="QQP4" s="59"/>
      <c r="QQQ4" s="59"/>
      <c r="QQR4" s="59"/>
      <c r="QQS4" s="59"/>
      <c r="QQT4" s="59"/>
      <c r="QQU4" s="59"/>
      <c r="QQV4" s="59"/>
      <c r="QQW4" s="59"/>
      <c r="QQX4" s="59"/>
      <c r="QQY4" s="59"/>
      <c r="QQZ4" s="59"/>
      <c r="QRA4" s="59"/>
      <c r="QRB4" s="59"/>
      <c r="QRC4" s="59"/>
      <c r="QRD4" s="59"/>
      <c r="QRE4" s="59"/>
      <c r="QRF4" s="59"/>
      <c r="QRG4" s="59"/>
      <c r="QRH4" s="59"/>
      <c r="QRI4" s="59"/>
      <c r="QRJ4" s="59"/>
      <c r="QRK4" s="59"/>
      <c r="QRL4" s="59"/>
      <c r="QRM4" s="59"/>
      <c r="QRN4" s="59"/>
      <c r="QRO4" s="59"/>
      <c r="QRP4" s="59"/>
      <c r="QRQ4" s="59"/>
      <c r="QRR4" s="59"/>
      <c r="QRS4" s="59"/>
      <c r="QRT4" s="59"/>
      <c r="QRU4" s="59"/>
      <c r="QRV4" s="59"/>
      <c r="QRW4" s="59"/>
      <c r="QRX4" s="59"/>
      <c r="QRY4" s="59"/>
      <c r="QRZ4" s="59"/>
      <c r="QSA4" s="59"/>
      <c r="QSB4" s="59"/>
      <c r="QSC4" s="59"/>
      <c r="QSD4" s="59"/>
      <c r="QSE4" s="59"/>
      <c r="QSF4" s="59"/>
      <c r="QSG4" s="59"/>
      <c r="QSH4" s="59"/>
      <c r="QSI4" s="59"/>
      <c r="QSJ4" s="59"/>
      <c r="QSK4" s="59"/>
      <c r="QSL4" s="59"/>
      <c r="QSM4" s="59"/>
      <c r="QSN4" s="59"/>
      <c r="QSO4" s="59"/>
      <c r="QSP4" s="59"/>
      <c r="QSQ4" s="59"/>
      <c r="QSR4" s="59"/>
      <c r="QSS4" s="59"/>
      <c r="QST4" s="59"/>
      <c r="QSU4" s="59"/>
      <c r="QSV4" s="59"/>
      <c r="QSW4" s="59"/>
      <c r="QSX4" s="59"/>
      <c r="QSY4" s="59"/>
      <c r="QSZ4" s="59"/>
      <c r="QTA4" s="59"/>
      <c r="QTB4" s="59"/>
      <c r="QTC4" s="59"/>
      <c r="QTD4" s="59"/>
      <c r="QTE4" s="59"/>
      <c r="QTF4" s="59"/>
      <c r="QTG4" s="59"/>
      <c r="QTH4" s="59"/>
      <c r="QTI4" s="59"/>
      <c r="QTJ4" s="59"/>
      <c r="QTK4" s="59"/>
      <c r="QTL4" s="59"/>
      <c r="QTM4" s="59"/>
      <c r="QTN4" s="59"/>
      <c r="QTO4" s="59"/>
      <c r="QTP4" s="59"/>
      <c r="QTQ4" s="59"/>
      <c r="QTR4" s="59"/>
      <c r="QTS4" s="59"/>
      <c r="QTT4" s="59"/>
      <c r="QTU4" s="59"/>
      <c r="QTV4" s="59"/>
      <c r="QTW4" s="59"/>
      <c r="QTX4" s="59"/>
      <c r="QTY4" s="59"/>
      <c r="QTZ4" s="59"/>
      <c r="QUA4" s="59"/>
      <c r="QUB4" s="59"/>
      <c r="QUC4" s="59"/>
      <c r="QUD4" s="59"/>
      <c r="QUE4" s="59"/>
      <c r="QUF4" s="59"/>
      <c r="QUG4" s="59"/>
      <c r="QUH4" s="59"/>
      <c r="QUI4" s="59"/>
      <c r="QUJ4" s="59"/>
      <c r="QUK4" s="59"/>
      <c r="QUL4" s="59"/>
      <c r="QUM4" s="59"/>
      <c r="QUN4" s="59"/>
      <c r="QUO4" s="59"/>
      <c r="QUP4" s="59"/>
      <c r="QUQ4" s="59"/>
      <c r="QUR4" s="59"/>
      <c r="QUS4" s="59"/>
      <c r="QUT4" s="59"/>
      <c r="QUU4" s="59"/>
      <c r="QUV4" s="59"/>
      <c r="QUW4" s="59"/>
      <c r="QUX4" s="59"/>
      <c r="QUY4" s="59"/>
      <c r="QUZ4" s="59"/>
      <c r="QVA4" s="59"/>
      <c r="QVB4" s="59"/>
      <c r="QVC4" s="59"/>
      <c r="QVD4" s="59"/>
      <c r="QVE4" s="59"/>
      <c r="QVF4" s="59"/>
      <c r="QVG4" s="59"/>
      <c r="QVH4" s="59"/>
      <c r="QVI4" s="59"/>
      <c r="QVJ4" s="59"/>
      <c r="QVK4" s="59"/>
      <c r="QVL4" s="59"/>
      <c r="QVM4" s="59"/>
      <c r="QVN4" s="59"/>
      <c r="QVO4" s="59"/>
      <c r="QVP4" s="59"/>
      <c r="QVQ4" s="59"/>
      <c r="QVR4" s="59"/>
      <c r="QVS4" s="59"/>
      <c r="QVT4" s="59"/>
      <c r="QVU4" s="59"/>
      <c r="QVV4" s="59"/>
      <c r="QVW4" s="59"/>
      <c r="QVX4" s="59"/>
      <c r="QVY4" s="59"/>
      <c r="QVZ4" s="59"/>
      <c r="QWA4" s="59"/>
      <c r="QWB4" s="59"/>
      <c r="QWC4" s="59"/>
      <c r="QWD4" s="59"/>
      <c r="QWE4" s="59"/>
      <c r="QWF4" s="59"/>
      <c r="QWG4" s="59"/>
      <c r="QWH4" s="59"/>
      <c r="QWI4" s="59"/>
      <c r="QWJ4" s="59"/>
      <c r="QWK4" s="59"/>
      <c r="QWL4" s="59"/>
      <c r="QWM4" s="59"/>
      <c r="QWN4" s="59"/>
      <c r="QWO4" s="59"/>
      <c r="QWP4" s="59"/>
      <c r="QWQ4" s="59"/>
      <c r="QWR4" s="59"/>
      <c r="QWS4" s="59"/>
      <c r="QWT4" s="59"/>
      <c r="QWU4" s="59"/>
      <c r="QWV4" s="59"/>
      <c r="QWW4" s="59"/>
      <c r="QWX4" s="59"/>
      <c r="QWY4" s="59"/>
      <c r="QWZ4" s="59"/>
      <c r="QXA4" s="59"/>
      <c r="QXB4" s="59"/>
      <c r="QXC4" s="59"/>
      <c r="QXD4" s="59"/>
      <c r="QXE4" s="59"/>
      <c r="QXF4" s="59"/>
      <c r="QXG4" s="59"/>
      <c r="QXH4" s="59"/>
      <c r="QXI4" s="59"/>
      <c r="QXJ4" s="59"/>
      <c r="QXK4" s="59"/>
      <c r="QXL4" s="59"/>
      <c r="QXM4" s="59"/>
      <c r="QXN4" s="59"/>
      <c r="QXO4" s="59"/>
      <c r="QXP4" s="59"/>
      <c r="QXQ4" s="59"/>
      <c r="QXR4" s="59"/>
      <c r="QXS4" s="59"/>
      <c r="QXT4" s="59"/>
      <c r="QXU4" s="59"/>
      <c r="QXV4" s="59"/>
      <c r="QXW4" s="59"/>
      <c r="QXX4" s="59"/>
      <c r="QXY4" s="59"/>
      <c r="QXZ4" s="59"/>
      <c r="QYA4" s="59"/>
      <c r="QYB4" s="59"/>
      <c r="QYC4" s="59"/>
      <c r="QYD4" s="59"/>
      <c r="QYE4" s="59"/>
      <c r="QYF4" s="59"/>
      <c r="QYG4" s="59"/>
      <c r="QYH4" s="59"/>
      <c r="QYI4" s="59"/>
      <c r="QYJ4" s="59"/>
      <c r="QYK4" s="59"/>
      <c r="QYL4" s="59"/>
      <c r="QYM4" s="59"/>
      <c r="QYN4" s="59"/>
      <c r="QYO4" s="59"/>
      <c r="QYP4" s="59"/>
      <c r="QYQ4" s="59"/>
      <c r="QYR4" s="59"/>
      <c r="QYS4" s="59"/>
      <c r="QYT4" s="59"/>
      <c r="QYU4" s="59"/>
      <c r="QYV4" s="59"/>
      <c r="QYW4" s="59"/>
      <c r="QYX4" s="59"/>
      <c r="QYY4" s="59"/>
      <c r="QYZ4" s="59"/>
      <c r="QZA4" s="59"/>
      <c r="QZB4" s="59"/>
      <c r="QZC4" s="59"/>
      <c r="QZD4" s="59"/>
      <c r="QZE4" s="59"/>
      <c r="QZF4" s="59"/>
      <c r="QZG4" s="59"/>
      <c r="QZH4" s="59"/>
      <c r="QZI4" s="59"/>
      <c r="QZJ4" s="59"/>
      <c r="QZK4" s="59"/>
      <c r="QZL4" s="59"/>
      <c r="QZM4" s="59"/>
      <c r="QZN4" s="59"/>
      <c r="QZO4" s="59"/>
      <c r="QZP4" s="59"/>
      <c r="QZQ4" s="59"/>
      <c r="QZR4" s="59"/>
      <c r="QZS4" s="59"/>
      <c r="QZT4" s="59"/>
      <c r="QZU4" s="59"/>
      <c r="QZV4" s="59"/>
      <c r="QZW4" s="59"/>
      <c r="QZX4" s="59"/>
      <c r="QZY4" s="59"/>
      <c r="QZZ4" s="59"/>
      <c r="RAA4" s="59"/>
      <c r="RAB4" s="59"/>
      <c r="RAC4" s="59"/>
      <c r="RAD4" s="59"/>
      <c r="RAE4" s="59"/>
      <c r="RAF4" s="59"/>
      <c r="RAG4" s="59"/>
      <c r="RAH4" s="59"/>
      <c r="RAI4" s="59"/>
      <c r="RAJ4" s="59"/>
      <c r="RAK4" s="59"/>
      <c r="RAL4" s="59"/>
      <c r="RAM4" s="59"/>
      <c r="RAN4" s="59"/>
      <c r="RAO4" s="59"/>
      <c r="RAP4" s="59"/>
      <c r="RAQ4" s="59"/>
      <c r="RAR4" s="59"/>
      <c r="RAS4" s="59"/>
      <c r="RAT4" s="59"/>
      <c r="RAU4" s="59"/>
      <c r="RAV4" s="59"/>
      <c r="RAW4" s="59"/>
      <c r="RAX4" s="59"/>
      <c r="RAY4" s="59"/>
      <c r="RAZ4" s="59"/>
      <c r="RBA4" s="59"/>
      <c r="RBB4" s="59"/>
      <c r="RBC4" s="59"/>
      <c r="RBD4" s="59"/>
      <c r="RBE4" s="59"/>
      <c r="RBF4" s="59"/>
      <c r="RBG4" s="59"/>
      <c r="RBH4" s="59"/>
      <c r="RBI4" s="59"/>
      <c r="RBJ4" s="59"/>
      <c r="RBK4" s="59"/>
      <c r="RBL4" s="59"/>
      <c r="RBM4" s="59"/>
      <c r="RBN4" s="59"/>
      <c r="RBO4" s="59"/>
      <c r="RBP4" s="59"/>
      <c r="RBQ4" s="59"/>
      <c r="RBR4" s="59"/>
      <c r="RBS4" s="59"/>
      <c r="RBT4" s="59"/>
      <c r="RBU4" s="59"/>
      <c r="RBV4" s="59"/>
      <c r="RBW4" s="59"/>
      <c r="RBX4" s="59"/>
      <c r="RBY4" s="59"/>
      <c r="RBZ4" s="59"/>
      <c r="RCA4" s="59"/>
      <c r="RCB4" s="59"/>
      <c r="RCC4" s="59"/>
      <c r="RCD4" s="59"/>
      <c r="RCE4" s="59"/>
      <c r="RCF4" s="59"/>
      <c r="RCG4" s="59"/>
      <c r="RCH4" s="59"/>
      <c r="RCI4" s="59"/>
      <c r="RCJ4" s="59"/>
      <c r="RCK4" s="59"/>
      <c r="RCL4" s="59"/>
      <c r="RCM4" s="59"/>
      <c r="RCN4" s="59"/>
      <c r="RCO4" s="59"/>
      <c r="RCP4" s="59"/>
      <c r="RCQ4" s="59"/>
      <c r="RCR4" s="59"/>
      <c r="RCS4" s="59"/>
      <c r="RCT4" s="59"/>
      <c r="RCU4" s="59"/>
      <c r="RCV4" s="59"/>
      <c r="RCW4" s="59"/>
      <c r="RCX4" s="59"/>
      <c r="RCY4" s="59"/>
      <c r="RCZ4" s="59"/>
      <c r="RDA4" s="59"/>
      <c r="RDB4" s="59"/>
      <c r="RDC4" s="59"/>
      <c r="RDD4" s="59"/>
      <c r="RDE4" s="59"/>
      <c r="RDF4" s="59"/>
      <c r="RDG4" s="59"/>
      <c r="RDH4" s="59"/>
      <c r="RDI4" s="59"/>
      <c r="RDJ4" s="59"/>
      <c r="RDK4" s="59"/>
      <c r="RDL4" s="59"/>
      <c r="RDM4" s="59"/>
      <c r="RDN4" s="59"/>
      <c r="RDO4" s="59"/>
      <c r="RDP4" s="59"/>
      <c r="RDQ4" s="59"/>
      <c r="RDR4" s="59"/>
      <c r="RDS4" s="59"/>
      <c r="RDT4" s="59"/>
      <c r="RDU4" s="59"/>
      <c r="RDV4" s="59"/>
      <c r="RDW4" s="59"/>
      <c r="RDX4" s="59"/>
      <c r="RDY4" s="59"/>
      <c r="RDZ4" s="59"/>
      <c r="REA4" s="59"/>
      <c r="REB4" s="59"/>
      <c r="REC4" s="59"/>
      <c r="RED4" s="59"/>
      <c r="REE4" s="59"/>
      <c r="REF4" s="59"/>
      <c r="REG4" s="59"/>
      <c r="REH4" s="59"/>
      <c r="REI4" s="59"/>
      <c r="REJ4" s="59"/>
      <c r="REK4" s="59"/>
      <c r="REL4" s="59"/>
      <c r="REM4" s="59"/>
      <c r="REN4" s="59"/>
      <c r="REO4" s="59"/>
      <c r="REP4" s="59"/>
      <c r="REQ4" s="59"/>
      <c r="RER4" s="59"/>
      <c r="RES4" s="59"/>
      <c r="RET4" s="59"/>
      <c r="REU4" s="59"/>
      <c r="REV4" s="59"/>
      <c r="REW4" s="59"/>
      <c r="REX4" s="59"/>
      <c r="REY4" s="59"/>
      <c r="REZ4" s="59"/>
      <c r="RFA4" s="59"/>
      <c r="RFB4" s="59"/>
      <c r="RFC4" s="59"/>
      <c r="RFD4" s="59"/>
      <c r="RFE4" s="59"/>
      <c r="RFF4" s="59"/>
      <c r="RFG4" s="59"/>
      <c r="RFH4" s="59"/>
      <c r="RFI4" s="59"/>
      <c r="RFJ4" s="59"/>
      <c r="RFK4" s="59"/>
      <c r="RFL4" s="59"/>
      <c r="RFM4" s="59"/>
      <c r="RFN4" s="59"/>
      <c r="RFO4" s="59"/>
      <c r="RFP4" s="59"/>
      <c r="RFQ4" s="59"/>
      <c r="RFR4" s="59"/>
      <c r="RFS4" s="59"/>
      <c r="RFT4" s="59"/>
      <c r="RFU4" s="59"/>
      <c r="RFV4" s="59"/>
      <c r="RFW4" s="59"/>
      <c r="RFX4" s="59"/>
      <c r="RFY4" s="59"/>
      <c r="RFZ4" s="59"/>
      <c r="RGA4" s="59"/>
      <c r="RGB4" s="59"/>
      <c r="RGC4" s="59"/>
      <c r="RGD4" s="59"/>
      <c r="RGE4" s="59"/>
      <c r="RGF4" s="59"/>
      <c r="RGG4" s="59"/>
      <c r="RGH4" s="59"/>
      <c r="RGI4" s="59"/>
      <c r="RGJ4" s="59"/>
      <c r="RGK4" s="59"/>
      <c r="RGL4" s="59"/>
      <c r="RGM4" s="59"/>
      <c r="RGN4" s="59"/>
      <c r="RGO4" s="59"/>
      <c r="RGP4" s="59"/>
      <c r="RGQ4" s="59"/>
      <c r="RGR4" s="59"/>
      <c r="RGS4" s="59"/>
      <c r="RGT4" s="59"/>
      <c r="RGU4" s="59"/>
      <c r="RGV4" s="59"/>
      <c r="RGW4" s="59"/>
      <c r="RGX4" s="59"/>
      <c r="RGY4" s="59"/>
      <c r="RGZ4" s="59"/>
      <c r="RHA4" s="59"/>
      <c r="RHB4" s="59"/>
      <c r="RHC4" s="59"/>
      <c r="RHD4" s="59"/>
      <c r="RHE4" s="59"/>
      <c r="RHF4" s="59"/>
      <c r="RHG4" s="59"/>
      <c r="RHH4" s="59"/>
      <c r="RHI4" s="59"/>
      <c r="RHJ4" s="59"/>
      <c r="RHK4" s="59"/>
      <c r="RHL4" s="59"/>
      <c r="RHM4" s="59"/>
      <c r="RHN4" s="59"/>
      <c r="RHO4" s="59"/>
      <c r="RHP4" s="59"/>
      <c r="RHQ4" s="59"/>
      <c r="RHR4" s="59"/>
      <c r="RHS4" s="59"/>
      <c r="RHT4" s="59"/>
      <c r="RHU4" s="59"/>
      <c r="RHV4" s="59"/>
      <c r="RHW4" s="59"/>
      <c r="RHX4" s="59"/>
      <c r="RHY4" s="59"/>
      <c r="RHZ4" s="59"/>
      <c r="RIA4" s="59"/>
      <c r="RIB4" s="59"/>
      <c r="RIC4" s="59"/>
      <c r="RID4" s="59"/>
      <c r="RIE4" s="59"/>
      <c r="RIF4" s="59"/>
      <c r="RIG4" s="59"/>
      <c r="RIH4" s="59"/>
      <c r="RII4" s="59"/>
      <c r="RIJ4" s="59"/>
      <c r="RIK4" s="59"/>
      <c r="RIL4" s="59"/>
      <c r="RIM4" s="59"/>
      <c r="RIN4" s="59"/>
      <c r="RIO4" s="59"/>
      <c r="RIP4" s="59"/>
      <c r="RIQ4" s="59"/>
      <c r="RIR4" s="59"/>
      <c r="RIS4" s="59"/>
      <c r="RIT4" s="59"/>
      <c r="RIU4" s="59"/>
      <c r="RIV4" s="59"/>
      <c r="RIW4" s="59"/>
      <c r="RIX4" s="59"/>
      <c r="RIY4" s="59"/>
      <c r="RIZ4" s="59"/>
      <c r="RJA4" s="59"/>
      <c r="RJB4" s="59"/>
      <c r="RJC4" s="59"/>
      <c r="RJD4" s="59"/>
      <c r="RJE4" s="59"/>
      <c r="RJF4" s="59"/>
      <c r="RJG4" s="59"/>
      <c r="RJH4" s="59"/>
      <c r="RJI4" s="59"/>
      <c r="RJJ4" s="59"/>
      <c r="RJK4" s="59"/>
      <c r="RJL4" s="59"/>
      <c r="RJM4" s="59"/>
      <c r="RJN4" s="59"/>
      <c r="RJO4" s="59"/>
      <c r="RJP4" s="59"/>
      <c r="RJQ4" s="59"/>
      <c r="RJR4" s="59"/>
      <c r="RJS4" s="59"/>
      <c r="RJT4" s="59"/>
      <c r="RJU4" s="59"/>
      <c r="RJV4" s="59"/>
      <c r="RJW4" s="59"/>
      <c r="RJX4" s="59"/>
      <c r="RJY4" s="59"/>
      <c r="RJZ4" s="59"/>
      <c r="RKA4" s="59"/>
      <c r="RKB4" s="59"/>
      <c r="RKC4" s="59"/>
      <c r="RKD4" s="59"/>
      <c r="RKE4" s="59"/>
      <c r="RKF4" s="59"/>
      <c r="RKG4" s="59"/>
      <c r="RKH4" s="59"/>
      <c r="RKI4" s="59"/>
      <c r="RKJ4" s="59"/>
      <c r="RKK4" s="59"/>
      <c r="RKL4" s="59"/>
      <c r="RKM4" s="59"/>
      <c r="RKN4" s="59"/>
      <c r="RKO4" s="59"/>
      <c r="RKP4" s="59"/>
      <c r="RKQ4" s="59"/>
      <c r="RKR4" s="59"/>
      <c r="RKS4" s="59"/>
      <c r="RKT4" s="59"/>
      <c r="RKU4" s="59"/>
      <c r="RKV4" s="59"/>
      <c r="RKW4" s="59"/>
      <c r="RKX4" s="59"/>
      <c r="RKY4" s="59"/>
      <c r="RKZ4" s="59"/>
      <c r="RLA4" s="59"/>
      <c r="RLB4" s="59"/>
      <c r="RLC4" s="59"/>
      <c r="RLD4" s="59"/>
      <c r="RLE4" s="59"/>
      <c r="RLF4" s="59"/>
      <c r="RLG4" s="59"/>
      <c r="RLH4" s="59"/>
      <c r="RLI4" s="59"/>
      <c r="RLJ4" s="59"/>
      <c r="RLK4" s="59"/>
      <c r="RLL4" s="59"/>
      <c r="RLM4" s="59"/>
      <c r="RLN4" s="59"/>
      <c r="RLO4" s="59"/>
      <c r="RLP4" s="59"/>
      <c r="RLQ4" s="59"/>
      <c r="RLR4" s="59"/>
      <c r="RLS4" s="59"/>
      <c r="RLT4" s="59"/>
      <c r="RLU4" s="59"/>
      <c r="RLV4" s="59"/>
      <c r="RLW4" s="59"/>
      <c r="RLX4" s="59"/>
      <c r="RLY4" s="59"/>
      <c r="RLZ4" s="59"/>
      <c r="RMA4" s="59"/>
      <c r="RMB4" s="59"/>
      <c r="RMC4" s="59"/>
      <c r="RMD4" s="59"/>
      <c r="RME4" s="59"/>
      <c r="RMF4" s="59"/>
      <c r="RMG4" s="59"/>
      <c r="RMH4" s="59"/>
      <c r="RMI4" s="59"/>
      <c r="RMJ4" s="59"/>
      <c r="RMK4" s="59"/>
      <c r="RML4" s="59"/>
      <c r="RMM4" s="59"/>
      <c r="RMN4" s="59"/>
      <c r="RMO4" s="59"/>
      <c r="RMP4" s="59"/>
      <c r="RMQ4" s="59"/>
      <c r="RMR4" s="59"/>
      <c r="RMS4" s="59"/>
      <c r="RMT4" s="59"/>
      <c r="RMU4" s="59"/>
      <c r="RMV4" s="59"/>
      <c r="RMW4" s="59"/>
      <c r="RMX4" s="59"/>
      <c r="RMY4" s="59"/>
      <c r="RMZ4" s="59"/>
      <c r="RNA4" s="59"/>
      <c r="RNB4" s="59"/>
      <c r="RNC4" s="59"/>
      <c r="RND4" s="59"/>
      <c r="RNE4" s="59"/>
      <c r="RNF4" s="59"/>
      <c r="RNG4" s="59"/>
      <c r="RNH4" s="59"/>
      <c r="RNI4" s="59"/>
      <c r="RNJ4" s="59"/>
      <c r="RNK4" s="59"/>
      <c r="RNL4" s="59"/>
      <c r="RNM4" s="59"/>
      <c r="RNN4" s="59"/>
      <c r="RNO4" s="59"/>
      <c r="RNP4" s="59"/>
      <c r="RNQ4" s="59"/>
      <c r="RNR4" s="59"/>
      <c r="RNS4" s="59"/>
      <c r="RNT4" s="59"/>
      <c r="RNU4" s="59"/>
      <c r="RNV4" s="59"/>
      <c r="RNW4" s="59"/>
      <c r="RNX4" s="59"/>
      <c r="RNY4" s="59"/>
      <c r="RNZ4" s="59"/>
      <c r="ROA4" s="59"/>
      <c r="ROB4" s="59"/>
      <c r="ROC4" s="59"/>
      <c r="ROD4" s="59"/>
      <c r="ROE4" s="59"/>
      <c r="ROF4" s="59"/>
      <c r="ROG4" s="59"/>
      <c r="ROH4" s="59"/>
      <c r="ROI4" s="59"/>
      <c r="ROJ4" s="59"/>
      <c r="ROK4" s="59"/>
      <c r="ROL4" s="59"/>
      <c r="ROM4" s="59"/>
      <c r="RON4" s="59"/>
      <c r="ROO4" s="59"/>
      <c r="ROP4" s="59"/>
      <c r="ROQ4" s="59"/>
      <c r="ROR4" s="59"/>
      <c r="ROS4" s="59"/>
      <c r="ROT4" s="59"/>
      <c r="ROU4" s="59"/>
      <c r="ROV4" s="59"/>
      <c r="ROW4" s="59"/>
      <c r="ROX4" s="59"/>
      <c r="ROY4" s="59"/>
      <c r="ROZ4" s="59"/>
      <c r="RPA4" s="59"/>
      <c r="RPB4" s="59"/>
      <c r="RPC4" s="59"/>
      <c r="RPD4" s="59"/>
      <c r="RPE4" s="59"/>
      <c r="RPF4" s="59"/>
      <c r="RPG4" s="59"/>
      <c r="RPH4" s="59"/>
      <c r="RPI4" s="59"/>
      <c r="RPJ4" s="59"/>
      <c r="RPK4" s="59"/>
      <c r="RPL4" s="59"/>
      <c r="RPM4" s="59"/>
      <c r="RPN4" s="59"/>
      <c r="RPO4" s="59"/>
      <c r="RPP4" s="59"/>
      <c r="RPQ4" s="59"/>
      <c r="RPR4" s="59"/>
      <c r="RPS4" s="59"/>
      <c r="RPT4" s="59"/>
      <c r="RPU4" s="59"/>
      <c r="RPV4" s="59"/>
      <c r="RPW4" s="59"/>
      <c r="RPX4" s="59"/>
      <c r="RPY4" s="59"/>
      <c r="RPZ4" s="59"/>
      <c r="RQA4" s="59"/>
      <c r="RQB4" s="59"/>
      <c r="RQC4" s="59"/>
      <c r="RQD4" s="59"/>
      <c r="RQE4" s="59"/>
      <c r="RQF4" s="59"/>
      <c r="RQG4" s="59"/>
      <c r="RQH4" s="59"/>
      <c r="RQI4" s="59"/>
      <c r="RQJ4" s="59"/>
      <c r="RQK4" s="59"/>
      <c r="RQL4" s="59"/>
      <c r="RQM4" s="59"/>
      <c r="RQN4" s="59"/>
      <c r="RQO4" s="59"/>
      <c r="RQP4" s="59"/>
      <c r="RQQ4" s="59"/>
      <c r="RQR4" s="59"/>
      <c r="RQS4" s="59"/>
      <c r="RQT4" s="59"/>
      <c r="RQU4" s="59"/>
      <c r="RQV4" s="59"/>
      <c r="RQW4" s="59"/>
      <c r="RQX4" s="59"/>
      <c r="RQY4" s="59"/>
      <c r="RQZ4" s="59"/>
      <c r="RRA4" s="59"/>
      <c r="RRB4" s="59"/>
      <c r="RRC4" s="59"/>
      <c r="RRD4" s="59"/>
      <c r="RRE4" s="59"/>
      <c r="RRF4" s="59"/>
      <c r="RRG4" s="59"/>
      <c r="RRH4" s="59"/>
      <c r="RRI4" s="59"/>
      <c r="RRJ4" s="59"/>
      <c r="RRK4" s="59"/>
      <c r="RRL4" s="59"/>
      <c r="RRM4" s="59"/>
      <c r="RRN4" s="59"/>
      <c r="RRO4" s="59"/>
      <c r="RRP4" s="59"/>
      <c r="RRQ4" s="59"/>
      <c r="RRR4" s="59"/>
      <c r="RRS4" s="59"/>
      <c r="RRT4" s="59"/>
      <c r="RRU4" s="59"/>
      <c r="RRV4" s="59"/>
      <c r="RRW4" s="59"/>
      <c r="RRX4" s="59"/>
      <c r="RRY4" s="59"/>
      <c r="RRZ4" s="59"/>
      <c r="RSA4" s="59"/>
      <c r="RSB4" s="59"/>
      <c r="RSC4" s="59"/>
      <c r="RSD4" s="59"/>
      <c r="RSE4" s="59"/>
      <c r="RSF4" s="59"/>
      <c r="RSG4" s="59"/>
      <c r="RSH4" s="59"/>
      <c r="RSI4" s="59"/>
      <c r="RSJ4" s="59"/>
      <c r="RSK4" s="59"/>
      <c r="RSL4" s="59"/>
      <c r="RSM4" s="59"/>
      <c r="RSN4" s="59"/>
      <c r="RSO4" s="59"/>
      <c r="RSP4" s="59"/>
      <c r="RSQ4" s="59"/>
      <c r="RSR4" s="59"/>
      <c r="RSS4" s="59"/>
      <c r="RST4" s="59"/>
      <c r="RSU4" s="59"/>
      <c r="RSV4" s="59"/>
      <c r="RSW4" s="59"/>
      <c r="RSX4" s="59"/>
      <c r="RSY4" s="59"/>
      <c r="RSZ4" s="59"/>
      <c r="RTA4" s="59"/>
      <c r="RTB4" s="59"/>
      <c r="RTC4" s="59"/>
      <c r="RTD4" s="59"/>
      <c r="RTE4" s="59"/>
      <c r="RTF4" s="59"/>
      <c r="RTG4" s="59"/>
      <c r="RTH4" s="59"/>
      <c r="RTI4" s="59"/>
      <c r="RTJ4" s="59"/>
      <c r="RTK4" s="59"/>
      <c r="RTL4" s="59"/>
      <c r="RTM4" s="59"/>
      <c r="RTN4" s="59"/>
      <c r="RTO4" s="59"/>
      <c r="RTP4" s="59"/>
      <c r="RTQ4" s="59"/>
      <c r="RTR4" s="59"/>
      <c r="RTS4" s="59"/>
      <c r="RTT4" s="59"/>
      <c r="RTU4" s="59"/>
      <c r="RTV4" s="59"/>
      <c r="RTW4" s="59"/>
      <c r="RTX4" s="59"/>
      <c r="RTY4" s="59"/>
      <c r="RTZ4" s="59"/>
      <c r="RUA4" s="59"/>
      <c r="RUB4" s="59"/>
      <c r="RUC4" s="59"/>
      <c r="RUD4" s="59"/>
      <c r="RUE4" s="59"/>
      <c r="RUF4" s="59"/>
      <c r="RUG4" s="59"/>
      <c r="RUH4" s="59"/>
      <c r="RUI4" s="59"/>
      <c r="RUJ4" s="59"/>
      <c r="RUK4" s="59"/>
      <c r="RUL4" s="59"/>
      <c r="RUM4" s="59"/>
      <c r="RUN4" s="59"/>
      <c r="RUO4" s="59"/>
      <c r="RUP4" s="59"/>
      <c r="RUQ4" s="59"/>
      <c r="RUR4" s="59"/>
      <c r="RUS4" s="59"/>
      <c r="RUT4" s="59"/>
      <c r="RUU4" s="59"/>
      <c r="RUV4" s="59"/>
      <c r="RUW4" s="59"/>
      <c r="RUX4" s="59"/>
      <c r="RUY4" s="59"/>
      <c r="RUZ4" s="59"/>
      <c r="RVA4" s="59"/>
      <c r="RVB4" s="59"/>
      <c r="RVC4" s="59"/>
      <c r="RVD4" s="59"/>
      <c r="RVE4" s="59"/>
      <c r="RVF4" s="59"/>
      <c r="RVG4" s="59"/>
      <c r="RVH4" s="59"/>
      <c r="RVI4" s="59"/>
      <c r="RVJ4" s="59"/>
      <c r="RVK4" s="59"/>
      <c r="RVL4" s="59"/>
      <c r="RVM4" s="59"/>
      <c r="RVN4" s="59"/>
      <c r="RVO4" s="59"/>
      <c r="RVP4" s="59"/>
      <c r="RVQ4" s="59"/>
      <c r="RVR4" s="59"/>
      <c r="RVS4" s="59"/>
      <c r="RVT4" s="59"/>
      <c r="RVU4" s="59"/>
      <c r="RVV4" s="59"/>
      <c r="RVW4" s="59"/>
      <c r="RVX4" s="59"/>
      <c r="RVY4" s="59"/>
      <c r="RVZ4" s="59"/>
      <c r="RWA4" s="59"/>
      <c r="RWB4" s="59"/>
      <c r="RWC4" s="59"/>
      <c r="RWD4" s="59"/>
      <c r="RWE4" s="59"/>
      <c r="RWF4" s="59"/>
      <c r="RWG4" s="59"/>
      <c r="RWH4" s="59"/>
      <c r="RWI4" s="59"/>
      <c r="RWJ4" s="59"/>
      <c r="RWK4" s="59"/>
      <c r="RWL4" s="59"/>
      <c r="RWM4" s="59"/>
      <c r="RWN4" s="59"/>
      <c r="RWO4" s="59"/>
      <c r="RWP4" s="59"/>
      <c r="RWQ4" s="59"/>
      <c r="RWR4" s="59"/>
      <c r="RWS4" s="59"/>
      <c r="RWT4" s="59"/>
      <c r="RWU4" s="59"/>
      <c r="RWV4" s="59"/>
      <c r="RWW4" s="59"/>
      <c r="RWX4" s="59"/>
      <c r="RWY4" s="59"/>
      <c r="RWZ4" s="59"/>
      <c r="RXA4" s="59"/>
      <c r="RXB4" s="59"/>
      <c r="RXC4" s="59"/>
      <c r="RXD4" s="59"/>
      <c r="RXE4" s="59"/>
      <c r="RXF4" s="59"/>
      <c r="RXG4" s="59"/>
      <c r="RXH4" s="59"/>
      <c r="RXI4" s="59"/>
      <c r="RXJ4" s="59"/>
      <c r="RXK4" s="59"/>
      <c r="RXL4" s="59"/>
      <c r="RXM4" s="59"/>
      <c r="RXN4" s="59"/>
      <c r="RXO4" s="59"/>
      <c r="RXP4" s="59"/>
      <c r="RXQ4" s="59"/>
      <c r="RXR4" s="59"/>
      <c r="RXS4" s="59"/>
      <c r="RXT4" s="59"/>
      <c r="RXU4" s="59"/>
      <c r="RXV4" s="59"/>
      <c r="RXW4" s="59"/>
      <c r="RXX4" s="59"/>
      <c r="RXY4" s="59"/>
      <c r="RXZ4" s="59"/>
      <c r="RYA4" s="59"/>
      <c r="RYB4" s="59"/>
      <c r="RYC4" s="59"/>
      <c r="RYD4" s="59"/>
      <c r="RYE4" s="59"/>
      <c r="RYF4" s="59"/>
      <c r="RYG4" s="59"/>
      <c r="RYH4" s="59"/>
      <c r="RYI4" s="59"/>
      <c r="RYJ4" s="59"/>
      <c r="RYK4" s="59"/>
      <c r="RYL4" s="59"/>
      <c r="RYM4" s="59"/>
      <c r="RYN4" s="59"/>
      <c r="RYO4" s="59"/>
      <c r="RYP4" s="59"/>
      <c r="RYQ4" s="59"/>
      <c r="RYR4" s="59"/>
      <c r="RYS4" s="59"/>
      <c r="RYT4" s="59"/>
      <c r="RYU4" s="59"/>
      <c r="RYV4" s="59"/>
      <c r="RYW4" s="59"/>
      <c r="RYX4" s="59"/>
      <c r="RYY4" s="59"/>
      <c r="RYZ4" s="59"/>
      <c r="RZA4" s="59"/>
      <c r="RZB4" s="59"/>
      <c r="RZC4" s="59"/>
      <c r="RZD4" s="59"/>
      <c r="RZE4" s="59"/>
      <c r="RZF4" s="59"/>
      <c r="RZG4" s="59"/>
      <c r="RZH4" s="59"/>
      <c r="RZI4" s="59"/>
      <c r="RZJ4" s="59"/>
      <c r="RZK4" s="59"/>
      <c r="RZL4" s="59"/>
      <c r="RZM4" s="59"/>
      <c r="RZN4" s="59"/>
      <c r="RZO4" s="59"/>
      <c r="RZP4" s="59"/>
      <c r="RZQ4" s="59"/>
      <c r="RZR4" s="59"/>
      <c r="RZS4" s="59"/>
      <c r="RZT4" s="59"/>
      <c r="RZU4" s="59"/>
      <c r="RZV4" s="59"/>
      <c r="RZW4" s="59"/>
      <c r="RZX4" s="59"/>
      <c r="RZY4" s="59"/>
      <c r="RZZ4" s="59"/>
      <c r="SAA4" s="59"/>
      <c r="SAB4" s="59"/>
      <c r="SAC4" s="59"/>
      <c r="SAD4" s="59"/>
      <c r="SAE4" s="59"/>
      <c r="SAF4" s="59"/>
      <c r="SAG4" s="59"/>
      <c r="SAH4" s="59"/>
      <c r="SAI4" s="59"/>
      <c r="SAJ4" s="59"/>
      <c r="SAK4" s="59"/>
      <c r="SAL4" s="59"/>
      <c r="SAM4" s="59"/>
      <c r="SAN4" s="59"/>
      <c r="SAO4" s="59"/>
      <c r="SAP4" s="59"/>
      <c r="SAQ4" s="59"/>
      <c r="SAR4" s="59"/>
      <c r="SAS4" s="59"/>
      <c r="SAT4" s="59"/>
      <c r="SAU4" s="59"/>
      <c r="SAV4" s="59"/>
      <c r="SAW4" s="59"/>
      <c r="SAX4" s="59"/>
      <c r="SAY4" s="59"/>
      <c r="SAZ4" s="59"/>
      <c r="SBA4" s="59"/>
      <c r="SBB4" s="59"/>
      <c r="SBC4" s="59"/>
      <c r="SBD4" s="59"/>
      <c r="SBE4" s="59"/>
      <c r="SBF4" s="59"/>
      <c r="SBG4" s="59"/>
      <c r="SBH4" s="59"/>
      <c r="SBI4" s="59"/>
      <c r="SBJ4" s="59"/>
      <c r="SBK4" s="59"/>
      <c r="SBL4" s="59"/>
      <c r="SBM4" s="59"/>
      <c r="SBN4" s="59"/>
      <c r="SBO4" s="59"/>
      <c r="SBP4" s="59"/>
      <c r="SBQ4" s="59"/>
      <c r="SBR4" s="59"/>
      <c r="SBS4" s="59"/>
      <c r="SBT4" s="59"/>
      <c r="SBU4" s="59"/>
      <c r="SBV4" s="59"/>
      <c r="SBW4" s="59"/>
      <c r="SBX4" s="59"/>
      <c r="SBY4" s="59"/>
      <c r="SBZ4" s="59"/>
      <c r="SCA4" s="59"/>
      <c r="SCB4" s="59"/>
      <c r="SCC4" s="59"/>
      <c r="SCD4" s="59"/>
      <c r="SCE4" s="59"/>
      <c r="SCF4" s="59"/>
      <c r="SCG4" s="59"/>
      <c r="SCH4" s="59"/>
      <c r="SCI4" s="59"/>
      <c r="SCJ4" s="59"/>
      <c r="SCK4" s="59"/>
      <c r="SCL4" s="59"/>
      <c r="SCM4" s="59"/>
      <c r="SCN4" s="59"/>
      <c r="SCO4" s="59"/>
      <c r="SCP4" s="59"/>
      <c r="SCQ4" s="59"/>
      <c r="SCR4" s="59"/>
      <c r="SCS4" s="59"/>
      <c r="SCT4" s="59"/>
      <c r="SCU4" s="59"/>
      <c r="SCV4" s="59"/>
      <c r="SCW4" s="59"/>
      <c r="SCX4" s="59"/>
      <c r="SCY4" s="59"/>
      <c r="SCZ4" s="59"/>
      <c r="SDA4" s="59"/>
      <c r="SDB4" s="59"/>
      <c r="SDC4" s="59"/>
      <c r="SDD4" s="59"/>
      <c r="SDE4" s="59"/>
      <c r="SDF4" s="59"/>
      <c r="SDG4" s="59"/>
      <c r="SDH4" s="59"/>
      <c r="SDI4" s="59"/>
      <c r="SDJ4" s="59"/>
      <c r="SDK4" s="59"/>
      <c r="SDL4" s="59"/>
      <c r="SDM4" s="59"/>
      <c r="SDN4" s="59"/>
      <c r="SDO4" s="59"/>
      <c r="SDP4" s="59"/>
      <c r="SDQ4" s="59"/>
      <c r="SDR4" s="59"/>
      <c r="SDS4" s="59"/>
      <c r="SDT4" s="59"/>
      <c r="SDU4" s="59"/>
      <c r="SDV4" s="59"/>
      <c r="SDW4" s="59"/>
      <c r="SDX4" s="59"/>
      <c r="SDY4" s="59"/>
      <c r="SDZ4" s="59"/>
      <c r="SEA4" s="59"/>
      <c r="SEB4" s="59"/>
      <c r="SEC4" s="59"/>
      <c r="SED4" s="59"/>
      <c r="SEE4" s="59"/>
      <c r="SEF4" s="59"/>
      <c r="SEG4" s="59"/>
      <c r="SEH4" s="59"/>
      <c r="SEI4" s="59"/>
      <c r="SEJ4" s="59"/>
      <c r="SEK4" s="59"/>
      <c r="SEL4" s="59"/>
      <c r="SEM4" s="59"/>
      <c r="SEN4" s="59"/>
      <c r="SEO4" s="59"/>
      <c r="SEP4" s="59"/>
      <c r="SEQ4" s="59"/>
      <c r="SER4" s="59"/>
      <c r="SES4" s="59"/>
      <c r="SET4" s="59"/>
      <c r="SEU4" s="59"/>
      <c r="SEV4" s="59"/>
      <c r="SEW4" s="59"/>
      <c r="SEX4" s="59"/>
      <c r="SEY4" s="59"/>
      <c r="SEZ4" s="59"/>
      <c r="SFA4" s="59"/>
      <c r="SFB4" s="59"/>
      <c r="SFC4" s="59"/>
      <c r="SFD4" s="59"/>
      <c r="SFE4" s="59"/>
      <c r="SFF4" s="59"/>
      <c r="SFG4" s="59"/>
      <c r="SFH4" s="59"/>
      <c r="SFI4" s="59"/>
      <c r="SFJ4" s="59"/>
      <c r="SFK4" s="59"/>
      <c r="SFL4" s="59"/>
      <c r="SFM4" s="59"/>
      <c r="SFN4" s="59"/>
      <c r="SFO4" s="59"/>
      <c r="SFP4" s="59"/>
      <c r="SFQ4" s="59"/>
      <c r="SFR4" s="59"/>
      <c r="SFS4" s="59"/>
      <c r="SFT4" s="59"/>
      <c r="SFU4" s="59"/>
      <c r="SFV4" s="59"/>
      <c r="SFW4" s="59"/>
      <c r="SFX4" s="59"/>
      <c r="SFY4" s="59"/>
      <c r="SFZ4" s="59"/>
      <c r="SGA4" s="59"/>
      <c r="SGB4" s="59"/>
      <c r="SGC4" s="59"/>
      <c r="SGD4" s="59"/>
      <c r="SGE4" s="59"/>
      <c r="SGF4" s="59"/>
      <c r="SGG4" s="59"/>
      <c r="SGH4" s="59"/>
      <c r="SGI4" s="59"/>
      <c r="SGJ4" s="59"/>
      <c r="SGK4" s="59"/>
      <c r="SGL4" s="59"/>
      <c r="SGM4" s="59"/>
      <c r="SGN4" s="59"/>
      <c r="SGO4" s="59"/>
      <c r="SGP4" s="59"/>
      <c r="SGQ4" s="59"/>
      <c r="SGR4" s="59"/>
      <c r="SGS4" s="59"/>
      <c r="SGT4" s="59"/>
      <c r="SGU4" s="59"/>
      <c r="SGV4" s="59"/>
      <c r="SGW4" s="59"/>
      <c r="SGX4" s="59"/>
      <c r="SGY4" s="59"/>
      <c r="SGZ4" s="59"/>
      <c r="SHA4" s="59"/>
      <c r="SHB4" s="59"/>
      <c r="SHC4" s="59"/>
      <c r="SHD4" s="59"/>
      <c r="SHE4" s="59"/>
      <c r="SHF4" s="59"/>
      <c r="SHG4" s="59"/>
      <c r="SHH4" s="59"/>
      <c r="SHI4" s="59"/>
      <c r="SHJ4" s="59"/>
      <c r="SHK4" s="59"/>
      <c r="SHL4" s="59"/>
      <c r="SHM4" s="59"/>
      <c r="SHN4" s="59"/>
      <c r="SHO4" s="59"/>
      <c r="SHP4" s="59"/>
      <c r="SHQ4" s="59"/>
      <c r="SHR4" s="59"/>
      <c r="SHS4" s="59"/>
      <c r="SHT4" s="59"/>
      <c r="SHU4" s="59"/>
      <c r="SHV4" s="59"/>
      <c r="SHW4" s="59"/>
      <c r="SHX4" s="59"/>
      <c r="SHY4" s="59"/>
      <c r="SHZ4" s="59"/>
      <c r="SIA4" s="59"/>
      <c r="SIB4" s="59"/>
      <c r="SIC4" s="59"/>
      <c r="SID4" s="59"/>
      <c r="SIE4" s="59"/>
      <c r="SIF4" s="59"/>
      <c r="SIG4" s="59"/>
      <c r="SIH4" s="59"/>
      <c r="SII4" s="59"/>
      <c r="SIJ4" s="59"/>
      <c r="SIK4" s="59"/>
      <c r="SIL4" s="59"/>
      <c r="SIM4" s="59"/>
      <c r="SIN4" s="59"/>
      <c r="SIO4" s="59"/>
      <c r="SIP4" s="59"/>
      <c r="SIQ4" s="59"/>
      <c r="SIR4" s="59"/>
      <c r="SIS4" s="59"/>
      <c r="SIT4" s="59"/>
      <c r="SIU4" s="59"/>
      <c r="SIV4" s="59"/>
      <c r="SIW4" s="59"/>
      <c r="SIX4" s="59"/>
      <c r="SIY4" s="59"/>
      <c r="SIZ4" s="59"/>
      <c r="SJA4" s="59"/>
      <c r="SJB4" s="59"/>
      <c r="SJC4" s="59"/>
      <c r="SJD4" s="59"/>
      <c r="SJE4" s="59"/>
      <c r="SJF4" s="59"/>
      <c r="SJG4" s="59"/>
      <c r="SJH4" s="59"/>
      <c r="SJI4" s="59"/>
      <c r="SJJ4" s="59"/>
      <c r="SJK4" s="59"/>
      <c r="SJL4" s="59"/>
      <c r="SJM4" s="59"/>
      <c r="SJN4" s="59"/>
      <c r="SJO4" s="59"/>
      <c r="SJP4" s="59"/>
      <c r="SJQ4" s="59"/>
      <c r="SJR4" s="59"/>
      <c r="SJS4" s="59"/>
      <c r="SJT4" s="59"/>
      <c r="SJU4" s="59"/>
      <c r="SJV4" s="59"/>
      <c r="SJW4" s="59"/>
      <c r="SJX4" s="59"/>
      <c r="SJY4" s="59"/>
      <c r="SJZ4" s="59"/>
      <c r="SKA4" s="59"/>
      <c r="SKB4" s="59"/>
      <c r="SKC4" s="59"/>
      <c r="SKD4" s="59"/>
      <c r="SKE4" s="59"/>
      <c r="SKF4" s="59"/>
      <c r="SKG4" s="59"/>
      <c r="SKH4" s="59"/>
      <c r="SKI4" s="59"/>
      <c r="SKJ4" s="59"/>
      <c r="SKK4" s="59"/>
      <c r="SKL4" s="59"/>
      <c r="SKM4" s="59"/>
      <c r="SKN4" s="59"/>
      <c r="SKO4" s="59"/>
      <c r="SKP4" s="59"/>
      <c r="SKQ4" s="59"/>
      <c r="SKR4" s="59"/>
      <c r="SKS4" s="59"/>
      <c r="SKT4" s="59"/>
      <c r="SKU4" s="59"/>
      <c r="SKV4" s="59"/>
      <c r="SKW4" s="59"/>
      <c r="SKX4" s="59"/>
      <c r="SKY4" s="59"/>
      <c r="SKZ4" s="59"/>
      <c r="SLA4" s="59"/>
      <c r="SLB4" s="59"/>
      <c r="SLC4" s="59"/>
      <c r="SLD4" s="59"/>
      <c r="SLE4" s="59"/>
      <c r="SLF4" s="59"/>
      <c r="SLG4" s="59"/>
      <c r="SLH4" s="59"/>
      <c r="SLI4" s="59"/>
      <c r="SLJ4" s="59"/>
      <c r="SLK4" s="59"/>
      <c r="SLL4" s="59"/>
      <c r="SLM4" s="59"/>
      <c r="SLN4" s="59"/>
      <c r="SLO4" s="59"/>
      <c r="SLP4" s="59"/>
      <c r="SLQ4" s="59"/>
      <c r="SLR4" s="59"/>
      <c r="SLS4" s="59"/>
      <c r="SLT4" s="59"/>
      <c r="SLU4" s="59"/>
      <c r="SLV4" s="59"/>
      <c r="SLW4" s="59"/>
      <c r="SLX4" s="59"/>
      <c r="SLY4" s="59"/>
      <c r="SLZ4" s="59"/>
      <c r="SMA4" s="59"/>
      <c r="SMB4" s="59"/>
      <c r="SMC4" s="59"/>
      <c r="SMD4" s="59"/>
      <c r="SME4" s="59"/>
      <c r="SMF4" s="59"/>
      <c r="SMG4" s="59"/>
      <c r="SMH4" s="59"/>
      <c r="SMI4" s="59"/>
      <c r="SMJ4" s="59"/>
      <c r="SMK4" s="59"/>
      <c r="SML4" s="59"/>
      <c r="SMM4" s="59"/>
      <c r="SMN4" s="59"/>
      <c r="SMO4" s="59"/>
      <c r="SMP4" s="59"/>
      <c r="SMQ4" s="59"/>
      <c r="SMR4" s="59"/>
      <c r="SMS4" s="59"/>
      <c r="SMT4" s="59"/>
      <c r="SMU4" s="59"/>
      <c r="SMV4" s="59"/>
      <c r="SMW4" s="59"/>
      <c r="SMX4" s="59"/>
      <c r="SMY4" s="59"/>
      <c r="SMZ4" s="59"/>
      <c r="SNA4" s="59"/>
      <c r="SNB4" s="59"/>
      <c r="SNC4" s="59"/>
      <c r="SND4" s="59"/>
      <c r="SNE4" s="59"/>
      <c r="SNF4" s="59"/>
      <c r="SNG4" s="59"/>
      <c r="SNH4" s="59"/>
      <c r="SNI4" s="59"/>
      <c r="SNJ4" s="59"/>
      <c r="SNK4" s="59"/>
      <c r="SNL4" s="59"/>
      <c r="SNM4" s="59"/>
      <c r="SNN4" s="59"/>
      <c r="SNO4" s="59"/>
      <c r="SNP4" s="59"/>
      <c r="SNQ4" s="59"/>
      <c r="SNR4" s="59"/>
      <c r="SNS4" s="59"/>
      <c r="SNT4" s="59"/>
      <c r="SNU4" s="59"/>
      <c r="SNV4" s="59"/>
      <c r="SNW4" s="59"/>
      <c r="SNX4" s="59"/>
      <c r="SNY4" s="59"/>
      <c r="SNZ4" s="59"/>
      <c r="SOA4" s="59"/>
      <c r="SOB4" s="59"/>
      <c r="SOC4" s="59"/>
      <c r="SOD4" s="59"/>
      <c r="SOE4" s="59"/>
      <c r="SOF4" s="59"/>
      <c r="SOG4" s="59"/>
      <c r="SOH4" s="59"/>
      <c r="SOI4" s="59"/>
      <c r="SOJ4" s="59"/>
      <c r="SOK4" s="59"/>
      <c r="SOL4" s="59"/>
      <c r="SOM4" s="59"/>
      <c r="SON4" s="59"/>
      <c r="SOO4" s="59"/>
      <c r="SOP4" s="59"/>
      <c r="SOQ4" s="59"/>
      <c r="SOR4" s="59"/>
      <c r="SOS4" s="59"/>
      <c r="SOT4" s="59"/>
      <c r="SOU4" s="59"/>
      <c r="SOV4" s="59"/>
      <c r="SOW4" s="59"/>
      <c r="SOX4" s="59"/>
      <c r="SOY4" s="59"/>
      <c r="SOZ4" s="59"/>
      <c r="SPA4" s="59"/>
      <c r="SPB4" s="59"/>
      <c r="SPC4" s="59"/>
      <c r="SPD4" s="59"/>
      <c r="SPE4" s="59"/>
      <c r="SPF4" s="59"/>
      <c r="SPG4" s="59"/>
      <c r="SPH4" s="59"/>
      <c r="SPI4" s="59"/>
      <c r="SPJ4" s="59"/>
      <c r="SPK4" s="59"/>
      <c r="SPL4" s="59"/>
      <c r="SPM4" s="59"/>
      <c r="SPN4" s="59"/>
      <c r="SPO4" s="59"/>
      <c r="SPP4" s="59"/>
      <c r="SPQ4" s="59"/>
      <c r="SPR4" s="59"/>
      <c r="SPS4" s="59"/>
      <c r="SPT4" s="59"/>
      <c r="SPU4" s="59"/>
      <c r="SPV4" s="59"/>
      <c r="SPW4" s="59"/>
      <c r="SPX4" s="59"/>
      <c r="SPY4" s="59"/>
      <c r="SPZ4" s="59"/>
      <c r="SQA4" s="59"/>
      <c r="SQB4" s="59"/>
      <c r="SQC4" s="59"/>
      <c r="SQD4" s="59"/>
      <c r="SQE4" s="59"/>
      <c r="SQF4" s="59"/>
      <c r="SQG4" s="59"/>
      <c r="SQH4" s="59"/>
      <c r="SQI4" s="59"/>
      <c r="SQJ4" s="59"/>
      <c r="SQK4" s="59"/>
      <c r="SQL4" s="59"/>
      <c r="SQM4" s="59"/>
      <c r="SQN4" s="59"/>
      <c r="SQO4" s="59"/>
      <c r="SQP4" s="59"/>
      <c r="SQQ4" s="59"/>
      <c r="SQR4" s="59"/>
      <c r="SQS4" s="59"/>
      <c r="SQT4" s="59"/>
      <c r="SQU4" s="59"/>
      <c r="SQV4" s="59"/>
      <c r="SQW4" s="59"/>
      <c r="SQX4" s="59"/>
      <c r="SQY4" s="59"/>
      <c r="SQZ4" s="59"/>
      <c r="SRA4" s="59"/>
      <c r="SRB4" s="59"/>
      <c r="SRC4" s="59"/>
      <c r="SRD4" s="59"/>
      <c r="SRE4" s="59"/>
      <c r="SRF4" s="59"/>
      <c r="SRG4" s="59"/>
      <c r="SRH4" s="59"/>
      <c r="SRI4" s="59"/>
      <c r="SRJ4" s="59"/>
      <c r="SRK4" s="59"/>
      <c r="SRL4" s="59"/>
      <c r="SRM4" s="59"/>
      <c r="SRN4" s="59"/>
      <c r="SRO4" s="59"/>
      <c r="SRP4" s="59"/>
      <c r="SRQ4" s="59"/>
      <c r="SRR4" s="59"/>
      <c r="SRS4" s="59"/>
      <c r="SRT4" s="59"/>
      <c r="SRU4" s="59"/>
      <c r="SRV4" s="59"/>
      <c r="SRW4" s="59"/>
      <c r="SRX4" s="59"/>
      <c r="SRY4" s="59"/>
      <c r="SRZ4" s="59"/>
      <c r="SSA4" s="59"/>
      <c r="SSB4" s="59"/>
      <c r="SSC4" s="59"/>
      <c r="SSD4" s="59"/>
      <c r="SSE4" s="59"/>
      <c r="SSF4" s="59"/>
      <c r="SSG4" s="59"/>
      <c r="SSH4" s="59"/>
      <c r="SSI4" s="59"/>
      <c r="SSJ4" s="59"/>
      <c r="SSK4" s="59"/>
      <c r="SSL4" s="59"/>
      <c r="SSM4" s="59"/>
      <c r="SSN4" s="59"/>
      <c r="SSO4" s="59"/>
      <c r="SSP4" s="59"/>
      <c r="SSQ4" s="59"/>
      <c r="SSR4" s="59"/>
      <c r="SSS4" s="59"/>
      <c r="SST4" s="59"/>
      <c r="SSU4" s="59"/>
      <c r="SSV4" s="59"/>
      <c r="SSW4" s="59"/>
      <c r="SSX4" s="59"/>
      <c r="SSY4" s="59"/>
      <c r="SSZ4" s="59"/>
      <c r="STA4" s="59"/>
      <c r="STB4" s="59"/>
      <c r="STC4" s="59"/>
      <c r="STD4" s="59"/>
      <c r="STE4" s="59"/>
      <c r="STF4" s="59"/>
      <c r="STG4" s="59"/>
      <c r="STH4" s="59"/>
      <c r="STI4" s="59"/>
      <c r="STJ4" s="59"/>
      <c r="STK4" s="59"/>
      <c r="STL4" s="59"/>
      <c r="STM4" s="59"/>
      <c r="STN4" s="59"/>
      <c r="STO4" s="59"/>
      <c r="STP4" s="59"/>
      <c r="STQ4" s="59"/>
      <c r="STR4" s="59"/>
      <c r="STS4" s="59"/>
      <c r="STT4" s="59"/>
      <c r="STU4" s="59"/>
      <c r="STV4" s="59"/>
      <c r="STW4" s="59"/>
      <c r="STX4" s="59"/>
      <c r="STY4" s="59"/>
      <c r="STZ4" s="59"/>
      <c r="SUA4" s="59"/>
      <c r="SUB4" s="59"/>
      <c r="SUC4" s="59"/>
      <c r="SUD4" s="59"/>
      <c r="SUE4" s="59"/>
      <c r="SUF4" s="59"/>
      <c r="SUG4" s="59"/>
      <c r="SUH4" s="59"/>
      <c r="SUI4" s="59"/>
      <c r="SUJ4" s="59"/>
      <c r="SUK4" s="59"/>
      <c r="SUL4" s="59"/>
      <c r="SUM4" s="59"/>
      <c r="SUN4" s="59"/>
      <c r="SUO4" s="59"/>
      <c r="SUP4" s="59"/>
      <c r="SUQ4" s="59"/>
      <c r="SUR4" s="59"/>
      <c r="SUS4" s="59"/>
      <c r="SUT4" s="59"/>
      <c r="SUU4" s="59"/>
      <c r="SUV4" s="59"/>
      <c r="SUW4" s="59"/>
      <c r="SUX4" s="59"/>
      <c r="SUY4" s="59"/>
      <c r="SUZ4" s="59"/>
      <c r="SVA4" s="59"/>
      <c r="SVB4" s="59"/>
      <c r="SVC4" s="59"/>
      <c r="SVD4" s="59"/>
      <c r="SVE4" s="59"/>
      <c r="SVF4" s="59"/>
      <c r="SVG4" s="59"/>
      <c r="SVH4" s="59"/>
      <c r="SVI4" s="59"/>
      <c r="SVJ4" s="59"/>
      <c r="SVK4" s="59"/>
      <c r="SVL4" s="59"/>
      <c r="SVM4" s="59"/>
      <c r="SVN4" s="59"/>
      <c r="SVO4" s="59"/>
      <c r="SVP4" s="59"/>
      <c r="SVQ4" s="59"/>
      <c r="SVR4" s="59"/>
      <c r="SVS4" s="59"/>
      <c r="SVT4" s="59"/>
      <c r="SVU4" s="59"/>
      <c r="SVV4" s="59"/>
      <c r="SVW4" s="59"/>
      <c r="SVX4" s="59"/>
      <c r="SVY4" s="59"/>
      <c r="SVZ4" s="59"/>
      <c r="SWA4" s="59"/>
      <c r="SWB4" s="59"/>
      <c r="SWC4" s="59"/>
      <c r="SWD4" s="59"/>
      <c r="SWE4" s="59"/>
      <c r="SWF4" s="59"/>
      <c r="SWG4" s="59"/>
      <c r="SWH4" s="59"/>
      <c r="SWI4" s="59"/>
      <c r="SWJ4" s="59"/>
      <c r="SWK4" s="59"/>
      <c r="SWL4" s="59"/>
      <c r="SWM4" s="59"/>
      <c r="SWN4" s="59"/>
      <c r="SWO4" s="59"/>
      <c r="SWP4" s="59"/>
      <c r="SWQ4" s="59"/>
      <c r="SWR4" s="59"/>
      <c r="SWS4" s="59"/>
      <c r="SWT4" s="59"/>
      <c r="SWU4" s="59"/>
      <c r="SWV4" s="59"/>
      <c r="SWW4" s="59"/>
      <c r="SWX4" s="59"/>
      <c r="SWY4" s="59"/>
      <c r="SWZ4" s="59"/>
      <c r="SXA4" s="59"/>
      <c r="SXB4" s="59"/>
      <c r="SXC4" s="59"/>
      <c r="SXD4" s="59"/>
      <c r="SXE4" s="59"/>
      <c r="SXF4" s="59"/>
      <c r="SXG4" s="59"/>
      <c r="SXH4" s="59"/>
      <c r="SXI4" s="59"/>
      <c r="SXJ4" s="59"/>
      <c r="SXK4" s="59"/>
      <c r="SXL4" s="59"/>
      <c r="SXM4" s="59"/>
      <c r="SXN4" s="59"/>
      <c r="SXO4" s="59"/>
      <c r="SXP4" s="59"/>
      <c r="SXQ4" s="59"/>
      <c r="SXR4" s="59"/>
      <c r="SXS4" s="59"/>
      <c r="SXT4" s="59"/>
      <c r="SXU4" s="59"/>
      <c r="SXV4" s="59"/>
      <c r="SXW4" s="59"/>
      <c r="SXX4" s="59"/>
      <c r="SXY4" s="59"/>
      <c r="SXZ4" s="59"/>
      <c r="SYA4" s="59"/>
      <c r="SYB4" s="59"/>
      <c r="SYC4" s="59"/>
      <c r="SYD4" s="59"/>
      <c r="SYE4" s="59"/>
      <c r="SYF4" s="59"/>
      <c r="SYG4" s="59"/>
      <c r="SYH4" s="59"/>
      <c r="SYI4" s="59"/>
      <c r="SYJ4" s="59"/>
      <c r="SYK4" s="59"/>
      <c r="SYL4" s="59"/>
      <c r="SYM4" s="59"/>
      <c r="SYN4" s="59"/>
      <c r="SYO4" s="59"/>
      <c r="SYP4" s="59"/>
      <c r="SYQ4" s="59"/>
      <c r="SYR4" s="59"/>
      <c r="SYS4" s="59"/>
      <c r="SYT4" s="59"/>
      <c r="SYU4" s="59"/>
      <c r="SYV4" s="59"/>
      <c r="SYW4" s="59"/>
      <c r="SYX4" s="59"/>
      <c r="SYY4" s="59"/>
      <c r="SYZ4" s="59"/>
      <c r="SZA4" s="59"/>
      <c r="SZB4" s="59"/>
      <c r="SZC4" s="59"/>
      <c r="SZD4" s="59"/>
      <c r="SZE4" s="59"/>
      <c r="SZF4" s="59"/>
      <c r="SZG4" s="59"/>
      <c r="SZH4" s="59"/>
      <c r="SZI4" s="59"/>
      <c r="SZJ4" s="59"/>
      <c r="SZK4" s="59"/>
      <c r="SZL4" s="59"/>
      <c r="SZM4" s="59"/>
      <c r="SZN4" s="59"/>
      <c r="SZO4" s="59"/>
      <c r="SZP4" s="59"/>
      <c r="SZQ4" s="59"/>
      <c r="SZR4" s="59"/>
      <c r="SZS4" s="59"/>
      <c r="SZT4" s="59"/>
      <c r="SZU4" s="59"/>
      <c r="SZV4" s="59"/>
      <c r="SZW4" s="59"/>
      <c r="SZX4" s="59"/>
      <c r="SZY4" s="59"/>
      <c r="SZZ4" s="59"/>
      <c r="TAA4" s="59"/>
      <c r="TAB4" s="59"/>
      <c r="TAC4" s="59"/>
      <c r="TAD4" s="59"/>
      <c r="TAE4" s="59"/>
      <c r="TAF4" s="59"/>
      <c r="TAG4" s="59"/>
      <c r="TAH4" s="59"/>
      <c r="TAI4" s="59"/>
      <c r="TAJ4" s="59"/>
      <c r="TAK4" s="59"/>
      <c r="TAL4" s="59"/>
      <c r="TAM4" s="59"/>
      <c r="TAN4" s="59"/>
      <c r="TAO4" s="59"/>
      <c r="TAP4" s="59"/>
      <c r="TAQ4" s="59"/>
      <c r="TAR4" s="59"/>
      <c r="TAS4" s="59"/>
      <c r="TAT4" s="59"/>
      <c r="TAU4" s="59"/>
      <c r="TAV4" s="59"/>
      <c r="TAW4" s="59"/>
      <c r="TAX4" s="59"/>
      <c r="TAY4" s="59"/>
      <c r="TAZ4" s="59"/>
      <c r="TBA4" s="59"/>
      <c r="TBB4" s="59"/>
      <c r="TBC4" s="59"/>
      <c r="TBD4" s="59"/>
      <c r="TBE4" s="59"/>
      <c r="TBF4" s="59"/>
      <c r="TBG4" s="59"/>
      <c r="TBH4" s="59"/>
      <c r="TBI4" s="59"/>
      <c r="TBJ4" s="59"/>
      <c r="TBK4" s="59"/>
      <c r="TBL4" s="59"/>
      <c r="TBM4" s="59"/>
      <c r="TBN4" s="59"/>
      <c r="TBO4" s="59"/>
      <c r="TBP4" s="59"/>
      <c r="TBQ4" s="59"/>
      <c r="TBR4" s="59"/>
      <c r="TBS4" s="59"/>
      <c r="TBT4" s="59"/>
      <c r="TBU4" s="59"/>
      <c r="TBV4" s="59"/>
      <c r="TBW4" s="59"/>
      <c r="TBX4" s="59"/>
      <c r="TBY4" s="59"/>
      <c r="TBZ4" s="59"/>
      <c r="TCA4" s="59"/>
      <c r="TCB4" s="59"/>
      <c r="TCC4" s="59"/>
      <c r="TCD4" s="59"/>
      <c r="TCE4" s="59"/>
      <c r="TCF4" s="59"/>
      <c r="TCG4" s="59"/>
      <c r="TCH4" s="59"/>
      <c r="TCI4" s="59"/>
      <c r="TCJ4" s="59"/>
      <c r="TCK4" s="59"/>
      <c r="TCL4" s="59"/>
      <c r="TCM4" s="59"/>
      <c r="TCN4" s="59"/>
      <c r="TCO4" s="59"/>
      <c r="TCP4" s="59"/>
      <c r="TCQ4" s="59"/>
      <c r="TCR4" s="59"/>
      <c r="TCS4" s="59"/>
      <c r="TCT4" s="59"/>
      <c r="TCU4" s="59"/>
      <c r="TCV4" s="59"/>
      <c r="TCW4" s="59"/>
      <c r="TCX4" s="59"/>
      <c r="TCY4" s="59"/>
      <c r="TCZ4" s="59"/>
      <c r="TDA4" s="59"/>
      <c r="TDB4" s="59"/>
      <c r="TDC4" s="59"/>
      <c r="TDD4" s="59"/>
      <c r="TDE4" s="59"/>
      <c r="TDF4" s="59"/>
      <c r="TDG4" s="59"/>
      <c r="TDH4" s="59"/>
      <c r="TDI4" s="59"/>
      <c r="TDJ4" s="59"/>
      <c r="TDK4" s="59"/>
      <c r="TDL4" s="59"/>
      <c r="TDM4" s="59"/>
      <c r="TDN4" s="59"/>
      <c r="TDO4" s="59"/>
      <c r="TDP4" s="59"/>
      <c r="TDQ4" s="59"/>
      <c r="TDR4" s="59"/>
      <c r="TDS4" s="59"/>
      <c r="TDT4" s="59"/>
      <c r="TDU4" s="59"/>
      <c r="TDV4" s="59"/>
      <c r="TDW4" s="59"/>
      <c r="TDX4" s="59"/>
      <c r="TDY4" s="59"/>
      <c r="TDZ4" s="59"/>
      <c r="TEA4" s="59"/>
      <c r="TEB4" s="59"/>
      <c r="TEC4" s="59"/>
      <c r="TED4" s="59"/>
      <c r="TEE4" s="59"/>
      <c r="TEF4" s="59"/>
      <c r="TEG4" s="59"/>
      <c r="TEH4" s="59"/>
      <c r="TEI4" s="59"/>
      <c r="TEJ4" s="59"/>
      <c r="TEK4" s="59"/>
      <c r="TEL4" s="59"/>
      <c r="TEM4" s="59"/>
      <c r="TEN4" s="59"/>
      <c r="TEO4" s="59"/>
      <c r="TEP4" s="59"/>
      <c r="TEQ4" s="59"/>
      <c r="TER4" s="59"/>
      <c r="TES4" s="59"/>
      <c r="TET4" s="59"/>
      <c r="TEU4" s="59"/>
      <c r="TEV4" s="59"/>
      <c r="TEW4" s="59"/>
      <c r="TEX4" s="59"/>
      <c r="TEY4" s="59"/>
      <c r="TEZ4" s="59"/>
      <c r="TFA4" s="59"/>
      <c r="TFB4" s="59"/>
      <c r="TFC4" s="59"/>
      <c r="TFD4" s="59"/>
      <c r="TFE4" s="59"/>
      <c r="TFF4" s="59"/>
      <c r="TFG4" s="59"/>
      <c r="TFH4" s="59"/>
      <c r="TFI4" s="59"/>
      <c r="TFJ4" s="59"/>
      <c r="TFK4" s="59"/>
      <c r="TFL4" s="59"/>
      <c r="TFM4" s="59"/>
      <c r="TFN4" s="59"/>
      <c r="TFO4" s="59"/>
      <c r="TFP4" s="59"/>
      <c r="TFQ4" s="59"/>
      <c r="TFR4" s="59"/>
      <c r="TFS4" s="59"/>
      <c r="TFT4" s="59"/>
      <c r="TFU4" s="59"/>
      <c r="TFV4" s="59"/>
      <c r="TFW4" s="59"/>
      <c r="TFX4" s="59"/>
      <c r="TFY4" s="59"/>
      <c r="TFZ4" s="59"/>
      <c r="TGA4" s="59"/>
      <c r="TGB4" s="59"/>
      <c r="TGC4" s="59"/>
      <c r="TGD4" s="59"/>
      <c r="TGE4" s="59"/>
      <c r="TGF4" s="59"/>
      <c r="TGG4" s="59"/>
      <c r="TGH4" s="59"/>
      <c r="TGI4" s="59"/>
      <c r="TGJ4" s="59"/>
      <c r="TGK4" s="59"/>
      <c r="TGL4" s="59"/>
      <c r="TGM4" s="59"/>
      <c r="TGN4" s="59"/>
      <c r="TGO4" s="59"/>
      <c r="TGP4" s="59"/>
      <c r="TGQ4" s="59"/>
      <c r="TGR4" s="59"/>
      <c r="TGS4" s="59"/>
      <c r="TGT4" s="59"/>
      <c r="TGU4" s="59"/>
      <c r="TGV4" s="59"/>
      <c r="TGW4" s="59"/>
      <c r="TGX4" s="59"/>
      <c r="TGY4" s="59"/>
      <c r="TGZ4" s="59"/>
      <c r="THA4" s="59"/>
      <c r="THB4" s="59"/>
      <c r="THC4" s="59"/>
      <c r="THD4" s="59"/>
      <c r="THE4" s="59"/>
      <c r="THF4" s="59"/>
      <c r="THG4" s="59"/>
      <c r="THH4" s="59"/>
      <c r="THI4" s="59"/>
      <c r="THJ4" s="59"/>
      <c r="THK4" s="59"/>
      <c r="THL4" s="59"/>
      <c r="THM4" s="59"/>
      <c r="THN4" s="59"/>
      <c r="THO4" s="59"/>
      <c r="THP4" s="59"/>
      <c r="THQ4" s="59"/>
      <c r="THR4" s="59"/>
      <c r="THS4" s="59"/>
      <c r="THT4" s="59"/>
      <c r="THU4" s="59"/>
      <c r="THV4" s="59"/>
      <c r="THW4" s="59"/>
      <c r="THX4" s="59"/>
      <c r="THY4" s="59"/>
      <c r="THZ4" s="59"/>
      <c r="TIA4" s="59"/>
      <c r="TIB4" s="59"/>
      <c r="TIC4" s="59"/>
      <c r="TID4" s="59"/>
      <c r="TIE4" s="59"/>
      <c r="TIF4" s="59"/>
      <c r="TIG4" s="59"/>
      <c r="TIH4" s="59"/>
      <c r="TII4" s="59"/>
      <c r="TIJ4" s="59"/>
      <c r="TIK4" s="59"/>
      <c r="TIL4" s="59"/>
      <c r="TIM4" s="59"/>
      <c r="TIN4" s="59"/>
      <c r="TIO4" s="59"/>
      <c r="TIP4" s="59"/>
      <c r="TIQ4" s="59"/>
      <c r="TIR4" s="59"/>
      <c r="TIS4" s="59"/>
      <c r="TIT4" s="59"/>
      <c r="TIU4" s="59"/>
      <c r="TIV4" s="59"/>
      <c r="TIW4" s="59"/>
      <c r="TIX4" s="59"/>
      <c r="TIY4" s="59"/>
      <c r="TIZ4" s="59"/>
      <c r="TJA4" s="59"/>
      <c r="TJB4" s="59"/>
      <c r="TJC4" s="59"/>
      <c r="TJD4" s="59"/>
      <c r="TJE4" s="59"/>
      <c r="TJF4" s="59"/>
      <c r="TJG4" s="59"/>
      <c r="TJH4" s="59"/>
      <c r="TJI4" s="59"/>
      <c r="TJJ4" s="59"/>
      <c r="TJK4" s="59"/>
      <c r="TJL4" s="59"/>
      <c r="TJM4" s="59"/>
      <c r="TJN4" s="59"/>
      <c r="TJO4" s="59"/>
      <c r="TJP4" s="59"/>
      <c r="TJQ4" s="59"/>
      <c r="TJR4" s="59"/>
      <c r="TJS4" s="59"/>
      <c r="TJT4" s="59"/>
      <c r="TJU4" s="59"/>
      <c r="TJV4" s="59"/>
      <c r="TJW4" s="59"/>
      <c r="TJX4" s="59"/>
      <c r="TJY4" s="59"/>
      <c r="TJZ4" s="59"/>
      <c r="TKA4" s="59"/>
      <c r="TKB4" s="59"/>
      <c r="TKC4" s="59"/>
      <c r="TKD4" s="59"/>
      <c r="TKE4" s="59"/>
      <c r="TKF4" s="59"/>
      <c r="TKG4" s="59"/>
      <c r="TKH4" s="59"/>
      <c r="TKI4" s="59"/>
      <c r="TKJ4" s="59"/>
      <c r="TKK4" s="59"/>
      <c r="TKL4" s="59"/>
      <c r="TKM4" s="59"/>
      <c r="TKN4" s="59"/>
      <c r="TKO4" s="59"/>
      <c r="TKP4" s="59"/>
      <c r="TKQ4" s="59"/>
      <c r="TKR4" s="59"/>
      <c r="TKS4" s="59"/>
      <c r="TKT4" s="59"/>
      <c r="TKU4" s="59"/>
      <c r="TKV4" s="59"/>
      <c r="TKW4" s="59"/>
      <c r="TKX4" s="59"/>
      <c r="TKY4" s="59"/>
      <c r="TKZ4" s="59"/>
      <c r="TLA4" s="59"/>
      <c r="TLB4" s="59"/>
      <c r="TLC4" s="59"/>
      <c r="TLD4" s="59"/>
      <c r="TLE4" s="59"/>
      <c r="TLF4" s="59"/>
      <c r="TLG4" s="59"/>
      <c r="TLH4" s="59"/>
      <c r="TLI4" s="59"/>
      <c r="TLJ4" s="59"/>
      <c r="TLK4" s="59"/>
      <c r="TLL4" s="59"/>
      <c r="TLM4" s="59"/>
      <c r="TLN4" s="59"/>
      <c r="TLO4" s="59"/>
      <c r="TLP4" s="59"/>
      <c r="TLQ4" s="59"/>
      <c r="TLR4" s="59"/>
      <c r="TLS4" s="59"/>
      <c r="TLT4" s="59"/>
      <c r="TLU4" s="59"/>
      <c r="TLV4" s="59"/>
      <c r="TLW4" s="59"/>
      <c r="TLX4" s="59"/>
      <c r="TLY4" s="59"/>
      <c r="TLZ4" s="59"/>
      <c r="TMA4" s="59"/>
      <c r="TMB4" s="59"/>
      <c r="TMC4" s="59"/>
      <c r="TMD4" s="59"/>
      <c r="TME4" s="59"/>
      <c r="TMF4" s="59"/>
      <c r="TMG4" s="59"/>
      <c r="TMH4" s="59"/>
      <c r="TMI4" s="59"/>
      <c r="TMJ4" s="59"/>
      <c r="TMK4" s="59"/>
      <c r="TML4" s="59"/>
      <c r="TMM4" s="59"/>
      <c r="TMN4" s="59"/>
      <c r="TMO4" s="59"/>
      <c r="TMP4" s="59"/>
      <c r="TMQ4" s="59"/>
      <c r="TMR4" s="59"/>
      <c r="TMS4" s="59"/>
      <c r="TMT4" s="59"/>
      <c r="TMU4" s="59"/>
      <c r="TMV4" s="59"/>
      <c r="TMW4" s="59"/>
      <c r="TMX4" s="59"/>
      <c r="TMY4" s="59"/>
      <c r="TMZ4" s="59"/>
      <c r="TNA4" s="59"/>
      <c r="TNB4" s="59"/>
      <c r="TNC4" s="59"/>
      <c r="TND4" s="59"/>
      <c r="TNE4" s="59"/>
      <c r="TNF4" s="59"/>
      <c r="TNG4" s="59"/>
      <c r="TNH4" s="59"/>
      <c r="TNI4" s="59"/>
      <c r="TNJ4" s="59"/>
      <c r="TNK4" s="59"/>
      <c r="TNL4" s="59"/>
      <c r="TNM4" s="59"/>
      <c r="TNN4" s="59"/>
      <c r="TNO4" s="59"/>
      <c r="TNP4" s="59"/>
      <c r="TNQ4" s="59"/>
      <c r="TNR4" s="59"/>
      <c r="TNS4" s="59"/>
      <c r="TNT4" s="59"/>
      <c r="TNU4" s="59"/>
      <c r="TNV4" s="59"/>
      <c r="TNW4" s="59"/>
      <c r="TNX4" s="59"/>
      <c r="TNY4" s="59"/>
      <c r="TNZ4" s="59"/>
      <c r="TOA4" s="59"/>
      <c r="TOB4" s="59"/>
      <c r="TOC4" s="59"/>
      <c r="TOD4" s="59"/>
      <c r="TOE4" s="59"/>
      <c r="TOF4" s="59"/>
      <c r="TOG4" s="59"/>
      <c r="TOH4" s="59"/>
      <c r="TOI4" s="59"/>
      <c r="TOJ4" s="59"/>
      <c r="TOK4" s="59"/>
      <c r="TOL4" s="59"/>
      <c r="TOM4" s="59"/>
      <c r="TON4" s="59"/>
      <c r="TOO4" s="59"/>
      <c r="TOP4" s="59"/>
      <c r="TOQ4" s="59"/>
      <c r="TOR4" s="59"/>
      <c r="TOS4" s="59"/>
      <c r="TOT4" s="59"/>
      <c r="TOU4" s="59"/>
      <c r="TOV4" s="59"/>
      <c r="TOW4" s="59"/>
      <c r="TOX4" s="59"/>
      <c r="TOY4" s="59"/>
      <c r="TOZ4" s="59"/>
      <c r="TPA4" s="59"/>
      <c r="TPB4" s="59"/>
      <c r="TPC4" s="59"/>
      <c r="TPD4" s="59"/>
      <c r="TPE4" s="59"/>
      <c r="TPF4" s="59"/>
      <c r="TPG4" s="59"/>
      <c r="TPH4" s="59"/>
      <c r="TPI4" s="59"/>
      <c r="TPJ4" s="59"/>
      <c r="TPK4" s="59"/>
      <c r="TPL4" s="59"/>
      <c r="TPM4" s="59"/>
      <c r="TPN4" s="59"/>
      <c r="TPO4" s="59"/>
      <c r="TPP4" s="59"/>
      <c r="TPQ4" s="59"/>
      <c r="TPR4" s="59"/>
      <c r="TPS4" s="59"/>
      <c r="TPT4" s="59"/>
      <c r="TPU4" s="59"/>
      <c r="TPV4" s="59"/>
      <c r="TPW4" s="59"/>
      <c r="TPX4" s="59"/>
      <c r="TPY4" s="59"/>
      <c r="TPZ4" s="59"/>
      <c r="TQA4" s="59"/>
      <c r="TQB4" s="59"/>
      <c r="TQC4" s="59"/>
      <c r="TQD4" s="59"/>
      <c r="TQE4" s="59"/>
      <c r="TQF4" s="59"/>
      <c r="TQG4" s="59"/>
      <c r="TQH4" s="59"/>
      <c r="TQI4" s="59"/>
      <c r="TQJ4" s="59"/>
      <c r="TQK4" s="59"/>
      <c r="TQL4" s="59"/>
      <c r="TQM4" s="59"/>
      <c r="TQN4" s="59"/>
      <c r="TQO4" s="59"/>
      <c r="TQP4" s="59"/>
      <c r="TQQ4" s="59"/>
      <c r="TQR4" s="59"/>
      <c r="TQS4" s="59"/>
      <c r="TQT4" s="59"/>
      <c r="TQU4" s="59"/>
      <c r="TQV4" s="59"/>
      <c r="TQW4" s="59"/>
      <c r="TQX4" s="59"/>
      <c r="TQY4" s="59"/>
      <c r="TQZ4" s="59"/>
      <c r="TRA4" s="59"/>
      <c r="TRB4" s="59"/>
      <c r="TRC4" s="59"/>
      <c r="TRD4" s="59"/>
      <c r="TRE4" s="59"/>
      <c r="TRF4" s="59"/>
      <c r="TRG4" s="59"/>
      <c r="TRH4" s="59"/>
      <c r="TRI4" s="59"/>
      <c r="TRJ4" s="59"/>
      <c r="TRK4" s="59"/>
      <c r="TRL4" s="59"/>
      <c r="TRM4" s="59"/>
      <c r="TRN4" s="59"/>
      <c r="TRO4" s="59"/>
      <c r="TRP4" s="59"/>
      <c r="TRQ4" s="59"/>
      <c r="TRR4" s="59"/>
      <c r="TRS4" s="59"/>
      <c r="TRT4" s="59"/>
      <c r="TRU4" s="59"/>
      <c r="TRV4" s="59"/>
      <c r="TRW4" s="59"/>
      <c r="TRX4" s="59"/>
      <c r="TRY4" s="59"/>
      <c r="TRZ4" s="59"/>
      <c r="TSA4" s="59"/>
      <c r="TSB4" s="59"/>
      <c r="TSC4" s="59"/>
      <c r="TSD4" s="59"/>
      <c r="TSE4" s="59"/>
      <c r="TSF4" s="59"/>
      <c r="TSG4" s="59"/>
      <c r="TSH4" s="59"/>
      <c r="TSI4" s="59"/>
      <c r="TSJ4" s="59"/>
      <c r="TSK4" s="59"/>
      <c r="TSL4" s="59"/>
      <c r="TSM4" s="59"/>
      <c r="TSN4" s="59"/>
      <c r="TSO4" s="59"/>
      <c r="TSP4" s="59"/>
      <c r="TSQ4" s="59"/>
      <c r="TSR4" s="59"/>
      <c r="TSS4" s="59"/>
      <c r="TST4" s="59"/>
      <c r="TSU4" s="59"/>
      <c r="TSV4" s="59"/>
      <c r="TSW4" s="59"/>
      <c r="TSX4" s="59"/>
      <c r="TSY4" s="59"/>
      <c r="TSZ4" s="59"/>
      <c r="TTA4" s="59"/>
      <c r="TTB4" s="59"/>
      <c r="TTC4" s="59"/>
      <c r="TTD4" s="59"/>
      <c r="TTE4" s="59"/>
      <c r="TTF4" s="59"/>
      <c r="TTG4" s="59"/>
      <c r="TTH4" s="59"/>
      <c r="TTI4" s="59"/>
      <c r="TTJ4" s="59"/>
      <c r="TTK4" s="59"/>
      <c r="TTL4" s="59"/>
      <c r="TTM4" s="59"/>
      <c r="TTN4" s="59"/>
      <c r="TTO4" s="59"/>
      <c r="TTP4" s="59"/>
      <c r="TTQ4" s="59"/>
      <c r="TTR4" s="59"/>
      <c r="TTS4" s="59"/>
      <c r="TTT4" s="59"/>
      <c r="TTU4" s="59"/>
      <c r="TTV4" s="59"/>
      <c r="TTW4" s="59"/>
      <c r="TTX4" s="59"/>
      <c r="TTY4" s="59"/>
      <c r="TTZ4" s="59"/>
      <c r="TUA4" s="59"/>
      <c r="TUB4" s="59"/>
      <c r="TUC4" s="59"/>
      <c r="TUD4" s="59"/>
      <c r="TUE4" s="59"/>
      <c r="TUF4" s="59"/>
      <c r="TUG4" s="59"/>
      <c r="TUH4" s="59"/>
      <c r="TUI4" s="59"/>
      <c r="TUJ4" s="59"/>
      <c r="TUK4" s="59"/>
      <c r="TUL4" s="59"/>
      <c r="TUM4" s="59"/>
      <c r="TUN4" s="59"/>
      <c r="TUO4" s="59"/>
      <c r="TUP4" s="59"/>
      <c r="TUQ4" s="59"/>
      <c r="TUR4" s="59"/>
      <c r="TUS4" s="59"/>
      <c r="TUT4" s="59"/>
      <c r="TUU4" s="59"/>
      <c r="TUV4" s="59"/>
      <c r="TUW4" s="59"/>
      <c r="TUX4" s="59"/>
      <c r="TUY4" s="59"/>
      <c r="TUZ4" s="59"/>
      <c r="TVA4" s="59"/>
      <c r="TVB4" s="59"/>
      <c r="TVC4" s="59"/>
      <c r="TVD4" s="59"/>
      <c r="TVE4" s="59"/>
      <c r="TVF4" s="59"/>
      <c r="TVG4" s="59"/>
      <c r="TVH4" s="59"/>
      <c r="TVI4" s="59"/>
      <c r="TVJ4" s="59"/>
      <c r="TVK4" s="59"/>
      <c r="TVL4" s="59"/>
      <c r="TVM4" s="59"/>
      <c r="TVN4" s="59"/>
      <c r="TVO4" s="59"/>
      <c r="TVP4" s="59"/>
      <c r="TVQ4" s="59"/>
      <c r="TVR4" s="59"/>
      <c r="TVS4" s="59"/>
      <c r="TVT4" s="59"/>
      <c r="TVU4" s="59"/>
      <c r="TVV4" s="59"/>
      <c r="TVW4" s="59"/>
      <c r="TVX4" s="59"/>
      <c r="TVY4" s="59"/>
      <c r="TVZ4" s="59"/>
      <c r="TWA4" s="59"/>
      <c r="TWB4" s="59"/>
      <c r="TWC4" s="59"/>
      <c r="TWD4" s="59"/>
      <c r="TWE4" s="59"/>
      <c r="TWF4" s="59"/>
      <c r="TWG4" s="59"/>
      <c r="TWH4" s="59"/>
      <c r="TWI4" s="59"/>
      <c r="TWJ4" s="59"/>
      <c r="TWK4" s="59"/>
      <c r="TWL4" s="59"/>
      <c r="TWM4" s="59"/>
      <c r="TWN4" s="59"/>
      <c r="TWO4" s="59"/>
      <c r="TWP4" s="59"/>
      <c r="TWQ4" s="59"/>
      <c r="TWR4" s="59"/>
      <c r="TWS4" s="59"/>
      <c r="TWT4" s="59"/>
      <c r="TWU4" s="59"/>
      <c r="TWV4" s="59"/>
      <c r="TWW4" s="59"/>
      <c r="TWX4" s="59"/>
      <c r="TWY4" s="59"/>
      <c r="TWZ4" s="59"/>
      <c r="TXA4" s="59"/>
      <c r="TXB4" s="59"/>
      <c r="TXC4" s="59"/>
      <c r="TXD4" s="59"/>
      <c r="TXE4" s="59"/>
      <c r="TXF4" s="59"/>
      <c r="TXG4" s="59"/>
      <c r="TXH4" s="59"/>
      <c r="TXI4" s="59"/>
      <c r="TXJ4" s="59"/>
      <c r="TXK4" s="59"/>
      <c r="TXL4" s="59"/>
      <c r="TXM4" s="59"/>
      <c r="TXN4" s="59"/>
      <c r="TXO4" s="59"/>
      <c r="TXP4" s="59"/>
      <c r="TXQ4" s="59"/>
      <c r="TXR4" s="59"/>
      <c r="TXS4" s="59"/>
      <c r="TXT4" s="59"/>
      <c r="TXU4" s="59"/>
      <c r="TXV4" s="59"/>
      <c r="TXW4" s="59"/>
      <c r="TXX4" s="59"/>
      <c r="TXY4" s="59"/>
      <c r="TXZ4" s="59"/>
      <c r="TYA4" s="59"/>
      <c r="TYB4" s="59"/>
      <c r="TYC4" s="59"/>
      <c r="TYD4" s="59"/>
      <c r="TYE4" s="59"/>
      <c r="TYF4" s="59"/>
      <c r="TYG4" s="59"/>
      <c r="TYH4" s="59"/>
      <c r="TYI4" s="59"/>
      <c r="TYJ4" s="59"/>
      <c r="TYK4" s="59"/>
      <c r="TYL4" s="59"/>
      <c r="TYM4" s="59"/>
      <c r="TYN4" s="59"/>
      <c r="TYO4" s="59"/>
      <c r="TYP4" s="59"/>
      <c r="TYQ4" s="59"/>
      <c r="TYR4" s="59"/>
      <c r="TYS4" s="59"/>
      <c r="TYT4" s="59"/>
      <c r="TYU4" s="59"/>
      <c r="TYV4" s="59"/>
      <c r="TYW4" s="59"/>
      <c r="TYX4" s="59"/>
      <c r="TYY4" s="59"/>
      <c r="TYZ4" s="59"/>
      <c r="TZA4" s="59"/>
      <c r="TZB4" s="59"/>
      <c r="TZC4" s="59"/>
      <c r="TZD4" s="59"/>
      <c r="TZE4" s="59"/>
      <c r="TZF4" s="59"/>
      <c r="TZG4" s="59"/>
      <c r="TZH4" s="59"/>
      <c r="TZI4" s="59"/>
      <c r="TZJ4" s="59"/>
      <c r="TZK4" s="59"/>
      <c r="TZL4" s="59"/>
      <c r="TZM4" s="59"/>
      <c r="TZN4" s="59"/>
      <c r="TZO4" s="59"/>
      <c r="TZP4" s="59"/>
      <c r="TZQ4" s="59"/>
      <c r="TZR4" s="59"/>
      <c r="TZS4" s="59"/>
      <c r="TZT4" s="59"/>
      <c r="TZU4" s="59"/>
      <c r="TZV4" s="59"/>
      <c r="TZW4" s="59"/>
      <c r="TZX4" s="59"/>
      <c r="TZY4" s="59"/>
      <c r="TZZ4" s="59"/>
      <c r="UAA4" s="59"/>
      <c r="UAB4" s="59"/>
      <c r="UAC4" s="59"/>
      <c r="UAD4" s="59"/>
      <c r="UAE4" s="59"/>
      <c r="UAF4" s="59"/>
      <c r="UAG4" s="59"/>
      <c r="UAH4" s="59"/>
      <c r="UAI4" s="59"/>
      <c r="UAJ4" s="59"/>
      <c r="UAK4" s="59"/>
      <c r="UAL4" s="59"/>
      <c r="UAM4" s="59"/>
      <c r="UAN4" s="59"/>
      <c r="UAO4" s="59"/>
      <c r="UAP4" s="59"/>
      <c r="UAQ4" s="59"/>
      <c r="UAR4" s="59"/>
      <c r="UAS4" s="59"/>
      <c r="UAT4" s="59"/>
      <c r="UAU4" s="59"/>
      <c r="UAV4" s="59"/>
      <c r="UAW4" s="59"/>
      <c r="UAX4" s="59"/>
      <c r="UAY4" s="59"/>
      <c r="UAZ4" s="59"/>
      <c r="UBA4" s="59"/>
      <c r="UBB4" s="59"/>
      <c r="UBC4" s="59"/>
      <c r="UBD4" s="59"/>
      <c r="UBE4" s="59"/>
      <c r="UBF4" s="59"/>
      <c r="UBG4" s="59"/>
      <c r="UBH4" s="59"/>
      <c r="UBI4" s="59"/>
      <c r="UBJ4" s="59"/>
      <c r="UBK4" s="59"/>
      <c r="UBL4" s="59"/>
      <c r="UBM4" s="59"/>
      <c r="UBN4" s="59"/>
      <c r="UBO4" s="59"/>
      <c r="UBP4" s="59"/>
      <c r="UBQ4" s="59"/>
      <c r="UBR4" s="59"/>
      <c r="UBS4" s="59"/>
      <c r="UBT4" s="59"/>
      <c r="UBU4" s="59"/>
      <c r="UBV4" s="59"/>
      <c r="UBW4" s="59"/>
      <c r="UBX4" s="59"/>
      <c r="UBY4" s="59"/>
      <c r="UBZ4" s="59"/>
      <c r="UCA4" s="59"/>
      <c r="UCB4" s="59"/>
      <c r="UCC4" s="59"/>
      <c r="UCD4" s="59"/>
      <c r="UCE4" s="59"/>
      <c r="UCF4" s="59"/>
      <c r="UCG4" s="59"/>
      <c r="UCH4" s="59"/>
      <c r="UCI4" s="59"/>
      <c r="UCJ4" s="59"/>
      <c r="UCK4" s="59"/>
      <c r="UCL4" s="59"/>
      <c r="UCM4" s="59"/>
      <c r="UCN4" s="59"/>
      <c r="UCO4" s="59"/>
      <c r="UCP4" s="59"/>
      <c r="UCQ4" s="59"/>
      <c r="UCR4" s="59"/>
      <c r="UCS4" s="59"/>
      <c r="UCT4" s="59"/>
      <c r="UCU4" s="59"/>
      <c r="UCV4" s="59"/>
      <c r="UCW4" s="59"/>
      <c r="UCX4" s="59"/>
      <c r="UCY4" s="59"/>
      <c r="UCZ4" s="59"/>
      <c r="UDA4" s="59"/>
      <c r="UDB4" s="59"/>
      <c r="UDC4" s="59"/>
      <c r="UDD4" s="59"/>
      <c r="UDE4" s="59"/>
      <c r="UDF4" s="59"/>
      <c r="UDG4" s="59"/>
      <c r="UDH4" s="59"/>
      <c r="UDI4" s="59"/>
      <c r="UDJ4" s="59"/>
      <c r="UDK4" s="59"/>
      <c r="UDL4" s="59"/>
      <c r="UDM4" s="59"/>
      <c r="UDN4" s="59"/>
      <c r="UDO4" s="59"/>
      <c r="UDP4" s="59"/>
      <c r="UDQ4" s="59"/>
      <c r="UDR4" s="59"/>
      <c r="UDS4" s="59"/>
      <c r="UDT4" s="59"/>
      <c r="UDU4" s="59"/>
      <c r="UDV4" s="59"/>
      <c r="UDW4" s="59"/>
      <c r="UDX4" s="59"/>
      <c r="UDY4" s="59"/>
      <c r="UDZ4" s="59"/>
      <c r="UEA4" s="59"/>
      <c r="UEB4" s="59"/>
      <c r="UEC4" s="59"/>
      <c r="UED4" s="59"/>
      <c r="UEE4" s="59"/>
      <c r="UEF4" s="59"/>
      <c r="UEG4" s="59"/>
      <c r="UEH4" s="59"/>
      <c r="UEI4" s="59"/>
      <c r="UEJ4" s="59"/>
      <c r="UEK4" s="59"/>
      <c r="UEL4" s="59"/>
      <c r="UEM4" s="59"/>
      <c r="UEN4" s="59"/>
      <c r="UEO4" s="59"/>
      <c r="UEP4" s="59"/>
      <c r="UEQ4" s="59"/>
      <c r="UER4" s="59"/>
      <c r="UES4" s="59"/>
      <c r="UET4" s="59"/>
      <c r="UEU4" s="59"/>
      <c r="UEV4" s="59"/>
      <c r="UEW4" s="59"/>
      <c r="UEX4" s="59"/>
      <c r="UEY4" s="59"/>
      <c r="UEZ4" s="59"/>
      <c r="UFA4" s="59"/>
      <c r="UFB4" s="59"/>
      <c r="UFC4" s="59"/>
      <c r="UFD4" s="59"/>
      <c r="UFE4" s="59"/>
      <c r="UFF4" s="59"/>
      <c r="UFG4" s="59"/>
      <c r="UFH4" s="59"/>
      <c r="UFI4" s="59"/>
      <c r="UFJ4" s="59"/>
      <c r="UFK4" s="59"/>
      <c r="UFL4" s="59"/>
      <c r="UFM4" s="59"/>
      <c r="UFN4" s="59"/>
      <c r="UFO4" s="59"/>
      <c r="UFP4" s="59"/>
      <c r="UFQ4" s="59"/>
      <c r="UFR4" s="59"/>
      <c r="UFS4" s="59"/>
      <c r="UFT4" s="59"/>
      <c r="UFU4" s="59"/>
      <c r="UFV4" s="59"/>
      <c r="UFW4" s="59"/>
      <c r="UFX4" s="59"/>
      <c r="UFY4" s="59"/>
      <c r="UFZ4" s="59"/>
      <c r="UGA4" s="59"/>
      <c r="UGB4" s="59"/>
      <c r="UGC4" s="59"/>
      <c r="UGD4" s="59"/>
      <c r="UGE4" s="59"/>
      <c r="UGF4" s="59"/>
      <c r="UGG4" s="59"/>
      <c r="UGH4" s="59"/>
      <c r="UGI4" s="59"/>
      <c r="UGJ4" s="59"/>
      <c r="UGK4" s="59"/>
      <c r="UGL4" s="59"/>
      <c r="UGM4" s="59"/>
      <c r="UGN4" s="59"/>
      <c r="UGO4" s="59"/>
      <c r="UGP4" s="59"/>
      <c r="UGQ4" s="59"/>
      <c r="UGR4" s="59"/>
      <c r="UGS4" s="59"/>
      <c r="UGT4" s="59"/>
      <c r="UGU4" s="59"/>
      <c r="UGV4" s="59"/>
      <c r="UGW4" s="59"/>
      <c r="UGX4" s="59"/>
      <c r="UGY4" s="59"/>
      <c r="UGZ4" s="59"/>
      <c r="UHA4" s="59"/>
      <c r="UHB4" s="59"/>
      <c r="UHC4" s="59"/>
      <c r="UHD4" s="59"/>
      <c r="UHE4" s="59"/>
      <c r="UHF4" s="59"/>
      <c r="UHG4" s="59"/>
      <c r="UHH4" s="59"/>
      <c r="UHI4" s="59"/>
      <c r="UHJ4" s="59"/>
      <c r="UHK4" s="59"/>
      <c r="UHL4" s="59"/>
      <c r="UHM4" s="59"/>
      <c r="UHN4" s="59"/>
      <c r="UHO4" s="59"/>
      <c r="UHP4" s="59"/>
      <c r="UHQ4" s="59"/>
      <c r="UHR4" s="59"/>
      <c r="UHS4" s="59"/>
      <c r="UHT4" s="59"/>
      <c r="UHU4" s="59"/>
      <c r="UHV4" s="59"/>
      <c r="UHW4" s="59"/>
      <c r="UHX4" s="59"/>
      <c r="UHY4" s="59"/>
      <c r="UHZ4" s="59"/>
      <c r="UIA4" s="59"/>
      <c r="UIB4" s="59"/>
      <c r="UIC4" s="59"/>
      <c r="UID4" s="59"/>
      <c r="UIE4" s="59"/>
      <c r="UIF4" s="59"/>
      <c r="UIG4" s="59"/>
      <c r="UIH4" s="59"/>
      <c r="UII4" s="59"/>
      <c r="UIJ4" s="59"/>
      <c r="UIK4" s="59"/>
      <c r="UIL4" s="59"/>
      <c r="UIM4" s="59"/>
      <c r="UIN4" s="59"/>
      <c r="UIO4" s="59"/>
      <c r="UIP4" s="59"/>
      <c r="UIQ4" s="59"/>
      <c r="UIR4" s="59"/>
      <c r="UIS4" s="59"/>
      <c r="UIT4" s="59"/>
      <c r="UIU4" s="59"/>
      <c r="UIV4" s="59"/>
      <c r="UIW4" s="59"/>
      <c r="UIX4" s="59"/>
      <c r="UIY4" s="59"/>
      <c r="UIZ4" s="59"/>
      <c r="UJA4" s="59"/>
      <c r="UJB4" s="59"/>
      <c r="UJC4" s="59"/>
      <c r="UJD4" s="59"/>
      <c r="UJE4" s="59"/>
      <c r="UJF4" s="59"/>
      <c r="UJG4" s="59"/>
      <c r="UJH4" s="59"/>
      <c r="UJI4" s="59"/>
      <c r="UJJ4" s="59"/>
      <c r="UJK4" s="59"/>
      <c r="UJL4" s="59"/>
      <c r="UJM4" s="59"/>
      <c r="UJN4" s="59"/>
      <c r="UJO4" s="59"/>
      <c r="UJP4" s="59"/>
      <c r="UJQ4" s="59"/>
      <c r="UJR4" s="59"/>
      <c r="UJS4" s="59"/>
      <c r="UJT4" s="59"/>
      <c r="UJU4" s="59"/>
      <c r="UJV4" s="59"/>
      <c r="UJW4" s="59"/>
      <c r="UJX4" s="59"/>
      <c r="UJY4" s="59"/>
      <c r="UJZ4" s="59"/>
      <c r="UKA4" s="59"/>
      <c r="UKB4" s="59"/>
      <c r="UKC4" s="59"/>
      <c r="UKD4" s="59"/>
      <c r="UKE4" s="59"/>
      <c r="UKF4" s="59"/>
      <c r="UKG4" s="59"/>
      <c r="UKH4" s="59"/>
      <c r="UKI4" s="59"/>
      <c r="UKJ4" s="59"/>
      <c r="UKK4" s="59"/>
      <c r="UKL4" s="59"/>
      <c r="UKM4" s="59"/>
      <c r="UKN4" s="59"/>
      <c r="UKO4" s="59"/>
      <c r="UKP4" s="59"/>
      <c r="UKQ4" s="59"/>
      <c r="UKR4" s="59"/>
      <c r="UKS4" s="59"/>
      <c r="UKT4" s="59"/>
      <c r="UKU4" s="59"/>
      <c r="UKV4" s="59"/>
      <c r="UKW4" s="59"/>
      <c r="UKX4" s="59"/>
      <c r="UKY4" s="59"/>
      <c r="UKZ4" s="59"/>
      <c r="ULA4" s="59"/>
      <c r="ULB4" s="59"/>
      <c r="ULC4" s="59"/>
      <c r="ULD4" s="59"/>
      <c r="ULE4" s="59"/>
      <c r="ULF4" s="59"/>
      <c r="ULG4" s="59"/>
      <c r="ULH4" s="59"/>
      <c r="ULI4" s="59"/>
      <c r="ULJ4" s="59"/>
      <c r="ULK4" s="59"/>
      <c r="ULL4" s="59"/>
      <c r="ULM4" s="59"/>
      <c r="ULN4" s="59"/>
      <c r="ULO4" s="59"/>
      <c r="ULP4" s="59"/>
      <c r="ULQ4" s="59"/>
      <c r="ULR4" s="59"/>
      <c r="ULS4" s="59"/>
      <c r="ULT4" s="59"/>
      <c r="ULU4" s="59"/>
      <c r="ULV4" s="59"/>
      <c r="ULW4" s="59"/>
      <c r="ULX4" s="59"/>
      <c r="ULY4" s="59"/>
      <c r="ULZ4" s="59"/>
      <c r="UMA4" s="59"/>
      <c r="UMB4" s="59"/>
      <c r="UMC4" s="59"/>
      <c r="UMD4" s="59"/>
      <c r="UME4" s="59"/>
      <c r="UMF4" s="59"/>
      <c r="UMG4" s="59"/>
      <c r="UMH4" s="59"/>
      <c r="UMI4" s="59"/>
      <c r="UMJ4" s="59"/>
      <c r="UMK4" s="59"/>
      <c r="UML4" s="59"/>
      <c r="UMM4" s="59"/>
      <c r="UMN4" s="59"/>
      <c r="UMO4" s="59"/>
      <c r="UMP4" s="59"/>
      <c r="UMQ4" s="59"/>
      <c r="UMR4" s="59"/>
      <c r="UMS4" s="59"/>
      <c r="UMT4" s="59"/>
      <c r="UMU4" s="59"/>
      <c r="UMV4" s="59"/>
      <c r="UMW4" s="59"/>
      <c r="UMX4" s="59"/>
      <c r="UMY4" s="59"/>
      <c r="UMZ4" s="59"/>
      <c r="UNA4" s="59"/>
      <c r="UNB4" s="59"/>
      <c r="UNC4" s="59"/>
      <c r="UND4" s="59"/>
      <c r="UNE4" s="59"/>
      <c r="UNF4" s="59"/>
      <c r="UNG4" s="59"/>
      <c r="UNH4" s="59"/>
      <c r="UNI4" s="59"/>
      <c r="UNJ4" s="59"/>
      <c r="UNK4" s="59"/>
      <c r="UNL4" s="59"/>
      <c r="UNM4" s="59"/>
      <c r="UNN4" s="59"/>
      <c r="UNO4" s="59"/>
      <c r="UNP4" s="59"/>
      <c r="UNQ4" s="59"/>
      <c r="UNR4" s="59"/>
      <c r="UNS4" s="59"/>
      <c r="UNT4" s="59"/>
      <c r="UNU4" s="59"/>
      <c r="UNV4" s="59"/>
      <c r="UNW4" s="59"/>
      <c r="UNX4" s="59"/>
      <c r="UNY4" s="59"/>
      <c r="UNZ4" s="59"/>
      <c r="UOA4" s="59"/>
      <c r="UOB4" s="59"/>
      <c r="UOC4" s="59"/>
      <c r="UOD4" s="59"/>
      <c r="UOE4" s="59"/>
      <c r="UOF4" s="59"/>
      <c r="UOG4" s="59"/>
      <c r="UOH4" s="59"/>
      <c r="UOI4" s="59"/>
      <c r="UOJ4" s="59"/>
      <c r="UOK4" s="59"/>
      <c r="UOL4" s="59"/>
      <c r="UOM4" s="59"/>
      <c r="UON4" s="59"/>
      <c r="UOO4" s="59"/>
      <c r="UOP4" s="59"/>
      <c r="UOQ4" s="59"/>
      <c r="UOR4" s="59"/>
      <c r="UOS4" s="59"/>
      <c r="UOT4" s="59"/>
      <c r="UOU4" s="59"/>
      <c r="UOV4" s="59"/>
      <c r="UOW4" s="59"/>
      <c r="UOX4" s="59"/>
      <c r="UOY4" s="59"/>
      <c r="UOZ4" s="59"/>
      <c r="UPA4" s="59"/>
      <c r="UPB4" s="59"/>
      <c r="UPC4" s="59"/>
      <c r="UPD4" s="59"/>
      <c r="UPE4" s="59"/>
      <c r="UPF4" s="59"/>
      <c r="UPG4" s="59"/>
      <c r="UPH4" s="59"/>
      <c r="UPI4" s="59"/>
      <c r="UPJ4" s="59"/>
      <c r="UPK4" s="59"/>
      <c r="UPL4" s="59"/>
      <c r="UPM4" s="59"/>
      <c r="UPN4" s="59"/>
      <c r="UPO4" s="59"/>
      <c r="UPP4" s="59"/>
      <c r="UPQ4" s="59"/>
      <c r="UPR4" s="59"/>
      <c r="UPS4" s="59"/>
      <c r="UPT4" s="59"/>
      <c r="UPU4" s="59"/>
      <c r="UPV4" s="59"/>
      <c r="UPW4" s="59"/>
      <c r="UPX4" s="59"/>
      <c r="UPY4" s="59"/>
      <c r="UPZ4" s="59"/>
      <c r="UQA4" s="59"/>
      <c r="UQB4" s="59"/>
      <c r="UQC4" s="59"/>
      <c r="UQD4" s="59"/>
      <c r="UQE4" s="59"/>
      <c r="UQF4" s="59"/>
      <c r="UQG4" s="59"/>
      <c r="UQH4" s="59"/>
      <c r="UQI4" s="59"/>
      <c r="UQJ4" s="59"/>
      <c r="UQK4" s="59"/>
      <c r="UQL4" s="59"/>
      <c r="UQM4" s="59"/>
      <c r="UQN4" s="59"/>
      <c r="UQO4" s="59"/>
      <c r="UQP4" s="59"/>
      <c r="UQQ4" s="59"/>
      <c r="UQR4" s="59"/>
      <c r="UQS4" s="59"/>
      <c r="UQT4" s="59"/>
      <c r="UQU4" s="59"/>
      <c r="UQV4" s="59"/>
      <c r="UQW4" s="59"/>
      <c r="UQX4" s="59"/>
      <c r="UQY4" s="59"/>
      <c r="UQZ4" s="59"/>
      <c r="URA4" s="59"/>
      <c r="URB4" s="59"/>
      <c r="URC4" s="59"/>
      <c r="URD4" s="59"/>
      <c r="URE4" s="59"/>
      <c r="URF4" s="59"/>
      <c r="URG4" s="59"/>
      <c r="URH4" s="59"/>
      <c r="URI4" s="59"/>
      <c r="URJ4" s="59"/>
      <c r="URK4" s="59"/>
      <c r="URL4" s="59"/>
      <c r="URM4" s="59"/>
      <c r="URN4" s="59"/>
      <c r="URO4" s="59"/>
      <c r="URP4" s="59"/>
      <c r="URQ4" s="59"/>
      <c r="URR4" s="59"/>
      <c r="URS4" s="59"/>
      <c r="URT4" s="59"/>
      <c r="URU4" s="59"/>
      <c r="URV4" s="59"/>
      <c r="URW4" s="59"/>
      <c r="URX4" s="59"/>
      <c r="URY4" s="59"/>
      <c r="URZ4" s="59"/>
      <c r="USA4" s="59"/>
      <c r="USB4" s="59"/>
      <c r="USC4" s="59"/>
      <c r="USD4" s="59"/>
      <c r="USE4" s="59"/>
      <c r="USF4" s="59"/>
      <c r="USG4" s="59"/>
      <c r="USH4" s="59"/>
      <c r="USI4" s="59"/>
      <c r="USJ4" s="59"/>
      <c r="USK4" s="59"/>
      <c r="USL4" s="59"/>
      <c r="USM4" s="59"/>
      <c r="USN4" s="59"/>
      <c r="USO4" s="59"/>
      <c r="USP4" s="59"/>
      <c r="USQ4" s="59"/>
      <c r="USR4" s="59"/>
      <c r="USS4" s="59"/>
      <c r="UST4" s="59"/>
      <c r="USU4" s="59"/>
      <c r="USV4" s="59"/>
      <c r="USW4" s="59"/>
      <c r="USX4" s="59"/>
      <c r="USY4" s="59"/>
      <c r="USZ4" s="59"/>
      <c r="UTA4" s="59"/>
      <c r="UTB4" s="59"/>
      <c r="UTC4" s="59"/>
      <c r="UTD4" s="59"/>
      <c r="UTE4" s="59"/>
      <c r="UTF4" s="59"/>
      <c r="UTG4" s="59"/>
      <c r="UTH4" s="59"/>
      <c r="UTI4" s="59"/>
      <c r="UTJ4" s="59"/>
      <c r="UTK4" s="59"/>
      <c r="UTL4" s="59"/>
      <c r="UTM4" s="59"/>
      <c r="UTN4" s="59"/>
      <c r="UTO4" s="59"/>
      <c r="UTP4" s="59"/>
      <c r="UTQ4" s="59"/>
      <c r="UTR4" s="59"/>
      <c r="UTS4" s="59"/>
      <c r="UTT4" s="59"/>
      <c r="UTU4" s="59"/>
      <c r="UTV4" s="59"/>
      <c r="UTW4" s="59"/>
      <c r="UTX4" s="59"/>
      <c r="UTY4" s="59"/>
      <c r="UTZ4" s="59"/>
      <c r="UUA4" s="59"/>
      <c r="UUB4" s="59"/>
      <c r="UUC4" s="59"/>
      <c r="UUD4" s="59"/>
      <c r="UUE4" s="59"/>
      <c r="UUF4" s="59"/>
      <c r="UUG4" s="59"/>
      <c r="UUH4" s="59"/>
      <c r="UUI4" s="59"/>
      <c r="UUJ4" s="59"/>
      <c r="UUK4" s="59"/>
      <c r="UUL4" s="59"/>
      <c r="UUM4" s="59"/>
      <c r="UUN4" s="59"/>
      <c r="UUO4" s="59"/>
      <c r="UUP4" s="59"/>
      <c r="UUQ4" s="59"/>
      <c r="UUR4" s="59"/>
      <c r="UUS4" s="59"/>
      <c r="UUT4" s="59"/>
      <c r="UUU4" s="59"/>
      <c r="UUV4" s="59"/>
      <c r="UUW4" s="59"/>
      <c r="UUX4" s="59"/>
      <c r="UUY4" s="59"/>
      <c r="UUZ4" s="59"/>
      <c r="UVA4" s="59"/>
      <c r="UVB4" s="59"/>
      <c r="UVC4" s="59"/>
      <c r="UVD4" s="59"/>
      <c r="UVE4" s="59"/>
      <c r="UVF4" s="59"/>
      <c r="UVG4" s="59"/>
      <c r="UVH4" s="59"/>
      <c r="UVI4" s="59"/>
      <c r="UVJ4" s="59"/>
      <c r="UVK4" s="59"/>
      <c r="UVL4" s="59"/>
      <c r="UVM4" s="59"/>
      <c r="UVN4" s="59"/>
      <c r="UVO4" s="59"/>
      <c r="UVP4" s="59"/>
      <c r="UVQ4" s="59"/>
      <c r="UVR4" s="59"/>
      <c r="UVS4" s="59"/>
      <c r="UVT4" s="59"/>
      <c r="UVU4" s="59"/>
      <c r="UVV4" s="59"/>
      <c r="UVW4" s="59"/>
      <c r="UVX4" s="59"/>
      <c r="UVY4" s="59"/>
      <c r="UVZ4" s="59"/>
      <c r="UWA4" s="59"/>
      <c r="UWB4" s="59"/>
      <c r="UWC4" s="59"/>
      <c r="UWD4" s="59"/>
      <c r="UWE4" s="59"/>
      <c r="UWF4" s="59"/>
      <c r="UWG4" s="59"/>
      <c r="UWH4" s="59"/>
      <c r="UWI4" s="59"/>
      <c r="UWJ4" s="59"/>
      <c r="UWK4" s="59"/>
      <c r="UWL4" s="59"/>
      <c r="UWM4" s="59"/>
      <c r="UWN4" s="59"/>
      <c r="UWO4" s="59"/>
      <c r="UWP4" s="59"/>
      <c r="UWQ4" s="59"/>
      <c r="UWR4" s="59"/>
      <c r="UWS4" s="59"/>
      <c r="UWT4" s="59"/>
      <c r="UWU4" s="59"/>
      <c r="UWV4" s="59"/>
      <c r="UWW4" s="59"/>
      <c r="UWX4" s="59"/>
      <c r="UWY4" s="59"/>
      <c r="UWZ4" s="59"/>
      <c r="UXA4" s="59"/>
      <c r="UXB4" s="59"/>
      <c r="UXC4" s="59"/>
      <c r="UXD4" s="59"/>
      <c r="UXE4" s="59"/>
      <c r="UXF4" s="59"/>
      <c r="UXG4" s="59"/>
      <c r="UXH4" s="59"/>
      <c r="UXI4" s="59"/>
      <c r="UXJ4" s="59"/>
      <c r="UXK4" s="59"/>
      <c r="UXL4" s="59"/>
      <c r="UXM4" s="59"/>
      <c r="UXN4" s="59"/>
      <c r="UXO4" s="59"/>
      <c r="UXP4" s="59"/>
      <c r="UXQ4" s="59"/>
      <c r="UXR4" s="59"/>
      <c r="UXS4" s="59"/>
      <c r="UXT4" s="59"/>
      <c r="UXU4" s="59"/>
      <c r="UXV4" s="59"/>
      <c r="UXW4" s="59"/>
      <c r="UXX4" s="59"/>
      <c r="UXY4" s="59"/>
      <c r="UXZ4" s="59"/>
      <c r="UYA4" s="59"/>
      <c r="UYB4" s="59"/>
      <c r="UYC4" s="59"/>
      <c r="UYD4" s="59"/>
      <c r="UYE4" s="59"/>
      <c r="UYF4" s="59"/>
      <c r="UYG4" s="59"/>
      <c r="UYH4" s="59"/>
      <c r="UYI4" s="59"/>
      <c r="UYJ4" s="59"/>
      <c r="UYK4" s="59"/>
      <c r="UYL4" s="59"/>
      <c r="UYM4" s="59"/>
      <c r="UYN4" s="59"/>
      <c r="UYO4" s="59"/>
      <c r="UYP4" s="59"/>
      <c r="UYQ4" s="59"/>
      <c r="UYR4" s="59"/>
      <c r="UYS4" s="59"/>
      <c r="UYT4" s="59"/>
      <c r="UYU4" s="59"/>
      <c r="UYV4" s="59"/>
      <c r="UYW4" s="59"/>
      <c r="UYX4" s="59"/>
      <c r="UYY4" s="59"/>
      <c r="UYZ4" s="59"/>
      <c r="UZA4" s="59"/>
      <c r="UZB4" s="59"/>
      <c r="UZC4" s="59"/>
      <c r="UZD4" s="59"/>
      <c r="UZE4" s="59"/>
      <c r="UZF4" s="59"/>
      <c r="UZG4" s="59"/>
      <c r="UZH4" s="59"/>
      <c r="UZI4" s="59"/>
      <c r="UZJ4" s="59"/>
      <c r="UZK4" s="59"/>
      <c r="UZL4" s="59"/>
      <c r="UZM4" s="59"/>
      <c r="UZN4" s="59"/>
      <c r="UZO4" s="59"/>
      <c r="UZP4" s="59"/>
      <c r="UZQ4" s="59"/>
      <c r="UZR4" s="59"/>
      <c r="UZS4" s="59"/>
      <c r="UZT4" s="59"/>
      <c r="UZU4" s="59"/>
      <c r="UZV4" s="59"/>
      <c r="UZW4" s="59"/>
      <c r="UZX4" s="59"/>
      <c r="UZY4" s="59"/>
      <c r="UZZ4" s="59"/>
      <c r="VAA4" s="59"/>
      <c r="VAB4" s="59"/>
      <c r="VAC4" s="59"/>
      <c r="VAD4" s="59"/>
      <c r="VAE4" s="59"/>
      <c r="VAF4" s="59"/>
      <c r="VAG4" s="59"/>
      <c r="VAH4" s="59"/>
      <c r="VAI4" s="59"/>
      <c r="VAJ4" s="59"/>
      <c r="VAK4" s="59"/>
      <c r="VAL4" s="59"/>
      <c r="VAM4" s="59"/>
      <c r="VAN4" s="59"/>
      <c r="VAO4" s="59"/>
      <c r="VAP4" s="59"/>
      <c r="VAQ4" s="59"/>
      <c r="VAR4" s="59"/>
      <c r="VAS4" s="59"/>
      <c r="VAT4" s="59"/>
      <c r="VAU4" s="59"/>
      <c r="VAV4" s="59"/>
      <c r="VAW4" s="59"/>
      <c r="VAX4" s="59"/>
      <c r="VAY4" s="59"/>
      <c r="VAZ4" s="59"/>
      <c r="VBA4" s="59"/>
      <c r="VBB4" s="59"/>
      <c r="VBC4" s="59"/>
      <c r="VBD4" s="59"/>
      <c r="VBE4" s="59"/>
      <c r="VBF4" s="59"/>
      <c r="VBG4" s="59"/>
      <c r="VBH4" s="59"/>
      <c r="VBI4" s="59"/>
      <c r="VBJ4" s="59"/>
      <c r="VBK4" s="59"/>
      <c r="VBL4" s="59"/>
      <c r="VBM4" s="59"/>
      <c r="VBN4" s="59"/>
      <c r="VBO4" s="59"/>
      <c r="VBP4" s="59"/>
      <c r="VBQ4" s="59"/>
      <c r="VBR4" s="59"/>
      <c r="VBS4" s="59"/>
      <c r="VBT4" s="59"/>
      <c r="VBU4" s="59"/>
      <c r="VBV4" s="59"/>
      <c r="VBW4" s="59"/>
      <c r="VBX4" s="59"/>
      <c r="VBY4" s="59"/>
      <c r="VBZ4" s="59"/>
      <c r="VCA4" s="59"/>
      <c r="VCB4" s="59"/>
      <c r="VCC4" s="59"/>
      <c r="VCD4" s="59"/>
      <c r="VCE4" s="59"/>
      <c r="VCF4" s="59"/>
      <c r="VCG4" s="59"/>
      <c r="VCH4" s="59"/>
      <c r="VCI4" s="59"/>
      <c r="VCJ4" s="59"/>
      <c r="VCK4" s="59"/>
      <c r="VCL4" s="59"/>
      <c r="VCM4" s="59"/>
      <c r="VCN4" s="59"/>
      <c r="VCO4" s="59"/>
      <c r="VCP4" s="59"/>
      <c r="VCQ4" s="59"/>
      <c r="VCR4" s="59"/>
      <c r="VCS4" s="59"/>
      <c r="VCT4" s="59"/>
      <c r="VCU4" s="59"/>
      <c r="VCV4" s="59"/>
      <c r="VCW4" s="59"/>
      <c r="VCX4" s="59"/>
      <c r="VCY4" s="59"/>
      <c r="VCZ4" s="59"/>
      <c r="VDA4" s="59"/>
      <c r="VDB4" s="59"/>
      <c r="VDC4" s="59"/>
      <c r="VDD4" s="59"/>
      <c r="VDE4" s="59"/>
      <c r="VDF4" s="59"/>
      <c r="VDG4" s="59"/>
      <c r="VDH4" s="59"/>
      <c r="VDI4" s="59"/>
      <c r="VDJ4" s="59"/>
      <c r="VDK4" s="59"/>
      <c r="VDL4" s="59"/>
      <c r="VDM4" s="59"/>
      <c r="VDN4" s="59"/>
      <c r="VDO4" s="59"/>
      <c r="VDP4" s="59"/>
      <c r="VDQ4" s="59"/>
      <c r="VDR4" s="59"/>
      <c r="VDS4" s="59"/>
      <c r="VDT4" s="59"/>
      <c r="VDU4" s="59"/>
      <c r="VDV4" s="59"/>
      <c r="VDW4" s="59"/>
      <c r="VDX4" s="59"/>
      <c r="VDY4" s="59"/>
      <c r="VDZ4" s="59"/>
      <c r="VEA4" s="59"/>
      <c r="VEB4" s="59"/>
      <c r="VEC4" s="59"/>
      <c r="VED4" s="59"/>
      <c r="VEE4" s="59"/>
      <c r="VEF4" s="59"/>
      <c r="VEG4" s="59"/>
      <c r="VEH4" s="59"/>
      <c r="VEI4" s="59"/>
      <c r="VEJ4" s="59"/>
      <c r="VEK4" s="59"/>
      <c r="VEL4" s="59"/>
      <c r="VEM4" s="59"/>
      <c r="VEN4" s="59"/>
      <c r="VEO4" s="59"/>
      <c r="VEP4" s="59"/>
      <c r="VEQ4" s="59"/>
      <c r="VER4" s="59"/>
      <c r="VES4" s="59"/>
      <c r="VET4" s="59"/>
      <c r="VEU4" s="59"/>
      <c r="VEV4" s="59"/>
      <c r="VEW4" s="59"/>
      <c r="VEX4" s="59"/>
      <c r="VEY4" s="59"/>
      <c r="VEZ4" s="59"/>
      <c r="VFA4" s="59"/>
      <c r="VFB4" s="59"/>
      <c r="VFC4" s="59"/>
      <c r="VFD4" s="59"/>
      <c r="VFE4" s="59"/>
      <c r="VFF4" s="59"/>
      <c r="VFG4" s="59"/>
      <c r="VFH4" s="59"/>
      <c r="VFI4" s="59"/>
      <c r="VFJ4" s="59"/>
      <c r="VFK4" s="59"/>
      <c r="VFL4" s="59"/>
      <c r="VFM4" s="59"/>
      <c r="VFN4" s="59"/>
      <c r="VFO4" s="59"/>
      <c r="VFP4" s="59"/>
      <c r="VFQ4" s="59"/>
      <c r="VFR4" s="59"/>
      <c r="VFS4" s="59"/>
      <c r="VFT4" s="59"/>
      <c r="VFU4" s="59"/>
      <c r="VFV4" s="59"/>
      <c r="VFW4" s="59"/>
      <c r="VFX4" s="59"/>
      <c r="VFY4" s="59"/>
      <c r="VFZ4" s="59"/>
      <c r="VGA4" s="59"/>
      <c r="VGB4" s="59"/>
      <c r="VGC4" s="59"/>
      <c r="VGD4" s="59"/>
      <c r="VGE4" s="59"/>
      <c r="VGF4" s="59"/>
      <c r="VGG4" s="59"/>
      <c r="VGH4" s="59"/>
      <c r="VGI4" s="59"/>
      <c r="VGJ4" s="59"/>
      <c r="VGK4" s="59"/>
      <c r="VGL4" s="59"/>
      <c r="VGM4" s="59"/>
      <c r="VGN4" s="59"/>
      <c r="VGO4" s="59"/>
      <c r="VGP4" s="59"/>
      <c r="VGQ4" s="59"/>
      <c r="VGR4" s="59"/>
      <c r="VGS4" s="59"/>
      <c r="VGT4" s="59"/>
      <c r="VGU4" s="59"/>
      <c r="VGV4" s="59"/>
      <c r="VGW4" s="59"/>
      <c r="VGX4" s="59"/>
      <c r="VGY4" s="59"/>
      <c r="VGZ4" s="59"/>
      <c r="VHA4" s="59"/>
      <c r="VHB4" s="59"/>
      <c r="VHC4" s="59"/>
      <c r="VHD4" s="59"/>
      <c r="VHE4" s="59"/>
      <c r="VHF4" s="59"/>
      <c r="VHG4" s="59"/>
      <c r="VHH4" s="59"/>
      <c r="VHI4" s="59"/>
      <c r="VHJ4" s="59"/>
      <c r="VHK4" s="59"/>
      <c r="VHL4" s="59"/>
      <c r="VHM4" s="59"/>
      <c r="VHN4" s="59"/>
      <c r="VHO4" s="59"/>
      <c r="VHP4" s="59"/>
      <c r="VHQ4" s="59"/>
      <c r="VHR4" s="59"/>
      <c r="VHS4" s="59"/>
      <c r="VHT4" s="59"/>
      <c r="VHU4" s="59"/>
      <c r="VHV4" s="59"/>
      <c r="VHW4" s="59"/>
      <c r="VHX4" s="59"/>
      <c r="VHY4" s="59"/>
      <c r="VHZ4" s="59"/>
      <c r="VIA4" s="59"/>
      <c r="VIB4" s="59"/>
      <c r="VIC4" s="59"/>
      <c r="VID4" s="59"/>
      <c r="VIE4" s="59"/>
      <c r="VIF4" s="59"/>
      <c r="VIG4" s="59"/>
      <c r="VIH4" s="59"/>
      <c r="VII4" s="59"/>
      <c r="VIJ4" s="59"/>
      <c r="VIK4" s="59"/>
      <c r="VIL4" s="59"/>
      <c r="VIM4" s="59"/>
      <c r="VIN4" s="59"/>
      <c r="VIO4" s="59"/>
      <c r="VIP4" s="59"/>
      <c r="VIQ4" s="59"/>
      <c r="VIR4" s="59"/>
      <c r="VIS4" s="59"/>
      <c r="VIT4" s="59"/>
      <c r="VIU4" s="59"/>
      <c r="VIV4" s="59"/>
      <c r="VIW4" s="59"/>
      <c r="VIX4" s="59"/>
      <c r="VIY4" s="59"/>
      <c r="VIZ4" s="59"/>
      <c r="VJA4" s="59"/>
      <c r="VJB4" s="59"/>
      <c r="VJC4" s="59"/>
      <c r="VJD4" s="59"/>
      <c r="VJE4" s="59"/>
      <c r="VJF4" s="59"/>
      <c r="VJG4" s="59"/>
      <c r="VJH4" s="59"/>
      <c r="VJI4" s="59"/>
      <c r="VJJ4" s="59"/>
      <c r="VJK4" s="59"/>
      <c r="VJL4" s="59"/>
      <c r="VJM4" s="59"/>
      <c r="VJN4" s="59"/>
      <c r="VJO4" s="59"/>
      <c r="VJP4" s="59"/>
      <c r="VJQ4" s="59"/>
      <c r="VJR4" s="59"/>
      <c r="VJS4" s="59"/>
      <c r="VJT4" s="59"/>
      <c r="VJU4" s="59"/>
      <c r="VJV4" s="59"/>
      <c r="VJW4" s="59"/>
      <c r="VJX4" s="59"/>
      <c r="VJY4" s="59"/>
      <c r="VJZ4" s="59"/>
      <c r="VKA4" s="59"/>
      <c r="VKB4" s="59"/>
      <c r="VKC4" s="59"/>
      <c r="VKD4" s="59"/>
      <c r="VKE4" s="59"/>
      <c r="VKF4" s="59"/>
      <c r="VKG4" s="59"/>
      <c r="VKH4" s="59"/>
      <c r="VKI4" s="59"/>
      <c r="VKJ4" s="59"/>
      <c r="VKK4" s="59"/>
      <c r="VKL4" s="59"/>
      <c r="VKM4" s="59"/>
      <c r="VKN4" s="59"/>
      <c r="VKO4" s="59"/>
      <c r="VKP4" s="59"/>
      <c r="VKQ4" s="59"/>
      <c r="VKR4" s="59"/>
      <c r="VKS4" s="59"/>
      <c r="VKT4" s="59"/>
      <c r="VKU4" s="59"/>
      <c r="VKV4" s="59"/>
      <c r="VKW4" s="59"/>
      <c r="VKX4" s="59"/>
      <c r="VKY4" s="59"/>
      <c r="VKZ4" s="59"/>
      <c r="VLA4" s="59"/>
      <c r="VLB4" s="59"/>
      <c r="VLC4" s="59"/>
      <c r="VLD4" s="59"/>
      <c r="VLE4" s="59"/>
      <c r="VLF4" s="59"/>
      <c r="VLG4" s="59"/>
      <c r="VLH4" s="59"/>
      <c r="VLI4" s="59"/>
      <c r="VLJ4" s="59"/>
      <c r="VLK4" s="59"/>
      <c r="VLL4" s="59"/>
      <c r="VLM4" s="59"/>
      <c r="VLN4" s="59"/>
      <c r="VLO4" s="59"/>
      <c r="VLP4" s="59"/>
      <c r="VLQ4" s="59"/>
      <c r="VLR4" s="59"/>
      <c r="VLS4" s="59"/>
      <c r="VLT4" s="59"/>
      <c r="VLU4" s="59"/>
      <c r="VLV4" s="59"/>
      <c r="VLW4" s="59"/>
      <c r="VLX4" s="59"/>
      <c r="VLY4" s="59"/>
      <c r="VLZ4" s="59"/>
      <c r="VMA4" s="59"/>
      <c r="VMB4" s="59"/>
      <c r="VMC4" s="59"/>
      <c r="VMD4" s="59"/>
      <c r="VME4" s="59"/>
      <c r="VMF4" s="59"/>
      <c r="VMG4" s="59"/>
      <c r="VMH4" s="59"/>
      <c r="VMI4" s="59"/>
      <c r="VMJ4" s="59"/>
      <c r="VMK4" s="59"/>
      <c r="VML4" s="59"/>
      <c r="VMM4" s="59"/>
      <c r="VMN4" s="59"/>
      <c r="VMO4" s="59"/>
      <c r="VMP4" s="59"/>
      <c r="VMQ4" s="59"/>
      <c r="VMR4" s="59"/>
      <c r="VMS4" s="59"/>
      <c r="VMT4" s="59"/>
      <c r="VMU4" s="59"/>
      <c r="VMV4" s="59"/>
      <c r="VMW4" s="59"/>
      <c r="VMX4" s="59"/>
      <c r="VMY4" s="59"/>
      <c r="VMZ4" s="59"/>
      <c r="VNA4" s="59"/>
      <c r="VNB4" s="59"/>
      <c r="VNC4" s="59"/>
      <c r="VND4" s="59"/>
      <c r="VNE4" s="59"/>
      <c r="VNF4" s="59"/>
      <c r="VNG4" s="59"/>
      <c r="VNH4" s="59"/>
      <c r="VNI4" s="59"/>
      <c r="VNJ4" s="59"/>
      <c r="VNK4" s="59"/>
      <c r="VNL4" s="59"/>
      <c r="VNM4" s="59"/>
      <c r="VNN4" s="59"/>
      <c r="VNO4" s="59"/>
      <c r="VNP4" s="59"/>
      <c r="VNQ4" s="59"/>
      <c r="VNR4" s="59"/>
      <c r="VNS4" s="59"/>
      <c r="VNT4" s="59"/>
      <c r="VNU4" s="59"/>
      <c r="VNV4" s="59"/>
      <c r="VNW4" s="59"/>
      <c r="VNX4" s="59"/>
      <c r="VNY4" s="59"/>
      <c r="VNZ4" s="59"/>
      <c r="VOA4" s="59"/>
      <c r="VOB4" s="59"/>
      <c r="VOC4" s="59"/>
      <c r="VOD4" s="59"/>
      <c r="VOE4" s="59"/>
      <c r="VOF4" s="59"/>
      <c r="VOG4" s="59"/>
      <c r="VOH4" s="59"/>
      <c r="VOI4" s="59"/>
      <c r="VOJ4" s="59"/>
      <c r="VOK4" s="59"/>
      <c r="VOL4" s="59"/>
      <c r="VOM4" s="59"/>
      <c r="VON4" s="59"/>
      <c r="VOO4" s="59"/>
      <c r="VOP4" s="59"/>
      <c r="VOQ4" s="59"/>
      <c r="VOR4" s="59"/>
      <c r="VOS4" s="59"/>
      <c r="VOT4" s="59"/>
      <c r="VOU4" s="59"/>
      <c r="VOV4" s="59"/>
      <c r="VOW4" s="59"/>
      <c r="VOX4" s="59"/>
      <c r="VOY4" s="59"/>
      <c r="VOZ4" s="59"/>
      <c r="VPA4" s="59"/>
      <c r="VPB4" s="59"/>
      <c r="VPC4" s="59"/>
      <c r="VPD4" s="59"/>
      <c r="VPE4" s="59"/>
      <c r="VPF4" s="59"/>
      <c r="VPG4" s="59"/>
      <c r="VPH4" s="59"/>
      <c r="VPI4" s="59"/>
      <c r="VPJ4" s="59"/>
      <c r="VPK4" s="59"/>
      <c r="VPL4" s="59"/>
      <c r="VPM4" s="59"/>
      <c r="VPN4" s="59"/>
      <c r="VPO4" s="59"/>
      <c r="VPP4" s="59"/>
      <c r="VPQ4" s="59"/>
      <c r="VPR4" s="59"/>
      <c r="VPS4" s="59"/>
      <c r="VPT4" s="59"/>
      <c r="VPU4" s="59"/>
      <c r="VPV4" s="59"/>
      <c r="VPW4" s="59"/>
      <c r="VPX4" s="59"/>
      <c r="VPY4" s="59"/>
      <c r="VPZ4" s="59"/>
      <c r="VQA4" s="59"/>
      <c r="VQB4" s="59"/>
      <c r="VQC4" s="59"/>
      <c r="VQD4" s="59"/>
      <c r="VQE4" s="59"/>
      <c r="VQF4" s="59"/>
      <c r="VQG4" s="59"/>
      <c r="VQH4" s="59"/>
      <c r="VQI4" s="59"/>
      <c r="VQJ4" s="59"/>
      <c r="VQK4" s="59"/>
      <c r="VQL4" s="59"/>
      <c r="VQM4" s="59"/>
      <c r="VQN4" s="59"/>
      <c r="VQO4" s="59"/>
      <c r="VQP4" s="59"/>
      <c r="VQQ4" s="59"/>
      <c r="VQR4" s="59"/>
      <c r="VQS4" s="59"/>
      <c r="VQT4" s="59"/>
      <c r="VQU4" s="59"/>
      <c r="VQV4" s="59"/>
      <c r="VQW4" s="59"/>
      <c r="VQX4" s="59"/>
      <c r="VQY4" s="59"/>
      <c r="VQZ4" s="59"/>
      <c r="VRA4" s="59"/>
      <c r="VRB4" s="59"/>
      <c r="VRC4" s="59"/>
      <c r="VRD4" s="59"/>
      <c r="VRE4" s="59"/>
      <c r="VRF4" s="59"/>
      <c r="VRG4" s="59"/>
      <c r="VRH4" s="59"/>
      <c r="VRI4" s="59"/>
      <c r="VRJ4" s="59"/>
      <c r="VRK4" s="59"/>
      <c r="VRL4" s="59"/>
      <c r="VRM4" s="59"/>
      <c r="VRN4" s="59"/>
      <c r="VRO4" s="59"/>
      <c r="VRP4" s="59"/>
      <c r="VRQ4" s="59"/>
      <c r="VRR4" s="59"/>
      <c r="VRS4" s="59"/>
      <c r="VRT4" s="59"/>
      <c r="VRU4" s="59"/>
      <c r="VRV4" s="59"/>
      <c r="VRW4" s="59"/>
      <c r="VRX4" s="59"/>
      <c r="VRY4" s="59"/>
      <c r="VRZ4" s="59"/>
      <c r="VSA4" s="59"/>
      <c r="VSB4" s="59"/>
      <c r="VSC4" s="59"/>
      <c r="VSD4" s="59"/>
      <c r="VSE4" s="59"/>
      <c r="VSF4" s="59"/>
      <c r="VSG4" s="59"/>
      <c r="VSH4" s="59"/>
      <c r="VSI4" s="59"/>
      <c r="VSJ4" s="59"/>
      <c r="VSK4" s="59"/>
      <c r="VSL4" s="59"/>
      <c r="VSM4" s="59"/>
      <c r="VSN4" s="59"/>
      <c r="VSO4" s="59"/>
      <c r="VSP4" s="59"/>
      <c r="VSQ4" s="59"/>
      <c r="VSR4" s="59"/>
      <c r="VSS4" s="59"/>
      <c r="VST4" s="59"/>
      <c r="VSU4" s="59"/>
      <c r="VSV4" s="59"/>
      <c r="VSW4" s="59"/>
      <c r="VSX4" s="59"/>
      <c r="VSY4" s="59"/>
      <c r="VSZ4" s="59"/>
      <c r="VTA4" s="59"/>
      <c r="VTB4" s="59"/>
      <c r="VTC4" s="59"/>
      <c r="VTD4" s="59"/>
      <c r="VTE4" s="59"/>
      <c r="VTF4" s="59"/>
      <c r="VTG4" s="59"/>
      <c r="VTH4" s="59"/>
      <c r="VTI4" s="59"/>
      <c r="VTJ4" s="59"/>
      <c r="VTK4" s="59"/>
      <c r="VTL4" s="59"/>
      <c r="VTM4" s="59"/>
      <c r="VTN4" s="59"/>
      <c r="VTO4" s="59"/>
      <c r="VTP4" s="59"/>
      <c r="VTQ4" s="59"/>
      <c r="VTR4" s="59"/>
      <c r="VTS4" s="59"/>
      <c r="VTT4" s="59"/>
      <c r="VTU4" s="59"/>
      <c r="VTV4" s="59"/>
      <c r="VTW4" s="59"/>
      <c r="VTX4" s="59"/>
      <c r="VTY4" s="59"/>
      <c r="VTZ4" s="59"/>
      <c r="VUA4" s="59"/>
      <c r="VUB4" s="59"/>
      <c r="VUC4" s="59"/>
      <c r="VUD4" s="59"/>
      <c r="VUE4" s="59"/>
      <c r="VUF4" s="59"/>
      <c r="VUG4" s="59"/>
      <c r="VUH4" s="59"/>
      <c r="VUI4" s="59"/>
      <c r="VUJ4" s="59"/>
      <c r="VUK4" s="59"/>
      <c r="VUL4" s="59"/>
      <c r="VUM4" s="59"/>
      <c r="VUN4" s="59"/>
      <c r="VUO4" s="59"/>
      <c r="VUP4" s="59"/>
      <c r="VUQ4" s="59"/>
      <c r="VUR4" s="59"/>
      <c r="VUS4" s="59"/>
      <c r="VUT4" s="59"/>
      <c r="VUU4" s="59"/>
      <c r="VUV4" s="59"/>
      <c r="VUW4" s="59"/>
      <c r="VUX4" s="59"/>
      <c r="VUY4" s="59"/>
      <c r="VUZ4" s="59"/>
      <c r="VVA4" s="59"/>
      <c r="VVB4" s="59"/>
      <c r="VVC4" s="59"/>
      <c r="VVD4" s="59"/>
      <c r="VVE4" s="59"/>
      <c r="VVF4" s="59"/>
      <c r="VVG4" s="59"/>
      <c r="VVH4" s="59"/>
      <c r="VVI4" s="59"/>
      <c r="VVJ4" s="59"/>
      <c r="VVK4" s="59"/>
      <c r="VVL4" s="59"/>
      <c r="VVM4" s="59"/>
      <c r="VVN4" s="59"/>
      <c r="VVO4" s="59"/>
      <c r="VVP4" s="59"/>
      <c r="VVQ4" s="59"/>
      <c r="VVR4" s="59"/>
      <c r="VVS4" s="59"/>
      <c r="VVT4" s="59"/>
      <c r="VVU4" s="59"/>
      <c r="VVV4" s="59"/>
      <c r="VVW4" s="59"/>
      <c r="VVX4" s="59"/>
      <c r="VVY4" s="59"/>
      <c r="VVZ4" s="59"/>
      <c r="VWA4" s="59"/>
      <c r="VWB4" s="59"/>
      <c r="VWC4" s="59"/>
      <c r="VWD4" s="59"/>
      <c r="VWE4" s="59"/>
      <c r="VWF4" s="59"/>
      <c r="VWG4" s="59"/>
      <c r="VWH4" s="59"/>
      <c r="VWI4" s="59"/>
      <c r="VWJ4" s="59"/>
      <c r="VWK4" s="59"/>
      <c r="VWL4" s="59"/>
      <c r="VWM4" s="59"/>
      <c r="VWN4" s="59"/>
      <c r="VWO4" s="59"/>
      <c r="VWP4" s="59"/>
      <c r="VWQ4" s="59"/>
      <c r="VWR4" s="59"/>
      <c r="VWS4" s="59"/>
      <c r="VWT4" s="59"/>
      <c r="VWU4" s="59"/>
      <c r="VWV4" s="59"/>
      <c r="VWW4" s="59"/>
      <c r="VWX4" s="59"/>
      <c r="VWY4" s="59"/>
      <c r="VWZ4" s="59"/>
      <c r="VXA4" s="59"/>
      <c r="VXB4" s="59"/>
      <c r="VXC4" s="59"/>
      <c r="VXD4" s="59"/>
      <c r="VXE4" s="59"/>
      <c r="VXF4" s="59"/>
      <c r="VXG4" s="59"/>
      <c r="VXH4" s="59"/>
      <c r="VXI4" s="59"/>
      <c r="VXJ4" s="59"/>
      <c r="VXK4" s="59"/>
      <c r="VXL4" s="59"/>
      <c r="VXM4" s="59"/>
      <c r="VXN4" s="59"/>
      <c r="VXO4" s="59"/>
      <c r="VXP4" s="59"/>
      <c r="VXQ4" s="59"/>
      <c r="VXR4" s="59"/>
      <c r="VXS4" s="59"/>
      <c r="VXT4" s="59"/>
      <c r="VXU4" s="59"/>
      <c r="VXV4" s="59"/>
      <c r="VXW4" s="59"/>
      <c r="VXX4" s="59"/>
      <c r="VXY4" s="59"/>
      <c r="VXZ4" s="59"/>
      <c r="VYA4" s="59"/>
      <c r="VYB4" s="59"/>
      <c r="VYC4" s="59"/>
      <c r="VYD4" s="59"/>
      <c r="VYE4" s="59"/>
      <c r="VYF4" s="59"/>
      <c r="VYG4" s="59"/>
      <c r="VYH4" s="59"/>
      <c r="VYI4" s="59"/>
      <c r="VYJ4" s="59"/>
      <c r="VYK4" s="59"/>
      <c r="VYL4" s="59"/>
      <c r="VYM4" s="59"/>
      <c r="VYN4" s="59"/>
      <c r="VYO4" s="59"/>
      <c r="VYP4" s="59"/>
      <c r="VYQ4" s="59"/>
      <c r="VYR4" s="59"/>
      <c r="VYS4" s="59"/>
      <c r="VYT4" s="59"/>
      <c r="VYU4" s="59"/>
      <c r="VYV4" s="59"/>
      <c r="VYW4" s="59"/>
      <c r="VYX4" s="59"/>
      <c r="VYY4" s="59"/>
      <c r="VYZ4" s="59"/>
      <c r="VZA4" s="59"/>
      <c r="VZB4" s="59"/>
      <c r="VZC4" s="59"/>
      <c r="VZD4" s="59"/>
      <c r="VZE4" s="59"/>
      <c r="VZF4" s="59"/>
      <c r="VZG4" s="59"/>
      <c r="VZH4" s="59"/>
      <c r="VZI4" s="59"/>
      <c r="VZJ4" s="59"/>
      <c r="VZK4" s="59"/>
      <c r="VZL4" s="59"/>
      <c r="VZM4" s="59"/>
      <c r="VZN4" s="59"/>
      <c r="VZO4" s="59"/>
      <c r="VZP4" s="59"/>
      <c r="VZQ4" s="59"/>
      <c r="VZR4" s="59"/>
      <c r="VZS4" s="59"/>
      <c r="VZT4" s="59"/>
      <c r="VZU4" s="59"/>
      <c r="VZV4" s="59"/>
      <c r="VZW4" s="59"/>
      <c r="VZX4" s="59"/>
      <c r="VZY4" s="59"/>
      <c r="VZZ4" s="59"/>
      <c r="WAA4" s="59"/>
      <c r="WAB4" s="59"/>
      <c r="WAC4" s="59"/>
      <c r="WAD4" s="59"/>
      <c r="WAE4" s="59"/>
      <c r="WAF4" s="59"/>
      <c r="WAG4" s="59"/>
      <c r="WAH4" s="59"/>
      <c r="WAI4" s="59"/>
      <c r="WAJ4" s="59"/>
      <c r="WAK4" s="59"/>
      <c r="WAL4" s="59"/>
      <c r="WAM4" s="59"/>
      <c r="WAN4" s="59"/>
      <c r="WAO4" s="59"/>
      <c r="WAP4" s="59"/>
      <c r="WAQ4" s="59"/>
      <c r="WAR4" s="59"/>
      <c r="WAS4" s="59"/>
      <c r="WAT4" s="59"/>
      <c r="WAU4" s="59"/>
      <c r="WAV4" s="59"/>
      <c r="WAW4" s="59"/>
      <c r="WAX4" s="59"/>
      <c r="WAY4" s="59"/>
      <c r="WAZ4" s="59"/>
      <c r="WBA4" s="59"/>
      <c r="WBB4" s="59"/>
      <c r="WBC4" s="59"/>
      <c r="WBD4" s="59"/>
      <c r="WBE4" s="59"/>
      <c r="WBF4" s="59"/>
      <c r="WBG4" s="59"/>
      <c r="WBH4" s="59"/>
      <c r="WBI4" s="59"/>
      <c r="WBJ4" s="59"/>
      <c r="WBK4" s="59"/>
      <c r="WBL4" s="59"/>
      <c r="WBM4" s="59"/>
      <c r="WBN4" s="59"/>
      <c r="WBO4" s="59"/>
      <c r="WBP4" s="59"/>
      <c r="WBQ4" s="59"/>
      <c r="WBR4" s="59"/>
      <c r="WBS4" s="59"/>
      <c r="WBT4" s="59"/>
      <c r="WBU4" s="59"/>
      <c r="WBV4" s="59"/>
      <c r="WBW4" s="59"/>
      <c r="WBX4" s="59"/>
      <c r="WBY4" s="59"/>
      <c r="WBZ4" s="59"/>
      <c r="WCA4" s="59"/>
      <c r="WCB4" s="59"/>
      <c r="WCC4" s="59"/>
      <c r="WCD4" s="59"/>
      <c r="WCE4" s="59"/>
      <c r="WCF4" s="59"/>
      <c r="WCG4" s="59"/>
      <c r="WCH4" s="59"/>
      <c r="WCI4" s="59"/>
      <c r="WCJ4" s="59"/>
      <c r="WCK4" s="59"/>
      <c r="WCL4" s="59"/>
      <c r="WCM4" s="59"/>
      <c r="WCN4" s="59"/>
      <c r="WCO4" s="59"/>
      <c r="WCP4" s="59"/>
      <c r="WCQ4" s="59"/>
      <c r="WCR4" s="59"/>
      <c r="WCS4" s="59"/>
      <c r="WCT4" s="59"/>
      <c r="WCU4" s="59"/>
      <c r="WCV4" s="59"/>
      <c r="WCW4" s="59"/>
      <c r="WCX4" s="59"/>
      <c r="WCY4" s="59"/>
      <c r="WCZ4" s="59"/>
      <c r="WDA4" s="59"/>
      <c r="WDB4" s="59"/>
      <c r="WDC4" s="59"/>
      <c r="WDD4" s="59"/>
      <c r="WDE4" s="59"/>
      <c r="WDF4" s="59"/>
      <c r="WDG4" s="59"/>
      <c r="WDH4" s="59"/>
      <c r="WDI4" s="59"/>
      <c r="WDJ4" s="59"/>
      <c r="WDK4" s="59"/>
      <c r="WDL4" s="59"/>
      <c r="WDM4" s="59"/>
      <c r="WDN4" s="59"/>
      <c r="WDO4" s="59"/>
      <c r="WDP4" s="59"/>
      <c r="WDQ4" s="59"/>
      <c r="WDR4" s="59"/>
      <c r="WDS4" s="59"/>
      <c r="WDT4" s="59"/>
      <c r="WDU4" s="59"/>
      <c r="WDV4" s="59"/>
      <c r="WDW4" s="59"/>
      <c r="WDX4" s="59"/>
      <c r="WDY4" s="59"/>
      <c r="WDZ4" s="59"/>
      <c r="WEA4" s="59"/>
      <c r="WEB4" s="59"/>
      <c r="WEC4" s="59"/>
      <c r="WED4" s="59"/>
      <c r="WEE4" s="59"/>
      <c r="WEF4" s="59"/>
      <c r="WEG4" s="59"/>
      <c r="WEH4" s="59"/>
      <c r="WEI4" s="59"/>
      <c r="WEJ4" s="59"/>
      <c r="WEK4" s="59"/>
      <c r="WEL4" s="59"/>
      <c r="WEM4" s="59"/>
      <c r="WEN4" s="59"/>
      <c r="WEO4" s="59"/>
      <c r="WEP4" s="59"/>
      <c r="WEQ4" s="59"/>
      <c r="WER4" s="59"/>
      <c r="WES4" s="59"/>
      <c r="WET4" s="59"/>
      <c r="WEU4" s="59"/>
      <c r="WEV4" s="59"/>
      <c r="WEW4" s="59"/>
      <c r="WEX4" s="59"/>
      <c r="WEY4" s="59"/>
      <c r="WEZ4" s="59"/>
      <c r="WFA4" s="59"/>
      <c r="WFB4" s="59"/>
      <c r="WFC4" s="59"/>
      <c r="WFD4" s="59"/>
      <c r="WFE4" s="59"/>
      <c r="WFF4" s="59"/>
      <c r="WFG4" s="59"/>
      <c r="WFH4" s="59"/>
      <c r="WFI4" s="59"/>
      <c r="WFJ4" s="59"/>
      <c r="WFK4" s="59"/>
      <c r="WFL4" s="59"/>
      <c r="WFM4" s="59"/>
      <c r="WFN4" s="59"/>
      <c r="WFO4" s="59"/>
      <c r="WFP4" s="59"/>
      <c r="WFQ4" s="59"/>
      <c r="WFR4" s="59"/>
      <c r="WFS4" s="59"/>
      <c r="WFT4" s="59"/>
      <c r="WFU4" s="59"/>
      <c r="WFV4" s="59"/>
      <c r="WFW4" s="59"/>
      <c r="WFX4" s="59"/>
      <c r="WFY4" s="59"/>
      <c r="WFZ4" s="59"/>
      <c r="WGA4" s="59"/>
      <c r="WGB4" s="59"/>
      <c r="WGC4" s="59"/>
      <c r="WGD4" s="59"/>
      <c r="WGE4" s="59"/>
      <c r="WGF4" s="59"/>
      <c r="WGG4" s="59"/>
      <c r="WGH4" s="59"/>
      <c r="WGI4" s="59"/>
      <c r="WGJ4" s="59"/>
      <c r="WGK4" s="59"/>
      <c r="WGL4" s="59"/>
      <c r="WGM4" s="59"/>
      <c r="WGN4" s="59"/>
      <c r="WGO4" s="59"/>
      <c r="WGP4" s="59"/>
      <c r="WGQ4" s="59"/>
      <c r="WGR4" s="59"/>
      <c r="WGS4" s="59"/>
      <c r="WGT4" s="59"/>
      <c r="WGU4" s="59"/>
      <c r="WGV4" s="59"/>
      <c r="WGW4" s="59"/>
      <c r="WGX4" s="59"/>
      <c r="WGY4" s="59"/>
      <c r="WGZ4" s="59"/>
      <c r="WHA4" s="59"/>
      <c r="WHB4" s="59"/>
      <c r="WHC4" s="59"/>
      <c r="WHD4" s="59"/>
      <c r="WHE4" s="59"/>
      <c r="WHF4" s="59"/>
      <c r="WHG4" s="59"/>
      <c r="WHH4" s="59"/>
      <c r="WHI4" s="59"/>
      <c r="WHJ4" s="59"/>
      <c r="WHK4" s="59"/>
      <c r="WHL4" s="59"/>
      <c r="WHM4" s="59"/>
      <c r="WHN4" s="59"/>
      <c r="WHO4" s="59"/>
      <c r="WHP4" s="59"/>
      <c r="WHQ4" s="59"/>
      <c r="WHR4" s="59"/>
      <c r="WHS4" s="59"/>
      <c r="WHT4" s="59"/>
      <c r="WHU4" s="59"/>
      <c r="WHV4" s="59"/>
      <c r="WHW4" s="59"/>
      <c r="WHX4" s="59"/>
      <c r="WHY4" s="59"/>
      <c r="WHZ4" s="59"/>
      <c r="WIA4" s="59"/>
      <c r="WIB4" s="59"/>
      <c r="WIC4" s="59"/>
      <c r="WID4" s="59"/>
      <c r="WIE4" s="59"/>
      <c r="WIF4" s="59"/>
      <c r="WIG4" s="59"/>
      <c r="WIH4" s="59"/>
      <c r="WII4" s="59"/>
      <c r="WIJ4" s="59"/>
      <c r="WIK4" s="59"/>
      <c r="WIL4" s="59"/>
      <c r="WIM4" s="59"/>
      <c r="WIN4" s="59"/>
      <c r="WIO4" s="59"/>
      <c r="WIP4" s="59"/>
      <c r="WIQ4" s="59"/>
      <c r="WIR4" s="59"/>
      <c r="WIS4" s="59"/>
      <c r="WIT4" s="59"/>
      <c r="WIU4" s="59"/>
      <c r="WIV4" s="59"/>
      <c r="WIW4" s="59"/>
      <c r="WIX4" s="59"/>
      <c r="WIY4" s="59"/>
      <c r="WIZ4" s="59"/>
      <c r="WJA4" s="59"/>
      <c r="WJB4" s="59"/>
      <c r="WJC4" s="59"/>
      <c r="WJD4" s="59"/>
      <c r="WJE4" s="59"/>
      <c r="WJF4" s="59"/>
      <c r="WJG4" s="59"/>
      <c r="WJH4" s="59"/>
      <c r="WJI4" s="59"/>
      <c r="WJJ4" s="59"/>
      <c r="WJK4" s="59"/>
      <c r="WJL4" s="59"/>
      <c r="WJM4" s="59"/>
      <c r="WJN4" s="59"/>
      <c r="WJO4" s="59"/>
      <c r="WJP4" s="59"/>
      <c r="WJQ4" s="59"/>
      <c r="WJR4" s="59"/>
      <c r="WJS4" s="59"/>
      <c r="WJT4" s="59"/>
      <c r="WJU4" s="59"/>
      <c r="WJV4" s="59"/>
      <c r="WJW4" s="59"/>
      <c r="WJX4" s="59"/>
      <c r="WJY4" s="59"/>
      <c r="WJZ4" s="59"/>
      <c r="WKA4" s="59"/>
      <c r="WKB4" s="59"/>
      <c r="WKC4" s="59"/>
      <c r="WKD4" s="59"/>
      <c r="WKE4" s="59"/>
      <c r="WKF4" s="59"/>
      <c r="WKG4" s="59"/>
      <c r="WKH4" s="59"/>
      <c r="WKI4" s="59"/>
      <c r="WKJ4" s="59"/>
      <c r="WKK4" s="59"/>
      <c r="WKL4" s="59"/>
      <c r="WKM4" s="59"/>
      <c r="WKN4" s="59"/>
      <c r="WKO4" s="59"/>
      <c r="WKP4" s="59"/>
      <c r="WKQ4" s="59"/>
      <c r="WKR4" s="59"/>
      <c r="WKS4" s="59"/>
      <c r="WKT4" s="59"/>
      <c r="WKU4" s="59"/>
      <c r="WKV4" s="59"/>
      <c r="WKW4" s="59"/>
      <c r="WKX4" s="59"/>
      <c r="WKY4" s="59"/>
      <c r="WKZ4" s="59"/>
      <c r="WLA4" s="59"/>
      <c r="WLB4" s="59"/>
      <c r="WLC4" s="59"/>
      <c r="WLD4" s="59"/>
      <c r="WLE4" s="59"/>
      <c r="WLF4" s="59"/>
      <c r="WLG4" s="59"/>
      <c r="WLH4" s="59"/>
      <c r="WLI4" s="59"/>
      <c r="WLJ4" s="59"/>
      <c r="WLK4" s="59"/>
      <c r="WLL4" s="59"/>
      <c r="WLM4" s="59"/>
      <c r="WLN4" s="59"/>
      <c r="WLO4" s="59"/>
      <c r="WLP4" s="59"/>
      <c r="WLQ4" s="59"/>
      <c r="WLR4" s="59"/>
      <c r="WLS4" s="59"/>
      <c r="WLT4" s="59"/>
      <c r="WLU4" s="59"/>
      <c r="WLV4" s="59"/>
      <c r="WLW4" s="59"/>
      <c r="WLX4" s="59"/>
      <c r="WLY4" s="59"/>
      <c r="WLZ4" s="59"/>
      <c r="WMA4" s="59"/>
      <c r="WMB4" s="59"/>
      <c r="WMC4" s="59"/>
      <c r="WMD4" s="59"/>
      <c r="WME4" s="59"/>
      <c r="WMF4" s="59"/>
      <c r="WMG4" s="59"/>
      <c r="WMH4" s="59"/>
      <c r="WMI4" s="59"/>
      <c r="WMJ4" s="59"/>
      <c r="WMK4" s="59"/>
      <c r="WML4" s="59"/>
      <c r="WMM4" s="59"/>
      <c r="WMN4" s="59"/>
      <c r="WMO4" s="59"/>
      <c r="WMP4" s="59"/>
      <c r="WMQ4" s="59"/>
      <c r="WMR4" s="59"/>
      <c r="WMS4" s="59"/>
      <c r="WMT4" s="59"/>
      <c r="WMU4" s="59"/>
      <c r="WMV4" s="59"/>
      <c r="WMW4" s="59"/>
      <c r="WMX4" s="59"/>
      <c r="WMY4" s="59"/>
      <c r="WMZ4" s="59"/>
      <c r="WNA4" s="59"/>
      <c r="WNB4" s="59"/>
      <c r="WNC4" s="59"/>
      <c r="WND4" s="59"/>
      <c r="WNE4" s="59"/>
      <c r="WNF4" s="59"/>
      <c r="WNG4" s="59"/>
      <c r="WNH4" s="59"/>
      <c r="WNI4" s="59"/>
      <c r="WNJ4" s="59"/>
      <c r="WNK4" s="59"/>
      <c r="WNL4" s="59"/>
      <c r="WNM4" s="59"/>
      <c r="WNN4" s="59"/>
      <c r="WNO4" s="59"/>
      <c r="WNP4" s="59"/>
      <c r="WNQ4" s="59"/>
      <c r="WNR4" s="59"/>
      <c r="WNS4" s="59"/>
      <c r="WNT4" s="59"/>
      <c r="WNU4" s="59"/>
      <c r="WNV4" s="59"/>
      <c r="WNW4" s="59"/>
      <c r="WNX4" s="59"/>
      <c r="WNY4" s="59"/>
      <c r="WNZ4" s="59"/>
      <c r="WOA4" s="59"/>
      <c r="WOB4" s="59"/>
      <c r="WOC4" s="59"/>
      <c r="WOD4" s="59"/>
      <c r="WOE4" s="59"/>
      <c r="WOF4" s="59"/>
      <c r="WOG4" s="59"/>
      <c r="WOH4" s="59"/>
      <c r="WOI4" s="59"/>
      <c r="WOJ4" s="59"/>
      <c r="WOK4" s="59"/>
      <c r="WOL4" s="59"/>
      <c r="WOM4" s="59"/>
      <c r="WON4" s="59"/>
      <c r="WOO4" s="59"/>
      <c r="WOP4" s="59"/>
      <c r="WOQ4" s="59"/>
      <c r="WOR4" s="59"/>
      <c r="WOS4" s="59"/>
      <c r="WOT4" s="59"/>
      <c r="WOU4" s="59"/>
      <c r="WOV4" s="59"/>
      <c r="WOW4" s="59"/>
      <c r="WOX4" s="59"/>
      <c r="WOY4" s="59"/>
      <c r="WOZ4" s="59"/>
      <c r="WPA4" s="59"/>
      <c r="WPB4" s="59"/>
      <c r="WPC4" s="59"/>
      <c r="WPD4" s="59"/>
      <c r="WPE4" s="59"/>
      <c r="WPF4" s="59"/>
      <c r="WPG4" s="59"/>
      <c r="WPH4" s="59"/>
      <c r="WPI4" s="59"/>
      <c r="WPJ4" s="59"/>
      <c r="WPK4" s="59"/>
      <c r="WPL4" s="59"/>
      <c r="WPM4" s="59"/>
      <c r="WPN4" s="59"/>
      <c r="WPO4" s="59"/>
      <c r="WPP4" s="59"/>
      <c r="WPQ4" s="59"/>
      <c r="WPR4" s="59"/>
      <c r="WPS4" s="59"/>
      <c r="WPT4" s="59"/>
      <c r="WPU4" s="59"/>
      <c r="WPV4" s="59"/>
      <c r="WPW4" s="59"/>
      <c r="WPX4" s="59"/>
      <c r="WPY4" s="59"/>
      <c r="WPZ4" s="59"/>
      <c r="WQA4" s="59"/>
      <c r="WQB4" s="59"/>
      <c r="WQC4" s="59"/>
      <c r="WQD4" s="59"/>
      <c r="WQE4" s="59"/>
      <c r="WQF4" s="59"/>
      <c r="WQG4" s="59"/>
      <c r="WQH4" s="59"/>
      <c r="WQI4" s="59"/>
      <c r="WQJ4" s="59"/>
      <c r="WQK4" s="59"/>
      <c r="WQL4" s="59"/>
      <c r="WQM4" s="59"/>
      <c r="WQN4" s="59"/>
      <c r="WQO4" s="59"/>
      <c r="WQP4" s="59"/>
      <c r="WQQ4" s="59"/>
      <c r="WQR4" s="59"/>
      <c r="WQS4" s="59"/>
      <c r="WQT4" s="59"/>
      <c r="WQU4" s="59"/>
      <c r="WQV4" s="59"/>
      <c r="WQW4" s="59"/>
      <c r="WQX4" s="59"/>
      <c r="WQY4" s="59"/>
      <c r="WQZ4" s="59"/>
      <c r="WRA4" s="59"/>
      <c r="WRB4" s="59"/>
      <c r="WRC4" s="59"/>
      <c r="WRD4" s="59"/>
      <c r="WRE4" s="59"/>
      <c r="WRF4" s="59"/>
      <c r="WRG4" s="59"/>
      <c r="WRH4" s="59"/>
      <c r="WRI4" s="59"/>
      <c r="WRJ4" s="59"/>
      <c r="WRK4" s="59"/>
      <c r="WRL4" s="59"/>
      <c r="WRM4" s="59"/>
      <c r="WRN4" s="59"/>
      <c r="WRO4" s="59"/>
      <c r="WRP4" s="59"/>
      <c r="WRQ4" s="59"/>
      <c r="WRR4" s="59"/>
      <c r="WRS4" s="59"/>
      <c r="WRT4" s="59"/>
      <c r="WRU4" s="59"/>
      <c r="WRV4" s="59"/>
      <c r="WRW4" s="59"/>
      <c r="WRX4" s="59"/>
      <c r="WRY4" s="59"/>
      <c r="WRZ4" s="59"/>
      <c r="WSA4" s="59"/>
      <c r="WSB4" s="59"/>
      <c r="WSC4" s="59"/>
      <c r="WSD4" s="59"/>
      <c r="WSE4" s="59"/>
      <c r="WSF4" s="59"/>
      <c r="WSG4" s="59"/>
      <c r="WSH4" s="59"/>
      <c r="WSI4" s="59"/>
      <c r="WSJ4" s="59"/>
      <c r="WSK4" s="59"/>
      <c r="WSL4" s="59"/>
      <c r="WSM4" s="59"/>
      <c r="WSN4" s="59"/>
      <c r="WSO4" s="59"/>
      <c r="WSP4" s="59"/>
      <c r="WSQ4" s="59"/>
      <c r="WSR4" s="59"/>
      <c r="WSS4" s="59"/>
      <c r="WST4" s="59"/>
      <c r="WSU4" s="59"/>
      <c r="WSV4" s="59"/>
      <c r="WSW4" s="59"/>
      <c r="WSX4" s="59"/>
      <c r="WSY4" s="59"/>
      <c r="WSZ4" s="59"/>
      <c r="WTA4" s="59"/>
      <c r="WTB4" s="59"/>
      <c r="WTC4" s="59"/>
      <c r="WTD4" s="59"/>
      <c r="WTE4" s="59"/>
      <c r="WTF4" s="59"/>
      <c r="WTG4" s="59"/>
      <c r="WTH4" s="59"/>
      <c r="WTI4" s="59"/>
      <c r="WTJ4" s="59"/>
      <c r="WTK4" s="59"/>
      <c r="WTL4" s="59"/>
      <c r="WTM4" s="59"/>
      <c r="WTN4" s="59"/>
      <c r="WTO4" s="59"/>
      <c r="WTP4" s="59"/>
      <c r="WTQ4" s="59"/>
      <c r="WTR4" s="59"/>
      <c r="WTS4" s="59"/>
      <c r="WTT4" s="59"/>
      <c r="WTU4" s="59"/>
      <c r="WTV4" s="59"/>
      <c r="WTW4" s="59"/>
      <c r="WTX4" s="59"/>
      <c r="WTY4" s="59"/>
      <c r="WTZ4" s="59"/>
      <c r="WUA4" s="59"/>
      <c r="WUB4" s="59"/>
      <c r="WUC4" s="59"/>
      <c r="WUD4" s="59"/>
      <c r="WUE4" s="59"/>
      <c r="WUF4" s="59"/>
      <c r="WUG4" s="59"/>
      <c r="WUH4" s="59"/>
      <c r="WUI4" s="59"/>
      <c r="WUJ4" s="59"/>
      <c r="WUK4" s="59"/>
      <c r="WUL4" s="59"/>
      <c r="WUM4" s="59"/>
      <c r="WUN4" s="59"/>
      <c r="WUO4" s="59"/>
      <c r="WUP4" s="59"/>
      <c r="WUQ4" s="59"/>
      <c r="WUR4" s="59"/>
      <c r="WUS4" s="59"/>
      <c r="WUT4" s="59"/>
      <c r="WUU4" s="59"/>
      <c r="WUV4" s="59"/>
      <c r="WUW4" s="59"/>
      <c r="WUX4" s="59"/>
      <c r="WUY4" s="59"/>
      <c r="WUZ4" s="59"/>
      <c r="WVA4" s="59"/>
      <c r="WVB4" s="59"/>
      <c r="WVC4" s="59"/>
      <c r="WVD4" s="59"/>
      <c r="WVE4" s="59"/>
      <c r="WVF4" s="59"/>
      <c r="WVG4" s="59"/>
      <c r="WVH4" s="59"/>
      <c r="WVI4" s="59"/>
      <c r="WVJ4" s="59"/>
      <c r="WVK4" s="59"/>
      <c r="WVL4" s="59"/>
      <c r="WVM4" s="59"/>
      <c r="WVN4" s="59"/>
      <c r="WVO4" s="59"/>
      <c r="WVP4" s="59"/>
      <c r="WVQ4" s="59"/>
      <c r="WVR4" s="59"/>
      <c r="WVS4" s="59"/>
      <c r="WVT4" s="59"/>
      <c r="WVU4" s="59"/>
      <c r="WVV4" s="59"/>
      <c r="WVW4" s="59"/>
      <c r="WVX4" s="59"/>
      <c r="WVY4" s="59"/>
      <c r="WVZ4" s="59"/>
      <c r="WWA4" s="59"/>
      <c r="WWB4" s="59"/>
      <c r="WWC4" s="59"/>
      <c r="WWD4" s="59"/>
      <c r="WWE4" s="59"/>
      <c r="WWF4" s="59"/>
      <c r="WWG4" s="59"/>
      <c r="WWH4" s="59"/>
      <c r="WWI4" s="59"/>
      <c r="WWJ4" s="59"/>
      <c r="WWK4" s="59"/>
      <c r="WWL4" s="59"/>
      <c r="WWM4" s="59"/>
      <c r="WWN4" s="59"/>
      <c r="WWO4" s="59"/>
      <c r="WWP4" s="59"/>
      <c r="WWQ4" s="59"/>
      <c r="WWR4" s="59"/>
      <c r="WWS4" s="59"/>
      <c r="WWT4" s="59"/>
      <c r="WWU4" s="59"/>
      <c r="WWV4" s="59"/>
      <c r="WWW4" s="59"/>
      <c r="WWX4" s="59"/>
      <c r="WWY4" s="59"/>
      <c r="WWZ4" s="59"/>
      <c r="WXA4" s="59"/>
      <c r="WXB4" s="59"/>
      <c r="WXC4" s="59"/>
      <c r="WXD4" s="59"/>
      <c r="WXE4" s="59"/>
      <c r="WXF4" s="59"/>
      <c r="WXG4" s="59"/>
      <c r="WXH4" s="59"/>
      <c r="WXI4" s="59"/>
      <c r="WXJ4" s="59"/>
      <c r="WXK4" s="59"/>
      <c r="WXL4" s="59"/>
      <c r="WXM4" s="59"/>
      <c r="WXN4" s="59"/>
      <c r="WXO4" s="59"/>
      <c r="WXP4" s="59"/>
      <c r="WXQ4" s="59"/>
      <c r="WXR4" s="59"/>
      <c r="WXS4" s="59"/>
      <c r="WXT4" s="59"/>
      <c r="WXU4" s="59"/>
      <c r="WXV4" s="59"/>
      <c r="WXW4" s="59"/>
      <c r="WXX4" s="59"/>
      <c r="WXY4" s="59"/>
      <c r="WXZ4" s="59"/>
      <c r="WYA4" s="59"/>
      <c r="WYB4" s="59"/>
      <c r="WYC4" s="59"/>
      <c r="WYD4" s="59"/>
      <c r="WYE4" s="59"/>
      <c r="WYF4" s="59"/>
      <c r="WYG4" s="59"/>
      <c r="WYH4" s="59"/>
      <c r="WYI4" s="59"/>
      <c r="WYJ4" s="59"/>
      <c r="WYK4" s="59"/>
      <c r="WYL4" s="59"/>
      <c r="WYM4" s="59"/>
      <c r="WYN4" s="59"/>
      <c r="WYO4" s="59"/>
      <c r="WYP4" s="59"/>
      <c r="WYQ4" s="59"/>
      <c r="WYR4" s="59"/>
      <c r="WYS4" s="59"/>
      <c r="WYT4" s="59"/>
      <c r="WYU4" s="59"/>
      <c r="WYV4" s="59"/>
      <c r="WYW4" s="59"/>
      <c r="WYX4" s="59"/>
      <c r="WYY4" s="59"/>
      <c r="WYZ4" s="59"/>
      <c r="WZA4" s="59"/>
      <c r="WZB4" s="59"/>
      <c r="WZC4" s="59"/>
      <c r="WZD4" s="59"/>
      <c r="WZE4" s="59"/>
      <c r="WZF4" s="59"/>
      <c r="WZG4" s="59"/>
      <c r="WZH4" s="59"/>
      <c r="WZI4" s="59"/>
      <c r="WZJ4" s="59"/>
      <c r="WZK4" s="59"/>
      <c r="WZL4" s="59"/>
      <c r="WZM4" s="59"/>
      <c r="WZN4" s="59"/>
      <c r="WZO4" s="59"/>
      <c r="WZP4" s="59"/>
      <c r="WZQ4" s="59"/>
      <c r="WZR4" s="59"/>
      <c r="WZS4" s="59"/>
      <c r="WZT4" s="59"/>
      <c r="WZU4" s="59"/>
      <c r="WZV4" s="59"/>
      <c r="WZW4" s="59"/>
      <c r="WZX4" s="59"/>
      <c r="WZY4" s="59"/>
      <c r="WZZ4" s="59"/>
      <c r="XAA4" s="59"/>
      <c r="XAB4" s="59"/>
      <c r="XAC4" s="59"/>
      <c r="XAD4" s="59"/>
      <c r="XAE4" s="59"/>
      <c r="XAF4" s="59"/>
      <c r="XAG4" s="59"/>
      <c r="XAH4" s="59"/>
      <c r="XAI4" s="59"/>
      <c r="XAJ4" s="59"/>
      <c r="XAK4" s="59"/>
      <c r="XAL4" s="59"/>
      <c r="XAM4" s="59"/>
      <c r="XAN4" s="59"/>
      <c r="XAO4" s="59"/>
      <c r="XAP4" s="59"/>
      <c r="XAQ4" s="59"/>
      <c r="XAR4" s="59"/>
      <c r="XAS4" s="59"/>
      <c r="XAT4" s="59"/>
      <c r="XAU4" s="59"/>
      <c r="XAV4" s="59"/>
      <c r="XAW4" s="59"/>
      <c r="XAX4" s="59"/>
      <c r="XAY4" s="59"/>
      <c r="XAZ4" s="59"/>
      <c r="XBA4" s="59"/>
      <c r="XBB4" s="59"/>
      <c r="XBC4" s="59"/>
      <c r="XBD4" s="59"/>
      <c r="XBE4" s="59"/>
      <c r="XBF4" s="59"/>
      <c r="XBG4" s="59"/>
      <c r="XBH4" s="59"/>
      <c r="XBI4" s="59"/>
      <c r="XBJ4" s="59"/>
      <c r="XBK4" s="59"/>
      <c r="XBL4" s="59"/>
      <c r="XBM4" s="59"/>
      <c r="XBN4" s="59"/>
      <c r="XBO4" s="59"/>
      <c r="XBP4" s="59"/>
      <c r="XBQ4" s="59"/>
      <c r="XBR4" s="59"/>
      <c r="XBS4" s="59"/>
      <c r="XBT4" s="59"/>
      <c r="XBU4" s="59"/>
      <c r="XBV4" s="59"/>
      <c r="XBW4" s="59"/>
      <c r="XBX4" s="59"/>
      <c r="XBY4" s="59"/>
      <c r="XBZ4" s="59"/>
      <c r="XCA4" s="59"/>
      <c r="XCB4" s="59"/>
      <c r="XCC4" s="59"/>
      <c r="XCD4" s="59"/>
      <c r="XCE4" s="59"/>
      <c r="XCF4" s="59"/>
      <c r="XCG4" s="59"/>
      <c r="XCH4" s="59"/>
      <c r="XCI4" s="59"/>
      <c r="XCJ4" s="59"/>
      <c r="XCK4" s="59"/>
      <c r="XCL4" s="59"/>
      <c r="XCM4" s="59"/>
      <c r="XCN4" s="59"/>
      <c r="XCO4" s="59"/>
      <c r="XCP4" s="59"/>
      <c r="XCQ4" s="59"/>
      <c r="XCR4" s="59"/>
      <c r="XCS4" s="59"/>
      <c r="XCT4" s="59"/>
      <c r="XCU4" s="59"/>
      <c r="XCV4" s="59"/>
      <c r="XCW4" s="59"/>
      <c r="XCX4" s="59"/>
      <c r="XCY4" s="59"/>
      <c r="XCZ4" s="59"/>
      <c r="XDA4" s="59"/>
      <c r="XDB4" s="59"/>
      <c r="XDC4" s="59"/>
      <c r="XDD4" s="59"/>
      <c r="XDE4" s="59"/>
      <c r="XDF4" s="59"/>
      <c r="XDG4" s="59"/>
      <c r="XDH4" s="59"/>
      <c r="XDI4" s="59"/>
      <c r="XDJ4" s="59"/>
      <c r="XDK4" s="59"/>
      <c r="XDL4" s="59"/>
      <c r="XDM4" s="59"/>
      <c r="XDN4" s="59"/>
      <c r="XDO4" s="59"/>
      <c r="XDP4" s="59"/>
      <c r="XDQ4" s="59"/>
      <c r="XDR4" s="59"/>
      <c r="XDS4" s="59"/>
      <c r="XDT4" s="59"/>
      <c r="XDU4" s="59"/>
      <c r="XDV4" s="59"/>
      <c r="XDW4" s="59"/>
      <c r="XDX4" s="59"/>
      <c r="XDY4" s="59"/>
      <c r="XDZ4" s="59"/>
      <c r="XEA4" s="59"/>
      <c r="XEB4" s="59"/>
      <c r="XEC4" s="59"/>
      <c r="XED4" s="59"/>
      <c r="XEE4" s="59"/>
      <c r="XEF4" s="59"/>
      <c r="XEG4" s="59"/>
      <c r="XEH4" s="59"/>
      <c r="XEI4" s="59"/>
      <c r="XEJ4" s="59"/>
      <c r="XEK4" s="59"/>
      <c r="XEL4" s="59"/>
      <c r="XEM4" s="59"/>
      <c r="XEN4" s="59"/>
      <c r="XEO4" s="59"/>
      <c r="XEP4" s="59"/>
      <c r="XEQ4" s="59"/>
      <c r="XER4" s="59"/>
      <c r="XES4" s="59"/>
      <c r="XET4" s="59"/>
      <c r="XEU4" s="59"/>
      <c r="XEV4" s="59"/>
      <c r="XEW4" s="59"/>
      <c r="XEX4" s="59"/>
      <c r="XEY4" s="59"/>
      <c r="XEZ4" s="59"/>
      <c r="XFA4" s="59"/>
      <c r="XFB4" s="59"/>
      <c r="XFC4" s="59"/>
      <c r="XFD4" s="59"/>
    </row>
    <row r="5" spans="1:16384" ht="30" customHeight="1">
      <c r="A5" s="59"/>
      <c r="B5" s="59"/>
      <c r="C5" s="59"/>
      <c r="D5" t="s">
        <v>4680</v>
      </c>
      <c r="E5" s="53" t="s">
        <v>4817</v>
      </c>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c r="IW5" s="59"/>
      <c r="IX5" s="59"/>
      <c r="IY5" s="59"/>
      <c r="IZ5" s="59"/>
      <c r="JA5" s="59"/>
      <c r="JB5" s="59"/>
      <c r="JC5" s="59"/>
      <c r="JD5" s="59"/>
      <c r="JE5" s="59"/>
      <c r="JF5" s="59"/>
      <c r="JG5" s="59"/>
      <c r="JH5" s="59"/>
      <c r="JI5" s="59"/>
      <c r="JJ5" s="59"/>
      <c r="JK5" s="59"/>
      <c r="JL5" s="59"/>
      <c r="JM5" s="59"/>
      <c r="JN5" s="59"/>
      <c r="JO5" s="59"/>
      <c r="JP5" s="59"/>
      <c r="JQ5" s="59"/>
      <c r="JR5" s="59"/>
      <c r="JS5" s="59"/>
      <c r="JT5" s="59"/>
      <c r="JU5" s="59"/>
      <c r="JV5" s="59"/>
      <c r="JW5" s="59"/>
      <c r="JX5" s="59"/>
      <c r="JY5" s="59"/>
      <c r="JZ5" s="59"/>
      <c r="KA5" s="59"/>
      <c r="KB5" s="59"/>
      <c r="KC5" s="59"/>
      <c r="KD5" s="59"/>
      <c r="KE5" s="59"/>
      <c r="KF5" s="59"/>
      <c r="KG5" s="59"/>
      <c r="KH5" s="59"/>
      <c r="KI5" s="59"/>
      <c r="KJ5" s="59"/>
      <c r="KK5" s="59"/>
      <c r="KL5" s="59"/>
      <c r="KM5" s="59"/>
      <c r="KN5" s="59"/>
      <c r="KO5" s="59"/>
      <c r="KP5" s="59"/>
      <c r="KQ5" s="59"/>
      <c r="KR5" s="59"/>
      <c r="KS5" s="59"/>
      <c r="KT5" s="59"/>
      <c r="KU5" s="59"/>
      <c r="KV5" s="59"/>
      <c r="KW5" s="59"/>
      <c r="KX5" s="59"/>
      <c r="KY5" s="59"/>
      <c r="KZ5" s="59"/>
      <c r="LA5" s="59"/>
      <c r="LB5" s="59"/>
      <c r="LC5" s="59"/>
      <c r="LD5" s="59"/>
      <c r="LE5" s="59"/>
      <c r="LF5" s="59"/>
      <c r="LG5" s="59"/>
      <c r="LH5" s="59"/>
      <c r="LI5" s="59"/>
      <c r="LJ5" s="59"/>
      <c r="LK5" s="59"/>
      <c r="LL5" s="59"/>
      <c r="LM5" s="59"/>
      <c r="LN5" s="59"/>
      <c r="LO5" s="59"/>
      <c r="LP5" s="59"/>
      <c r="LQ5" s="59"/>
      <c r="LR5" s="59"/>
      <c r="LS5" s="59"/>
      <c r="LT5" s="59"/>
      <c r="LU5" s="59"/>
      <c r="LV5" s="59"/>
      <c r="LW5" s="59"/>
      <c r="LX5" s="59"/>
      <c r="LY5" s="59"/>
      <c r="LZ5" s="59"/>
      <c r="MA5" s="59"/>
      <c r="MB5" s="59"/>
      <c r="MC5" s="59"/>
      <c r="MD5" s="59"/>
      <c r="ME5" s="59"/>
      <c r="MF5" s="59"/>
      <c r="MG5" s="59"/>
      <c r="MH5" s="59"/>
      <c r="MI5" s="59"/>
      <c r="MJ5" s="59"/>
      <c r="MK5" s="59"/>
      <c r="ML5" s="59"/>
      <c r="MM5" s="59"/>
      <c r="MN5" s="59"/>
      <c r="MO5" s="59"/>
      <c r="MP5" s="59"/>
      <c r="MQ5" s="59"/>
      <c r="MR5" s="59"/>
      <c r="MS5" s="59"/>
      <c r="MT5" s="59"/>
      <c r="MU5" s="59"/>
      <c r="MV5" s="59"/>
      <c r="MW5" s="59"/>
      <c r="MX5" s="59"/>
      <c r="MY5" s="59"/>
      <c r="MZ5" s="59"/>
      <c r="NA5" s="59"/>
      <c r="NB5" s="59"/>
      <c r="NC5" s="59"/>
      <c r="ND5" s="59"/>
      <c r="NE5" s="59"/>
      <c r="NF5" s="59"/>
      <c r="NG5" s="59"/>
      <c r="NH5" s="59"/>
      <c r="NI5" s="59"/>
      <c r="NJ5" s="59"/>
      <c r="NK5" s="59"/>
      <c r="NL5" s="59"/>
      <c r="NM5" s="59"/>
      <c r="NN5" s="59"/>
      <c r="NO5" s="59"/>
      <c r="NP5" s="59"/>
      <c r="NQ5" s="59"/>
      <c r="NR5" s="59"/>
      <c r="NS5" s="59"/>
      <c r="NT5" s="59"/>
      <c r="NU5" s="59"/>
      <c r="NV5" s="59"/>
      <c r="NW5" s="59"/>
      <c r="NX5" s="59"/>
      <c r="NY5" s="59"/>
      <c r="NZ5" s="59"/>
      <c r="OA5" s="59"/>
      <c r="OB5" s="59"/>
      <c r="OC5" s="59"/>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59"/>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59"/>
      <c r="RR5" s="59"/>
      <c r="RS5" s="59"/>
      <c r="RT5" s="59"/>
      <c r="RU5" s="59"/>
      <c r="RV5" s="59"/>
      <c r="RW5" s="59"/>
      <c r="RX5" s="59"/>
      <c r="RY5" s="59"/>
      <c r="RZ5" s="59"/>
      <c r="SA5" s="59"/>
      <c r="SB5" s="59"/>
      <c r="SC5" s="59"/>
      <c r="SD5" s="59"/>
      <c r="SE5" s="59"/>
      <c r="SF5" s="59"/>
      <c r="SG5" s="59"/>
      <c r="SH5" s="59"/>
      <c r="SI5" s="59"/>
      <c r="SJ5" s="59"/>
      <c r="SK5" s="59"/>
      <c r="SL5" s="59"/>
      <c r="SM5" s="59"/>
      <c r="SN5" s="59"/>
      <c r="SO5" s="59"/>
      <c r="SP5" s="59"/>
      <c r="SQ5" s="59"/>
      <c r="SR5" s="59"/>
      <c r="SS5" s="59"/>
      <c r="ST5" s="59"/>
      <c r="SU5" s="59"/>
      <c r="SV5" s="59"/>
      <c r="SW5" s="59"/>
      <c r="SX5" s="59"/>
      <c r="SY5" s="59"/>
      <c r="SZ5" s="59"/>
      <c r="TA5" s="59"/>
      <c r="TB5" s="59"/>
      <c r="TC5" s="59"/>
      <c r="TD5" s="59"/>
      <c r="TE5" s="59"/>
      <c r="TF5" s="59"/>
      <c r="TG5" s="59"/>
      <c r="TH5" s="59"/>
      <c r="TI5" s="59"/>
      <c r="TJ5" s="59"/>
      <c r="TK5" s="59"/>
      <c r="TL5" s="59"/>
      <c r="TM5" s="59"/>
      <c r="TN5" s="59"/>
      <c r="TO5" s="59"/>
      <c r="TP5" s="59"/>
      <c r="TQ5" s="59"/>
      <c r="TR5" s="59"/>
      <c r="TS5" s="59"/>
      <c r="TT5" s="59"/>
      <c r="TU5" s="59"/>
      <c r="TV5" s="59"/>
      <c r="TW5" s="59"/>
      <c r="TX5" s="59"/>
      <c r="TY5" s="59"/>
      <c r="TZ5" s="59"/>
      <c r="UA5" s="59"/>
      <c r="UB5" s="59"/>
      <c r="UC5" s="59"/>
      <c r="UD5" s="59"/>
      <c r="UE5" s="59"/>
      <c r="UF5" s="59"/>
      <c r="UG5" s="59"/>
      <c r="UH5" s="59"/>
      <c r="UI5" s="59"/>
      <c r="UJ5" s="59"/>
      <c r="UK5" s="59"/>
      <c r="UL5" s="59"/>
      <c r="UM5" s="59"/>
      <c r="UN5" s="59"/>
      <c r="UO5" s="59"/>
      <c r="UP5" s="59"/>
      <c r="UQ5" s="59"/>
      <c r="UR5" s="59"/>
      <c r="US5" s="59"/>
      <c r="UT5" s="59"/>
      <c r="UU5" s="59"/>
      <c r="UV5" s="59"/>
      <c r="UW5" s="59"/>
      <c r="UX5" s="59"/>
      <c r="UY5" s="59"/>
      <c r="UZ5" s="59"/>
      <c r="VA5" s="59"/>
      <c r="VB5" s="59"/>
      <c r="VC5" s="59"/>
      <c r="VD5" s="59"/>
      <c r="VE5" s="59"/>
      <c r="VF5" s="59"/>
      <c r="VG5" s="59"/>
      <c r="VH5" s="59"/>
      <c r="VI5" s="59"/>
      <c r="VJ5" s="59"/>
      <c r="VK5" s="59"/>
      <c r="VL5" s="59"/>
      <c r="VM5" s="59"/>
      <c r="VN5" s="59"/>
      <c r="VO5" s="59"/>
      <c r="VP5" s="59"/>
      <c r="VQ5" s="59"/>
      <c r="VR5" s="59"/>
      <c r="VS5" s="59"/>
      <c r="VT5" s="59"/>
      <c r="VU5" s="59"/>
      <c r="VV5" s="59"/>
      <c r="VW5" s="59"/>
      <c r="VX5" s="59"/>
      <c r="VY5" s="59"/>
      <c r="VZ5" s="59"/>
      <c r="WA5" s="59"/>
      <c r="WB5" s="59"/>
      <c r="WC5" s="59"/>
      <c r="WD5" s="59"/>
      <c r="WE5" s="59"/>
      <c r="WF5" s="59"/>
      <c r="WG5" s="59"/>
      <c r="WH5" s="59"/>
      <c r="WI5" s="59"/>
      <c r="WJ5" s="59"/>
      <c r="WK5" s="59"/>
      <c r="WL5" s="59"/>
      <c r="WM5" s="59"/>
      <c r="WN5" s="59"/>
      <c r="WO5" s="59"/>
      <c r="WP5" s="59"/>
      <c r="WQ5" s="59"/>
      <c r="WR5" s="59"/>
      <c r="WS5" s="59"/>
      <c r="WT5" s="59"/>
      <c r="WU5" s="59"/>
      <c r="WV5" s="59"/>
      <c r="WW5" s="59"/>
      <c r="WX5" s="59"/>
      <c r="WY5" s="59"/>
      <c r="WZ5" s="59"/>
      <c r="XA5" s="59"/>
      <c r="XB5" s="59"/>
      <c r="XC5" s="59"/>
      <c r="XD5" s="59"/>
      <c r="XE5" s="59"/>
      <c r="XF5" s="59"/>
      <c r="XG5" s="59"/>
      <c r="XH5" s="59"/>
      <c r="XI5" s="59"/>
      <c r="XJ5" s="59"/>
      <c r="XK5" s="59"/>
      <c r="XL5" s="59"/>
      <c r="XM5" s="59"/>
      <c r="XN5" s="59"/>
      <c r="XO5" s="59"/>
      <c r="XP5" s="59"/>
      <c r="XQ5" s="59"/>
      <c r="XR5" s="59"/>
      <c r="XS5" s="59"/>
      <c r="XT5" s="59"/>
      <c r="XU5" s="59"/>
      <c r="XV5" s="59"/>
      <c r="XW5" s="59"/>
      <c r="XX5" s="59"/>
      <c r="XY5" s="59"/>
      <c r="XZ5" s="59"/>
      <c r="YA5" s="59"/>
      <c r="YB5" s="59"/>
      <c r="YC5" s="59"/>
      <c r="YD5" s="59"/>
      <c r="YE5" s="59"/>
      <c r="YF5" s="59"/>
      <c r="YG5" s="59"/>
      <c r="YH5" s="59"/>
      <c r="YI5" s="59"/>
      <c r="YJ5" s="59"/>
      <c r="YK5" s="59"/>
      <c r="YL5" s="59"/>
      <c r="YM5" s="59"/>
      <c r="YN5" s="59"/>
      <c r="YO5" s="59"/>
      <c r="YP5" s="59"/>
      <c r="YQ5" s="59"/>
      <c r="YR5" s="59"/>
      <c r="YS5" s="59"/>
      <c r="YT5" s="59"/>
      <c r="YU5" s="59"/>
      <c r="YV5" s="59"/>
      <c r="YW5" s="59"/>
      <c r="YX5" s="59"/>
      <c r="YY5" s="59"/>
      <c r="YZ5" s="59"/>
      <c r="ZA5" s="59"/>
      <c r="ZB5" s="59"/>
      <c r="ZC5" s="59"/>
      <c r="ZD5" s="59"/>
      <c r="ZE5" s="59"/>
      <c r="ZF5" s="59"/>
      <c r="ZG5" s="59"/>
      <c r="ZH5" s="59"/>
      <c r="ZI5" s="59"/>
      <c r="ZJ5" s="59"/>
      <c r="ZK5" s="59"/>
      <c r="ZL5" s="59"/>
      <c r="ZM5" s="59"/>
      <c r="ZN5" s="59"/>
      <c r="ZO5" s="59"/>
      <c r="ZP5" s="59"/>
      <c r="ZQ5" s="59"/>
      <c r="ZR5" s="59"/>
      <c r="ZS5" s="59"/>
      <c r="ZT5" s="59"/>
      <c r="ZU5" s="59"/>
      <c r="ZV5" s="59"/>
      <c r="ZW5" s="59"/>
      <c r="ZX5" s="59"/>
      <c r="ZY5" s="59"/>
      <c r="ZZ5" s="59"/>
      <c r="AAA5" s="59"/>
      <c r="AAB5" s="59"/>
      <c r="AAC5" s="59"/>
      <c r="AAD5" s="59"/>
      <c r="AAE5" s="59"/>
      <c r="AAF5" s="59"/>
      <c r="AAG5" s="59"/>
      <c r="AAH5" s="59"/>
      <c r="AAI5" s="59"/>
      <c r="AAJ5" s="59"/>
      <c r="AAK5" s="59"/>
      <c r="AAL5" s="59"/>
      <c r="AAM5" s="59"/>
      <c r="AAN5" s="59"/>
      <c r="AAO5" s="59"/>
      <c r="AAP5" s="59"/>
      <c r="AAQ5" s="59"/>
      <c r="AAR5" s="59"/>
      <c r="AAS5" s="59"/>
      <c r="AAT5" s="59"/>
      <c r="AAU5" s="59"/>
      <c r="AAV5" s="59"/>
      <c r="AAW5" s="59"/>
      <c r="AAX5" s="59"/>
      <c r="AAY5" s="59"/>
      <c r="AAZ5" s="59"/>
      <c r="ABA5" s="59"/>
      <c r="ABB5" s="59"/>
      <c r="ABC5" s="59"/>
      <c r="ABD5" s="59"/>
      <c r="ABE5" s="59"/>
      <c r="ABF5" s="59"/>
      <c r="ABG5" s="59"/>
      <c r="ABH5" s="59"/>
      <c r="ABI5" s="59"/>
      <c r="ABJ5" s="59"/>
      <c r="ABK5" s="59"/>
      <c r="ABL5" s="59"/>
      <c r="ABM5" s="59"/>
      <c r="ABN5" s="59"/>
      <c r="ABO5" s="59"/>
      <c r="ABP5" s="59"/>
      <c r="ABQ5" s="59"/>
      <c r="ABR5" s="59"/>
      <c r="ABS5" s="59"/>
      <c r="ABT5" s="59"/>
      <c r="ABU5" s="59"/>
      <c r="ABV5" s="59"/>
      <c r="ABW5" s="59"/>
      <c r="ABX5" s="59"/>
      <c r="ABY5" s="59"/>
      <c r="ABZ5" s="59"/>
      <c r="ACA5" s="59"/>
      <c r="ACB5" s="59"/>
      <c r="ACC5" s="59"/>
      <c r="ACD5" s="59"/>
      <c r="ACE5" s="59"/>
      <c r="ACF5" s="59"/>
      <c r="ACG5" s="59"/>
      <c r="ACH5" s="59"/>
      <c r="ACI5" s="59"/>
      <c r="ACJ5" s="59"/>
      <c r="ACK5" s="59"/>
      <c r="ACL5" s="59"/>
      <c r="ACM5" s="59"/>
      <c r="ACN5" s="59"/>
      <c r="ACO5" s="59"/>
      <c r="ACP5" s="59"/>
      <c r="ACQ5" s="59"/>
      <c r="ACR5" s="59"/>
      <c r="ACS5" s="59"/>
      <c r="ACT5" s="59"/>
      <c r="ACU5" s="59"/>
      <c r="ACV5" s="59"/>
      <c r="ACW5" s="59"/>
      <c r="ACX5" s="59"/>
      <c r="ACY5" s="59"/>
      <c r="ACZ5" s="59"/>
      <c r="ADA5" s="59"/>
      <c r="ADB5" s="59"/>
      <c r="ADC5" s="59"/>
      <c r="ADD5" s="59"/>
      <c r="ADE5" s="59"/>
      <c r="ADF5" s="59"/>
      <c r="ADG5" s="59"/>
      <c r="ADH5" s="59"/>
      <c r="ADI5" s="59"/>
      <c r="ADJ5" s="59"/>
      <c r="ADK5" s="59"/>
      <c r="ADL5" s="59"/>
      <c r="ADM5" s="59"/>
      <c r="ADN5" s="59"/>
      <c r="ADO5" s="59"/>
      <c r="ADP5" s="59"/>
      <c r="ADQ5" s="59"/>
      <c r="ADR5" s="59"/>
      <c r="ADS5" s="59"/>
      <c r="ADT5" s="59"/>
      <c r="ADU5" s="59"/>
      <c r="ADV5" s="59"/>
      <c r="ADW5" s="59"/>
      <c r="ADX5" s="59"/>
      <c r="ADY5" s="59"/>
      <c r="ADZ5" s="59"/>
      <c r="AEA5" s="59"/>
      <c r="AEB5" s="59"/>
      <c r="AEC5" s="59"/>
      <c r="AED5" s="59"/>
      <c r="AEE5" s="59"/>
      <c r="AEF5" s="59"/>
      <c r="AEG5" s="59"/>
      <c r="AEH5" s="59"/>
      <c r="AEI5" s="59"/>
      <c r="AEJ5" s="59"/>
      <c r="AEK5" s="59"/>
      <c r="AEL5" s="59"/>
      <c r="AEM5" s="59"/>
      <c r="AEN5" s="59"/>
      <c r="AEO5" s="59"/>
      <c r="AEP5" s="59"/>
      <c r="AEQ5" s="59"/>
      <c r="AER5" s="59"/>
      <c r="AES5" s="59"/>
      <c r="AET5" s="59"/>
      <c r="AEU5" s="59"/>
      <c r="AEV5" s="59"/>
      <c r="AEW5" s="59"/>
      <c r="AEX5" s="59"/>
      <c r="AEY5" s="59"/>
      <c r="AEZ5" s="59"/>
      <c r="AFA5" s="59"/>
      <c r="AFB5" s="59"/>
      <c r="AFC5" s="59"/>
      <c r="AFD5" s="59"/>
      <c r="AFE5" s="59"/>
      <c r="AFF5" s="59"/>
      <c r="AFG5" s="59"/>
      <c r="AFH5" s="59"/>
      <c r="AFI5" s="59"/>
      <c r="AFJ5" s="59"/>
      <c r="AFK5" s="59"/>
      <c r="AFL5" s="59"/>
      <c r="AFM5" s="59"/>
      <c r="AFN5" s="59"/>
      <c r="AFO5" s="59"/>
      <c r="AFP5" s="59"/>
      <c r="AFQ5" s="59"/>
      <c r="AFR5" s="59"/>
      <c r="AFS5" s="59"/>
      <c r="AFT5" s="59"/>
      <c r="AFU5" s="59"/>
      <c r="AFV5" s="59"/>
      <c r="AFW5" s="59"/>
      <c r="AFX5" s="59"/>
      <c r="AFY5" s="59"/>
      <c r="AFZ5" s="59"/>
      <c r="AGA5" s="59"/>
      <c r="AGB5" s="59"/>
      <c r="AGC5" s="59"/>
      <c r="AGD5" s="59"/>
      <c r="AGE5" s="59"/>
      <c r="AGF5" s="59"/>
      <c r="AGG5" s="59"/>
      <c r="AGH5" s="59"/>
      <c r="AGI5" s="59"/>
      <c r="AGJ5" s="59"/>
      <c r="AGK5" s="59"/>
      <c r="AGL5" s="59"/>
      <c r="AGM5" s="59"/>
      <c r="AGN5" s="59"/>
      <c r="AGO5" s="59"/>
      <c r="AGP5" s="59"/>
      <c r="AGQ5" s="59"/>
      <c r="AGR5" s="59"/>
      <c r="AGS5" s="59"/>
      <c r="AGT5" s="59"/>
      <c r="AGU5" s="59"/>
      <c r="AGV5" s="59"/>
      <c r="AGW5" s="59"/>
      <c r="AGX5" s="59"/>
      <c r="AGY5" s="59"/>
      <c r="AGZ5" s="59"/>
      <c r="AHA5" s="59"/>
      <c r="AHB5" s="59"/>
      <c r="AHC5" s="59"/>
      <c r="AHD5" s="59"/>
      <c r="AHE5" s="59"/>
      <c r="AHF5" s="59"/>
      <c r="AHG5" s="59"/>
      <c r="AHH5" s="59"/>
      <c r="AHI5" s="59"/>
      <c r="AHJ5" s="59"/>
      <c r="AHK5" s="59"/>
      <c r="AHL5" s="59"/>
      <c r="AHM5" s="59"/>
      <c r="AHN5" s="59"/>
      <c r="AHO5" s="59"/>
      <c r="AHP5" s="59"/>
      <c r="AHQ5" s="59"/>
      <c r="AHR5" s="59"/>
      <c r="AHS5" s="59"/>
      <c r="AHT5" s="59"/>
      <c r="AHU5" s="59"/>
      <c r="AHV5" s="59"/>
      <c r="AHW5" s="59"/>
      <c r="AHX5" s="59"/>
      <c r="AHY5" s="59"/>
      <c r="AHZ5" s="59"/>
      <c r="AIA5" s="59"/>
      <c r="AIB5" s="59"/>
      <c r="AIC5" s="59"/>
      <c r="AID5" s="59"/>
      <c r="AIE5" s="59"/>
      <c r="AIF5" s="59"/>
      <c r="AIG5" s="59"/>
      <c r="AIH5" s="59"/>
      <c r="AII5" s="59"/>
      <c r="AIJ5" s="59"/>
      <c r="AIK5" s="59"/>
      <c r="AIL5" s="59"/>
      <c r="AIM5" s="59"/>
      <c r="AIN5" s="59"/>
      <c r="AIO5" s="59"/>
      <c r="AIP5" s="59"/>
      <c r="AIQ5" s="59"/>
      <c r="AIR5" s="59"/>
      <c r="AIS5" s="59"/>
      <c r="AIT5" s="59"/>
      <c r="AIU5" s="59"/>
      <c r="AIV5" s="59"/>
      <c r="AIW5" s="59"/>
      <c r="AIX5" s="59"/>
      <c r="AIY5" s="59"/>
      <c r="AIZ5" s="59"/>
      <c r="AJA5" s="59"/>
      <c r="AJB5" s="59"/>
      <c r="AJC5" s="59"/>
      <c r="AJD5" s="59"/>
      <c r="AJE5" s="59"/>
      <c r="AJF5" s="59"/>
      <c r="AJG5" s="59"/>
      <c r="AJH5" s="59"/>
      <c r="AJI5" s="59"/>
      <c r="AJJ5" s="59"/>
      <c r="AJK5" s="59"/>
      <c r="AJL5" s="59"/>
      <c r="AJM5" s="59"/>
      <c r="AJN5" s="59"/>
      <c r="AJO5" s="59"/>
      <c r="AJP5" s="59"/>
      <c r="AJQ5" s="59"/>
      <c r="AJR5" s="59"/>
      <c r="AJS5" s="59"/>
      <c r="AJT5" s="59"/>
      <c r="AJU5" s="59"/>
      <c r="AJV5" s="59"/>
      <c r="AJW5" s="59"/>
      <c r="AJX5" s="59"/>
      <c r="AJY5" s="59"/>
      <c r="AJZ5" s="59"/>
      <c r="AKA5" s="59"/>
      <c r="AKB5" s="59"/>
      <c r="AKC5" s="59"/>
      <c r="AKD5" s="59"/>
      <c r="AKE5" s="59"/>
      <c r="AKF5" s="59"/>
      <c r="AKG5" s="59"/>
      <c r="AKH5" s="59"/>
      <c r="AKI5" s="59"/>
      <c r="AKJ5" s="59"/>
      <c r="AKK5" s="59"/>
      <c r="AKL5" s="59"/>
      <c r="AKM5" s="59"/>
      <c r="AKN5" s="59"/>
      <c r="AKO5" s="59"/>
      <c r="AKP5" s="59"/>
      <c r="AKQ5" s="59"/>
      <c r="AKR5" s="59"/>
      <c r="AKS5" s="59"/>
      <c r="AKT5" s="59"/>
      <c r="AKU5" s="59"/>
      <c r="AKV5" s="59"/>
      <c r="AKW5" s="59"/>
      <c r="AKX5" s="59"/>
      <c r="AKY5" s="59"/>
      <c r="AKZ5" s="59"/>
      <c r="ALA5" s="59"/>
      <c r="ALB5" s="59"/>
      <c r="ALC5" s="59"/>
      <c r="ALD5" s="59"/>
      <c r="ALE5" s="59"/>
      <c r="ALF5" s="59"/>
      <c r="ALG5" s="59"/>
      <c r="ALH5" s="59"/>
      <c r="ALI5" s="59"/>
      <c r="ALJ5" s="59"/>
      <c r="ALK5" s="59"/>
      <c r="ALL5" s="59"/>
      <c r="ALM5" s="59"/>
      <c r="ALN5" s="59"/>
      <c r="ALO5" s="59"/>
      <c r="ALP5" s="59"/>
      <c r="ALQ5" s="59"/>
      <c r="ALR5" s="59"/>
      <c r="ALS5" s="59"/>
      <c r="ALT5" s="59"/>
      <c r="ALU5" s="59"/>
      <c r="ALV5" s="59"/>
      <c r="ALW5" s="59"/>
      <c r="ALX5" s="59"/>
      <c r="ALY5" s="59"/>
      <c r="ALZ5" s="59"/>
      <c r="AMA5" s="59"/>
      <c r="AMB5" s="59"/>
      <c r="AMC5" s="59"/>
      <c r="AMD5" s="59"/>
      <c r="AME5" s="59"/>
      <c r="AMF5" s="59"/>
      <c r="AMG5" s="59"/>
      <c r="AMH5" s="59"/>
      <c r="AMI5" s="59"/>
      <c r="AMJ5" s="59"/>
      <c r="AMK5" s="59"/>
      <c r="AML5" s="59"/>
      <c r="AMM5" s="59"/>
      <c r="AMN5" s="59"/>
      <c r="AMO5" s="59"/>
      <c r="AMP5" s="59"/>
      <c r="AMQ5" s="59"/>
      <c r="AMR5" s="59"/>
      <c r="AMS5" s="59"/>
      <c r="AMT5" s="59"/>
      <c r="AMU5" s="59"/>
      <c r="AMV5" s="59"/>
      <c r="AMW5" s="59"/>
      <c r="AMX5" s="59"/>
      <c r="AMY5" s="59"/>
      <c r="AMZ5" s="59"/>
      <c r="ANA5" s="59"/>
      <c r="ANB5" s="59"/>
      <c r="ANC5" s="59"/>
      <c r="AND5" s="59"/>
      <c r="ANE5" s="59"/>
      <c r="ANF5" s="59"/>
      <c r="ANG5" s="59"/>
      <c r="ANH5" s="59"/>
      <c r="ANI5" s="59"/>
      <c r="ANJ5" s="59"/>
      <c r="ANK5" s="59"/>
      <c r="ANL5" s="59"/>
      <c r="ANM5" s="59"/>
      <c r="ANN5" s="59"/>
      <c r="ANO5" s="59"/>
      <c r="ANP5" s="59"/>
      <c r="ANQ5" s="59"/>
      <c r="ANR5" s="59"/>
      <c r="ANS5" s="59"/>
      <c r="ANT5" s="59"/>
      <c r="ANU5" s="59"/>
      <c r="ANV5" s="59"/>
      <c r="ANW5" s="59"/>
      <c r="ANX5" s="59"/>
      <c r="ANY5" s="59"/>
      <c r="ANZ5" s="59"/>
      <c r="AOA5" s="59"/>
      <c r="AOB5" s="59"/>
      <c r="AOC5" s="59"/>
      <c r="AOD5" s="59"/>
      <c r="AOE5" s="59"/>
      <c r="AOF5" s="59"/>
      <c r="AOG5" s="59"/>
      <c r="AOH5" s="59"/>
      <c r="AOI5" s="59"/>
      <c r="AOJ5" s="59"/>
      <c r="AOK5" s="59"/>
      <c r="AOL5" s="59"/>
      <c r="AOM5" s="59"/>
      <c r="AON5" s="59"/>
      <c r="AOO5" s="59"/>
      <c r="AOP5" s="59"/>
      <c r="AOQ5" s="59"/>
      <c r="AOR5" s="59"/>
      <c r="AOS5" s="59"/>
      <c r="AOT5" s="59"/>
      <c r="AOU5" s="59"/>
      <c r="AOV5" s="59"/>
      <c r="AOW5" s="59"/>
      <c r="AOX5" s="59"/>
      <c r="AOY5" s="59"/>
      <c r="AOZ5" s="59"/>
      <c r="APA5" s="59"/>
      <c r="APB5" s="59"/>
      <c r="APC5" s="59"/>
      <c r="APD5" s="59"/>
      <c r="APE5" s="59"/>
      <c r="APF5" s="59"/>
      <c r="APG5" s="59"/>
      <c r="APH5" s="59"/>
      <c r="API5" s="59"/>
      <c r="APJ5" s="59"/>
      <c r="APK5" s="59"/>
      <c r="APL5" s="59"/>
      <c r="APM5" s="59"/>
      <c r="APN5" s="59"/>
      <c r="APO5" s="59"/>
      <c r="APP5" s="59"/>
      <c r="APQ5" s="59"/>
      <c r="APR5" s="59"/>
      <c r="APS5" s="59"/>
      <c r="APT5" s="59"/>
      <c r="APU5" s="59"/>
      <c r="APV5" s="59"/>
      <c r="APW5" s="59"/>
      <c r="APX5" s="59"/>
      <c r="APY5" s="59"/>
      <c r="APZ5" s="59"/>
      <c r="AQA5" s="59"/>
      <c r="AQB5" s="59"/>
      <c r="AQC5" s="59"/>
      <c r="AQD5" s="59"/>
      <c r="AQE5" s="59"/>
      <c r="AQF5" s="59"/>
      <c r="AQG5" s="59"/>
      <c r="AQH5" s="59"/>
      <c r="AQI5" s="59"/>
      <c r="AQJ5" s="59"/>
      <c r="AQK5" s="59"/>
      <c r="AQL5" s="59"/>
      <c r="AQM5" s="59"/>
      <c r="AQN5" s="59"/>
      <c r="AQO5" s="59"/>
      <c r="AQP5" s="59"/>
      <c r="AQQ5" s="59"/>
      <c r="AQR5" s="59"/>
      <c r="AQS5" s="59"/>
      <c r="AQT5" s="59"/>
      <c r="AQU5" s="59"/>
      <c r="AQV5" s="59"/>
      <c r="AQW5" s="59"/>
      <c r="AQX5" s="59"/>
      <c r="AQY5" s="59"/>
      <c r="AQZ5" s="59"/>
      <c r="ARA5" s="59"/>
      <c r="ARB5" s="59"/>
      <c r="ARC5" s="59"/>
      <c r="ARD5" s="59"/>
      <c r="ARE5" s="59"/>
      <c r="ARF5" s="59"/>
      <c r="ARG5" s="59"/>
      <c r="ARH5" s="59"/>
      <c r="ARI5" s="59"/>
      <c r="ARJ5" s="59"/>
      <c r="ARK5" s="59"/>
      <c r="ARL5" s="59"/>
      <c r="ARM5" s="59"/>
      <c r="ARN5" s="59"/>
      <c r="ARO5" s="59"/>
      <c r="ARP5" s="59"/>
      <c r="ARQ5" s="59"/>
      <c r="ARR5" s="59"/>
      <c r="ARS5" s="59"/>
      <c r="ART5" s="59"/>
      <c r="ARU5" s="59"/>
      <c r="ARV5" s="59"/>
      <c r="ARW5" s="59"/>
      <c r="ARX5" s="59"/>
      <c r="ARY5" s="59"/>
      <c r="ARZ5" s="59"/>
      <c r="ASA5" s="59"/>
      <c r="ASB5" s="59"/>
      <c r="ASC5" s="59"/>
      <c r="ASD5" s="59"/>
      <c r="ASE5" s="59"/>
      <c r="ASF5" s="59"/>
      <c r="ASG5" s="59"/>
      <c r="ASH5" s="59"/>
      <c r="ASI5" s="59"/>
      <c r="ASJ5" s="59"/>
      <c r="ASK5" s="59"/>
      <c r="ASL5" s="59"/>
      <c r="ASM5" s="59"/>
      <c r="ASN5" s="59"/>
      <c r="ASO5" s="59"/>
      <c r="ASP5" s="59"/>
      <c r="ASQ5" s="59"/>
      <c r="ASR5" s="59"/>
      <c r="ASS5" s="59"/>
      <c r="AST5" s="59"/>
      <c r="ASU5" s="59"/>
      <c r="ASV5" s="59"/>
      <c r="ASW5" s="59"/>
      <c r="ASX5" s="59"/>
      <c r="ASY5" s="59"/>
      <c r="ASZ5" s="59"/>
      <c r="ATA5" s="59"/>
      <c r="ATB5" s="59"/>
      <c r="ATC5" s="59"/>
      <c r="ATD5" s="59"/>
      <c r="ATE5" s="59"/>
      <c r="ATF5" s="59"/>
      <c r="ATG5" s="59"/>
      <c r="ATH5" s="59"/>
      <c r="ATI5" s="59"/>
      <c r="ATJ5" s="59"/>
      <c r="ATK5" s="59"/>
      <c r="ATL5" s="59"/>
      <c r="ATM5" s="59"/>
      <c r="ATN5" s="59"/>
      <c r="ATO5" s="59"/>
      <c r="ATP5" s="59"/>
      <c r="ATQ5" s="59"/>
      <c r="ATR5" s="59"/>
      <c r="ATS5" s="59"/>
      <c r="ATT5" s="59"/>
      <c r="ATU5" s="59"/>
      <c r="ATV5" s="59"/>
      <c r="ATW5" s="59"/>
      <c r="ATX5" s="59"/>
      <c r="ATY5" s="59"/>
      <c r="ATZ5" s="59"/>
      <c r="AUA5" s="59"/>
      <c r="AUB5" s="59"/>
      <c r="AUC5" s="59"/>
      <c r="AUD5" s="59"/>
      <c r="AUE5" s="59"/>
      <c r="AUF5" s="59"/>
      <c r="AUG5" s="59"/>
      <c r="AUH5" s="59"/>
      <c r="AUI5" s="59"/>
      <c r="AUJ5" s="59"/>
      <c r="AUK5" s="59"/>
      <c r="AUL5" s="59"/>
      <c r="AUM5" s="59"/>
      <c r="AUN5" s="59"/>
      <c r="AUO5" s="59"/>
      <c r="AUP5" s="59"/>
      <c r="AUQ5" s="59"/>
      <c r="AUR5" s="59"/>
      <c r="AUS5" s="59"/>
      <c r="AUT5" s="59"/>
      <c r="AUU5" s="59"/>
      <c r="AUV5" s="59"/>
      <c r="AUW5" s="59"/>
      <c r="AUX5" s="59"/>
      <c r="AUY5" s="59"/>
      <c r="AUZ5" s="59"/>
      <c r="AVA5" s="59"/>
      <c r="AVB5" s="59"/>
      <c r="AVC5" s="59"/>
      <c r="AVD5" s="59"/>
      <c r="AVE5" s="59"/>
      <c r="AVF5" s="59"/>
      <c r="AVG5" s="59"/>
      <c r="AVH5" s="59"/>
      <c r="AVI5" s="59"/>
      <c r="AVJ5" s="59"/>
      <c r="AVK5" s="59"/>
      <c r="AVL5" s="59"/>
      <c r="AVM5" s="59"/>
      <c r="AVN5" s="59"/>
      <c r="AVO5" s="59"/>
      <c r="AVP5" s="59"/>
      <c r="AVQ5" s="59"/>
      <c r="AVR5" s="59"/>
      <c r="AVS5" s="59"/>
      <c r="AVT5" s="59"/>
      <c r="AVU5" s="59"/>
      <c r="AVV5" s="59"/>
      <c r="AVW5" s="59"/>
      <c r="AVX5" s="59"/>
      <c r="AVY5" s="59"/>
      <c r="AVZ5" s="59"/>
      <c r="AWA5" s="59"/>
      <c r="AWB5" s="59"/>
      <c r="AWC5" s="59"/>
      <c r="AWD5" s="59"/>
      <c r="AWE5" s="59"/>
      <c r="AWF5" s="59"/>
      <c r="AWG5" s="59"/>
      <c r="AWH5" s="59"/>
      <c r="AWI5" s="59"/>
      <c r="AWJ5" s="59"/>
      <c r="AWK5" s="59"/>
      <c r="AWL5" s="59"/>
      <c r="AWM5" s="59"/>
      <c r="AWN5" s="59"/>
      <c r="AWO5" s="59"/>
      <c r="AWP5" s="59"/>
      <c r="AWQ5" s="59"/>
      <c r="AWR5" s="59"/>
      <c r="AWS5" s="59"/>
      <c r="AWT5" s="59"/>
      <c r="AWU5" s="59"/>
      <c r="AWV5" s="59"/>
      <c r="AWW5" s="59"/>
      <c r="AWX5" s="59"/>
      <c r="AWY5" s="59"/>
      <c r="AWZ5" s="59"/>
      <c r="AXA5" s="59"/>
      <c r="AXB5" s="59"/>
      <c r="AXC5" s="59"/>
      <c r="AXD5" s="59"/>
      <c r="AXE5" s="59"/>
      <c r="AXF5" s="59"/>
      <c r="AXG5" s="59"/>
      <c r="AXH5" s="59"/>
      <c r="AXI5" s="59"/>
      <c r="AXJ5" s="59"/>
      <c r="AXK5" s="59"/>
      <c r="AXL5" s="59"/>
      <c r="AXM5" s="59"/>
      <c r="AXN5" s="59"/>
      <c r="AXO5" s="59"/>
      <c r="AXP5" s="59"/>
      <c r="AXQ5" s="59"/>
      <c r="AXR5" s="59"/>
      <c r="AXS5" s="59"/>
      <c r="AXT5" s="59"/>
      <c r="AXU5" s="59"/>
      <c r="AXV5" s="59"/>
      <c r="AXW5" s="59"/>
      <c r="AXX5" s="59"/>
      <c r="AXY5" s="59"/>
      <c r="AXZ5" s="59"/>
      <c r="AYA5" s="59"/>
      <c r="AYB5" s="59"/>
      <c r="AYC5" s="59"/>
      <c r="AYD5" s="59"/>
      <c r="AYE5" s="59"/>
      <c r="AYF5" s="59"/>
      <c r="AYG5" s="59"/>
      <c r="AYH5" s="59"/>
      <c r="AYI5" s="59"/>
      <c r="AYJ5" s="59"/>
      <c r="AYK5" s="59"/>
      <c r="AYL5" s="59"/>
      <c r="AYM5" s="59"/>
      <c r="AYN5" s="59"/>
      <c r="AYO5" s="59"/>
      <c r="AYP5" s="59"/>
      <c r="AYQ5" s="59"/>
      <c r="AYR5" s="59"/>
      <c r="AYS5" s="59"/>
      <c r="AYT5" s="59"/>
      <c r="AYU5" s="59"/>
      <c r="AYV5" s="59"/>
      <c r="AYW5" s="59"/>
      <c r="AYX5" s="59"/>
      <c r="AYY5" s="59"/>
      <c r="AYZ5" s="59"/>
      <c r="AZA5" s="59"/>
      <c r="AZB5" s="59"/>
      <c r="AZC5" s="59"/>
      <c r="AZD5" s="59"/>
      <c r="AZE5" s="59"/>
      <c r="AZF5" s="59"/>
      <c r="AZG5" s="59"/>
      <c r="AZH5" s="59"/>
      <c r="AZI5" s="59"/>
      <c r="AZJ5" s="59"/>
      <c r="AZK5" s="59"/>
      <c r="AZL5" s="59"/>
      <c r="AZM5" s="59"/>
      <c r="AZN5" s="59"/>
      <c r="AZO5" s="59"/>
      <c r="AZP5" s="59"/>
      <c r="AZQ5" s="59"/>
      <c r="AZR5" s="59"/>
      <c r="AZS5" s="59"/>
      <c r="AZT5" s="59"/>
      <c r="AZU5" s="59"/>
      <c r="AZV5" s="59"/>
      <c r="AZW5" s="59"/>
      <c r="AZX5" s="59"/>
      <c r="AZY5" s="59"/>
      <c r="AZZ5" s="59"/>
      <c r="BAA5" s="59"/>
      <c r="BAB5" s="59"/>
      <c r="BAC5" s="59"/>
      <c r="BAD5" s="59"/>
      <c r="BAE5" s="59"/>
      <c r="BAF5" s="59"/>
      <c r="BAG5" s="59"/>
      <c r="BAH5" s="59"/>
      <c r="BAI5" s="59"/>
      <c r="BAJ5" s="59"/>
      <c r="BAK5" s="59"/>
      <c r="BAL5" s="59"/>
      <c r="BAM5" s="59"/>
      <c r="BAN5" s="59"/>
      <c r="BAO5" s="59"/>
      <c r="BAP5" s="59"/>
      <c r="BAQ5" s="59"/>
      <c r="BAR5" s="59"/>
      <c r="BAS5" s="59"/>
      <c r="BAT5" s="59"/>
      <c r="BAU5" s="59"/>
      <c r="BAV5" s="59"/>
      <c r="BAW5" s="59"/>
      <c r="BAX5" s="59"/>
      <c r="BAY5" s="59"/>
      <c r="BAZ5" s="59"/>
      <c r="BBA5" s="59"/>
      <c r="BBB5" s="59"/>
      <c r="BBC5" s="59"/>
      <c r="BBD5" s="59"/>
      <c r="BBE5" s="59"/>
      <c r="BBF5" s="59"/>
      <c r="BBG5" s="59"/>
      <c r="BBH5" s="59"/>
      <c r="BBI5" s="59"/>
      <c r="BBJ5" s="59"/>
      <c r="BBK5" s="59"/>
      <c r="BBL5" s="59"/>
      <c r="BBM5" s="59"/>
      <c r="BBN5" s="59"/>
      <c r="BBO5" s="59"/>
      <c r="BBP5" s="59"/>
      <c r="BBQ5" s="59"/>
      <c r="BBR5" s="59"/>
      <c r="BBS5" s="59"/>
      <c r="BBT5" s="59"/>
      <c r="BBU5" s="59"/>
      <c r="BBV5" s="59"/>
      <c r="BBW5" s="59"/>
      <c r="BBX5" s="59"/>
      <c r="BBY5" s="59"/>
      <c r="BBZ5" s="59"/>
      <c r="BCA5" s="59"/>
      <c r="BCB5" s="59"/>
      <c r="BCC5" s="59"/>
      <c r="BCD5" s="59"/>
      <c r="BCE5" s="59"/>
      <c r="BCF5" s="59"/>
      <c r="BCG5" s="59"/>
      <c r="BCH5" s="59"/>
      <c r="BCI5" s="59"/>
      <c r="BCJ5" s="59"/>
      <c r="BCK5" s="59"/>
      <c r="BCL5" s="59"/>
      <c r="BCM5" s="59"/>
      <c r="BCN5" s="59"/>
      <c r="BCO5" s="59"/>
      <c r="BCP5" s="59"/>
      <c r="BCQ5" s="59"/>
      <c r="BCR5" s="59"/>
      <c r="BCS5" s="59"/>
      <c r="BCT5" s="59"/>
      <c r="BCU5" s="59"/>
      <c r="BCV5" s="59"/>
      <c r="BCW5" s="59"/>
      <c r="BCX5" s="59"/>
      <c r="BCY5" s="59"/>
      <c r="BCZ5" s="59"/>
      <c r="BDA5" s="59"/>
      <c r="BDB5" s="59"/>
      <c r="BDC5" s="59"/>
      <c r="BDD5" s="59"/>
      <c r="BDE5" s="59"/>
      <c r="BDF5" s="59"/>
      <c r="BDG5" s="59"/>
      <c r="BDH5" s="59"/>
      <c r="BDI5" s="59"/>
      <c r="BDJ5" s="59"/>
      <c r="BDK5" s="59"/>
      <c r="BDL5" s="59"/>
      <c r="BDM5" s="59"/>
      <c r="BDN5" s="59"/>
      <c r="BDO5" s="59"/>
      <c r="BDP5" s="59"/>
      <c r="BDQ5" s="59"/>
      <c r="BDR5" s="59"/>
      <c r="BDS5" s="59"/>
      <c r="BDT5" s="59"/>
      <c r="BDU5" s="59"/>
      <c r="BDV5" s="59"/>
      <c r="BDW5" s="59"/>
      <c r="BDX5" s="59"/>
      <c r="BDY5" s="59"/>
      <c r="BDZ5" s="59"/>
      <c r="BEA5" s="59"/>
      <c r="BEB5" s="59"/>
      <c r="BEC5" s="59"/>
      <c r="BED5" s="59"/>
      <c r="BEE5" s="59"/>
      <c r="BEF5" s="59"/>
      <c r="BEG5" s="59"/>
      <c r="BEH5" s="59"/>
      <c r="BEI5" s="59"/>
      <c r="BEJ5" s="59"/>
      <c r="BEK5" s="59"/>
      <c r="BEL5" s="59"/>
      <c r="BEM5" s="59"/>
      <c r="BEN5" s="59"/>
      <c r="BEO5" s="59"/>
      <c r="BEP5" s="59"/>
      <c r="BEQ5" s="59"/>
      <c r="BER5" s="59"/>
      <c r="BES5" s="59"/>
      <c r="BET5" s="59"/>
      <c r="BEU5" s="59"/>
      <c r="BEV5" s="59"/>
      <c r="BEW5" s="59"/>
      <c r="BEX5" s="59"/>
      <c r="BEY5" s="59"/>
      <c r="BEZ5" s="59"/>
      <c r="BFA5" s="59"/>
      <c r="BFB5" s="59"/>
      <c r="BFC5" s="59"/>
      <c r="BFD5" s="59"/>
      <c r="BFE5" s="59"/>
      <c r="BFF5" s="59"/>
      <c r="BFG5" s="59"/>
      <c r="BFH5" s="59"/>
      <c r="BFI5" s="59"/>
      <c r="BFJ5" s="59"/>
      <c r="BFK5" s="59"/>
      <c r="BFL5" s="59"/>
      <c r="BFM5" s="59"/>
      <c r="BFN5" s="59"/>
      <c r="BFO5" s="59"/>
      <c r="BFP5" s="59"/>
      <c r="BFQ5" s="59"/>
      <c r="BFR5" s="59"/>
      <c r="BFS5" s="59"/>
      <c r="BFT5" s="59"/>
      <c r="BFU5" s="59"/>
      <c r="BFV5" s="59"/>
      <c r="BFW5" s="59"/>
      <c r="BFX5" s="59"/>
      <c r="BFY5" s="59"/>
      <c r="BFZ5" s="59"/>
      <c r="BGA5" s="59"/>
      <c r="BGB5" s="59"/>
      <c r="BGC5" s="59"/>
      <c r="BGD5" s="59"/>
      <c r="BGE5" s="59"/>
      <c r="BGF5" s="59"/>
      <c r="BGG5" s="59"/>
      <c r="BGH5" s="59"/>
      <c r="BGI5" s="59"/>
      <c r="BGJ5" s="59"/>
      <c r="BGK5" s="59"/>
      <c r="BGL5" s="59"/>
      <c r="BGM5" s="59"/>
      <c r="BGN5" s="59"/>
      <c r="BGO5" s="59"/>
      <c r="BGP5" s="59"/>
      <c r="BGQ5" s="59"/>
      <c r="BGR5" s="59"/>
      <c r="BGS5" s="59"/>
      <c r="BGT5" s="59"/>
      <c r="BGU5" s="59"/>
      <c r="BGV5" s="59"/>
      <c r="BGW5" s="59"/>
      <c r="BGX5" s="59"/>
      <c r="BGY5" s="59"/>
      <c r="BGZ5" s="59"/>
      <c r="BHA5" s="59"/>
      <c r="BHB5" s="59"/>
      <c r="BHC5" s="59"/>
      <c r="BHD5" s="59"/>
      <c r="BHE5" s="59"/>
      <c r="BHF5" s="59"/>
      <c r="BHG5" s="59"/>
      <c r="BHH5" s="59"/>
      <c r="BHI5" s="59"/>
      <c r="BHJ5" s="59"/>
      <c r="BHK5" s="59"/>
      <c r="BHL5" s="59"/>
      <c r="BHM5" s="59"/>
      <c r="BHN5" s="59"/>
      <c r="BHO5" s="59"/>
      <c r="BHP5" s="59"/>
      <c r="BHQ5" s="59"/>
      <c r="BHR5" s="59"/>
      <c r="BHS5" s="59"/>
      <c r="BHT5" s="59"/>
      <c r="BHU5" s="59"/>
      <c r="BHV5" s="59"/>
      <c r="BHW5" s="59"/>
      <c r="BHX5" s="59"/>
      <c r="BHY5" s="59"/>
      <c r="BHZ5" s="59"/>
      <c r="BIA5" s="59"/>
      <c r="BIB5" s="59"/>
      <c r="BIC5" s="59"/>
      <c r="BID5" s="59"/>
      <c r="BIE5" s="59"/>
      <c r="BIF5" s="59"/>
      <c r="BIG5" s="59"/>
      <c r="BIH5" s="59"/>
      <c r="BII5" s="59"/>
      <c r="BIJ5" s="59"/>
      <c r="BIK5" s="59"/>
      <c r="BIL5" s="59"/>
      <c r="BIM5" s="59"/>
      <c r="BIN5" s="59"/>
      <c r="BIO5" s="59"/>
      <c r="BIP5" s="59"/>
      <c r="BIQ5" s="59"/>
      <c r="BIR5" s="59"/>
      <c r="BIS5" s="59"/>
      <c r="BIT5" s="59"/>
      <c r="BIU5" s="59"/>
      <c r="BIV5" s="59"/>
      <c r="BIW5" s="59"/>
      <c r="BIX5" s="59"/>
      <c r="BIY5" s="59"/>
      <c r="BIZ5" s="59"/>
      <c r="BJA5" s="59"/>
      <c r="BJB5" s="59"/>
      <c r="BJC5" s="59"/>
      <c r="BJD5" s="59"/>
      <c r="BJE5" s="59"/>
      <c r="BJF5" s="59"/>
      <c r="BJG5" s="59"/>
      <c r="BJH5" s="59"/>
      <c r="BJI5" s="59"/>
      <c r="BJJ5" s="59"/>
      <c r="BJK5" s="59"/>
      <c r="BJL5" s="59"/>
      <c r="BJM5" s="59"/>
      <c r="BJN5" s="59"/>
      <c r="BJO5" s="59"/>
      <c r="BJP5" s="59"/>
      <c r="BJQ5" s="59"/>
      <c r="BJR5" s="59"/>
      <c r="BJS5" s="59"/>
      <c r="BJT5" s="59"/>
      <c r="BJU5" s="59"/>
      <c r="BJV5" s="59"/>
      <c r="BJW5" s="59"/>
      <c r="BJX5" s="59"/>
      <c r="BJY5" s="59"/>
      <c r="BJZ5" s="59"/>
      <c r="BKA5" s="59"/>
      <c r="BKB5" s="59"/>
      <c r="BKC5" s="59"/>
      <c r="BKD5" s="59"/>
      <c r="BKE5" s="59"/>
      <c r="BKF5" s="59"/>
      <c r="BKG5" s="59"/>
      <c r="BKH5" s="59"/>
      <c r="BKI5" s="59"/>
      <c r="BKJ5" s="59"/>
      <c r="BKK5" s="59"/>
      <c r="BKL5" s="59"/>
      <c r="BKM5" s="59"/>
      <c r="BKN5" s="59"/>
      <c r="BKO5" s="59"/>
      <c r="BKP5" s="59"/>
      <c r="BKQ5" s="59"/>
      <c r="BKR5" s="59"/>
      <c r="BKS5" s="59"/>
      <c r="BKT5" s="59"/>
      <c r="BKU5" s="59"/>
      <c r="BKV5" s="59"/>
      <c r="BKW5" s="59"/>
      <c r="BKX5" s="59"/>
      <c r="BKY5" s="59"/>
      <c r="BKZ5" s="59"/>
      <c r="BLA5" s="59"/>
      <c r="BLB5" s="59"/>
      <c r="BLC5" s="59"/>
      <c r="BLD5" s="59"/>
      <c r="BLE5" s="59"/>
      <c r="BLF5" s="59"/>
      <c r="BLG5" s="59"/>
      <c r="BLH5" s="59"/>
      <c r="BLI5" s="59"/>
      <c r="BLJ5" s="59"/>
      <c r="BLK5" s="59"/>
      <c r="BLL5" s="59"/>
      <c r="BLM5" s="59"/>
      <c r="BLN5" s="59"/>
      <c r="BLO5" s="59"/>
      <c r="BLP5" s="59"/>
      <c r="BLQ5" s="59"/>
      <c r="BLR5" s="59"/>
      <c r="BLS5" s="59"/>
      <c r="BLT5" s="59"/>
      <c r="BLU5" s="59"/>
      <c r="BLV5" s="59"/>
      <c r="BLW5" s="59"/>
      <c r="BLX5" s="59"/>
      <c r="BLY5" s="59"/>
      <c r="BLZ5" s="59"/>
      <c r="BMA5" s="59"/>
      <c r="BMB5" s="59"/>
      <c r="BMC5" s="59"/>
      <c r="BMD5" s="59"/>
      <c r="BME5" s="59"/>
      <c r="BMF5" s="59"/>
      <c r="BMG5" s="59"/>
      <c r="BMH5" s="59"/>
      <c r="BMI5" s="59"/>
      <c r="BMJ5" s="59"/>
      <c r="BMK5" s="59"/>
      <c r="BML5" s="59"/>
      <c r="BMM5" s="59"/>
      <c r="BMN5" s="59"/>
      <c r="BMO5" s="59"/>
      <c r="BMP5" s="59"/>
      <c r="BMQ5" s="59"/>
      <c r="BMR5" s="59"/>
      <c r="BMS5" s="59"/>
      <c r="BMT5" s="59"/>
      <c r="BMU5" s="59"/>
      <c r="BMV5" s="59"/>
      <c r="BMW5" s="59"/>
      <c r="BMX5" s="59"/>
      <c r="BMY5" s="59"/>
      <c r="BMZ5" s="59"/>
      <c r="BNA5" s="59"/>
      <c r="BNB5" s="59"/>
      <c r="BNC5" s="59"/>
      <c r="BND5" s="59"/>
      <c r="BNE5" s="59"/>
      <c r="BNF5" s="59"/>
      <c r="BNG5" s="59"/>
      <c r="BNH5" s="59"/>
      <c r="BNI5" s="59"/>
      <c r="BNJ5" s="59"/>
      <c r="BNK5" s="59"/>
      <c r="BNL5" s="59"/>
      <c r="BNM5" s="59"/>
      <c r="BNN5" s="59"/>
      <c r="BNO5" s="59"/>
      <c r="BNP5" s="59"/>
      <c r="BNQ5" s="59"/>
      <c r="BNR5" s="59"/>
      <c r="BNS5" s="59"/>
      <c r="BNT5" s="59"/>
      <c r="BNU5" s="59"/>
      <c r="BNV5" s="59"/>
      <c r="BNW5" s="59"/>
      <c r="BNX5" s="59"/>
      <c r="BNY5" s="59"/>
      <c r="BNZ5" s="59"/>
      <c r="BOA5" s="59"/>
      <c r="BOB5" s="59"/>
      <c r="BOC5" s="59"/>
      <c r="BOD5" s="59"/>
      <c r="BOE5" s="59"/>
      <c r="BOF5" s="59"/>
      <c r="BOG5" s="59"/>
      <c r="BOH5" s="59"/>
      <c r="BOI5" s="59"/>
      <c r="BOJ5" s="59"/>
      <c r="BOK5" s="59"/>
      <c r="BOL5" s="59"/>
      <c r="BOM5" s="59"/>
      <c r="BON5" s="59"/>
      <c r="BOO5" s="59"/>
      <c r="BOP5" s="59"/>
      <c r="BOQ5" s="59"/>
      <c r="BOR5" s="59"/>
      <c r="BOS5" s="59"/>
      <c r="BOT5" s="59"/>
      <c r="BOU5" s="59"/>
      <c r="BOV5" s="59"/>
      <c r="BOW5" s="59"/>
      <c r="BOX5" s="59"/>
      <c r="BOY5" s="59"/>
      <c r="BOZ5" s="59"/>
      <c r="BPA5" s="59"/>
      <c r="BPB5" s="59"/>
      <c r="BPC5" s="59"/>
      <c r="BPD5" s="59"/>
      <c r="BPE5" s="59"/>
      <c r="BPF5" s="59"/>
      <c r="BPG5" s="59"/>
      <c r="BPH5" s="59"/>
      <c r="BPI5" s="59"/>
      <c r="BPJ5" s="59"/>
      <c r="BPK5" s="59"/>
      <c r="BPL5" s="59"/>
      <c r="BPM5" s="59"/>
      <c r="BPN5" s="59"/>
      <c r="BPO5" s="59"/>
      <c r="BPP5" s="59"/>
      <c r="BPQ5" s="59"/>
      <c r="BPR5" s="59"/>
      <c r="BPS5" s="59"/>
      <c r="BPT5" s="59"/>
      <c r="BPU5" s="59"/>
      <c r="BPV5" s="59"/>
      <c r="BPW5" s="59"/>
      <c r="BPX5" s="59"/>
      <c r="BPY5" s="59"/>
      <c r="BPZ5" s="59"/>
      <c r="BQA5" s="59"/>
      <c r="BQB5" s="59"/>
      <c r="BQC5" s="59"/>
      <c r="BQD5" s="59"/>
      <c r="BQE5" s="59"/>
      <c r="BQF5" s="59"/>
      <c r="BQG5" s="59"/>
      <c r="BQH5" s="59"/>
      <c r="BQI5" s="59"/>
      <c r="BQJ5" s="59"/>
      <c r="BQK5" s="59"/>
      <c r="BQL5" s="59"/>
      <c r="BQM5" s="59"/>
      <c r="BQN5" s="59"/>
      <c r="BQO5" s="59"/>
      <c r="BQP5" s="59"/>
      <c r="BQQ5" s="59"/>
      <c r="BQR5" s="59"/>
      <c r="BQS5" s="59"/>
      <c r="BQT5" s="59"/>
      <c r="BQU5" s="59"/>
      <c r="BQV5" s="59"/>
      <c r="BQW5" s="59"/>
      <c r="BQX5" s="59"/>
      <c r="BQY5" s="59"/>
      <c r="BQZ5" s="59"/>
      <c r="BRA5" s="59"/>
      <c r="BRB5" s="59"/>
      <c r="BRC5" s="59"/>
      <c r="BRD5" s="59"/>
      <c r="BRE5" s="59"/>
      <c r="BRF5" s="59"/>
      <c r="BRG5" s="59"/>
      <c r="BRH5" s="59"/>
      <c r="BRI5" s="59"/>
      <c r="BRJ5" s="59"/>
      <c r="BRK5" s="59"/>
      <c r="BRL5" s="59"/>
      <c r="BRM5" s="59"/>
      <c r="BRN5" s="59"/>
      <c r="BRO5" s="59"/>
      <c r="BRP5" s="59"/>
      <c r="BRQ5" s="59"/>
      <c r="BRR5" s="59"/>
      <c r="BRS5" s="59"/>
      <c r="BRT5" s="59"/>
      <c r="BRU5" s="59"/>
      <c r="BRV5" s="59"/>
      <c r="BRW5" s="59"/>
      <c r="BRX5" s="59"/>
      <c r="BRY5" s="59"/>
      <c r="BRZ5" s="59"/>
      <c r="BSA5" s="59"/>
      <c r="BSB5" s="59"/>
      <c r="BSC5" s="59"/>
      <c r="BSD5" s="59"/>
      <c r="BSE5" s="59"/>
      <c r="BSF5" s="59"/>
      <c r="BSG5" s="59"/>
      <c r="BSH5" s="59"/>
      <c r="BSI5" s="59"/>
      <c r="BSJ5" s="59"/>
      <c r="BSK5" s="59"/>
      <c r="BSL5" s="59"/>
      <c r="BSM5" s="59"/>
      <c r="BSN5" s="59"/>
      <c r="BSO5" s="59"/>
      <c r="BSP5" s="59"/>
      <c r="BSQ5" s="59"/>
      <c r="BSR5" s="59"/>
      <c r="BSS5" s="59"/>
      <c r="BST5" s="59"/>
      <c r="BSU5" s="59"/>
      <c r="BSV5" s="59"/>
      <c r="BSW5" s="59"/>
      <c r="BSX5" s="59"/>
      <c r="BSY5" s="59"/>
      <c r="BSZ5" s="59"/>
      <c r="BTA5" s="59"/>
      <c r="BTB5" s="59"/>
      <c r="BTC5" s="59"/>
      <c r="BTD5" s="59"/>
      <c r="BTE5" s="59"/>
      <c r="BTF5" s="59"/>
      <c r="BTG5" s="59"/>
      <c r="BTH5" s="59"/>
      <c r="BTI5" s="59"/>
      <c r="BTJ5" s="59"/>
      <c r="BTK5" s="59"/>
      <c r="BTL5" s="59"/>
      <c r="BTM5" s="59"/>
      <c r="BTN5" s="59"/>
      <c r="BTO5" s="59"/>
      <c r="BTP5" s="59"/>
      <c r="BTQ5" s="59"/>
      <c r="BTR5" s="59"/>
      <c r="BTS5" s="59"/>
      <c r="BTT5" s="59"/>
      <c r="BTU5" s="59"/>
      <c r="BTV5" s="59"/>
      <c r="BTW5" s="59"/>
      <c r="BTX5" s="59"/>
      <c r="BTY5" s="59"/>
      <c r="BTZ5" s="59"/>
      <c r="BUA5" s="59"/>
      <c r="BUB5" s="59"/>
      <c r="BUC5" s="59"/>
      <c r="BUD5" s="59"/>
      <c r="BUE5" s="59"/>
      <c r="BUF5" s="59"/>
      <c r="BUG5" s="59"/>
      <c r="BUH5" s="59"/>
      <c r="BUI5" s="59"/>
      <c r="BUJ5" s="59"/>
      <c r="BUK5" s="59"/>
      <c r="BUL5" s="59"/>
      <c r="BUM5" s="59"/>
      <c r="BUN5" s="59"/>
      <c r="BUO5" s="59"/>
      <c r="BUP5" s="59"/>
      <c r="BUQ5" s="59"/>
      <c r="BUR5" s="59"/>
      <c r="BUS5" s="59"/>
      <c r="BUT5" s="59"/>
      <c r="BUU5" s="59"/>
      <c r="BUV5" s="59"/>
      <c r="BUW5" s="59"/>
      <c r="BUX5" s="59"/>
      <c r="BUY5" s="59"/>
      <c r="BUZ5" s="59"/>
      <c r="BVA5" s="59"/>
      <c r="BVB5" s="59"/>
      <c r="BVC5" s="59"/>
      <c r="BVD5" s="59"/>
      <c r="BVE5" s="59"/>
      <c r="BVF5" s="59"/>
      <c r="BVG5" s="59"/>
      <c r="BVH5" s="59"/>
      <c r="BVI5" s="59"/>
      <c r="BVJ5" s="59"/>
      <c r="BVK5" s="59"/>
      <c r="BVL5" s="59"/>
      <c r="BVM5" s="59"/>
      <c r="BVN5" s="59"/>
      <c r="BVO5" s="59"/>
      <c r="BVP5" s="59"/>
      <c r="BVQ5" s="59"/>
      <c r="BVR5" s="59"/>
      <c r="BVS5" s="59"/>
      <c r="BVT5" s="59"/>
      <c r="BVU5" s="59"/>
      <c r="BVV5" s="59"/>
      <c r="BVW5" s="59"/>
      <c r="BVX5" s="59"/>
      <c r="BVY5" s="59"/>
      <c r="BVZ5" s="59"/>
      <c r="BWA5" s="59"/>
      <c r="BWB5" s="59"/>
      <c r="BWC5" s="59"/>
      <c r="BWD5" s="59"/>
      <c r="BWE5" s="59"/>
      <c r="BWF5" s="59"/>
      <c r="BWG5" s="59"/>
      <c r="BWH5" s="59"/>
      <c r="BWI5" s="59"/>
      <c r="BWJ5" s="59"/>
      <c r="BWK5" s="59"/>
      <c r="BWL5" s="59"/>
      <c r="BWM5" s="59"/>
      <c r="BWN5" s="59"/>
      <c r="BWO5" s="59"/>
      <c r="BWP5" s="59"/>
      <c r="BWQ5" s="59"/>
      <c r="BWR5" s="59"/>
      <c r="BWS5" s="59"/>
      <c r="BWT5" s="59"/>
      <c r="BWU5" s="59"/>
      <c r="BWV5" s="59"/>
      <c r="BWW5" s="59"/>
      <c r="BWX5" s="59"/>
      <c r="BWY5" s="59"/>
      <c r="BWZ5" s="59"/>
      <c r="BXA5" s="59"/>
      <c r="BXB5" s="59"/>
      <c r="BXC5" s="59"/>
      <c r="BXD5" s="59"/>
      <c r="BXE5" s="59"/>
      <c r="BXF5" s="59"/>
      <c r="BXG5" s="59"/>
      <c r="BXH5" s="59"/>
      <c r="BXI5" s="59"/>
      <c r="BXJ5" s="59"/>
      <c r="BXK5" s="59"/>
      <c r="BXL5" s="59"/>
      <c r="BXM5" s="59"/>
      <c r="BXN5" s="59"/>
      <c r="BXO5" s="59"/>
      <c r="BXP5" s="59"/>
      <c r="BXQ5" s="59"/>
      <c r="BXR5" s="59"/>
      <c r="BXS5" s="59"/>
      <c r="BXT5" s="59"/>
      <c r="BXU5" s="59"/>
      <c r="BXV5" s="59"/>
      <c r="BXW5" s="59"/>
      <c r="BXX5" s="59"/>
      <c r="BXY5" s="59"/>
      <c r="BXZ5" s="59"/>
      <c r="BYA5" s="59"/>
      <c r="BYB5" s="59"/>
      <c r="BYC5" s="59"/>
      <c r="BYD5" s="59"/>
      <c r="BYE5" s="59"/>
      <c r="BYF5" s="59"/>
      <c r="BYG5" s="59"/>
      <c r="BYH5" s="59"/>
      <c r="BYI5" s="59"/>
      <c r="BYJ5" s="59"/>
      <c r="BYK5" s="59"/>
      <c r="BYL5" s="59"/>
      <c r="BYM5" s="59"/>
      <c r="BYN5" s="59"/>
      <c r="BYO5" s="59"/>
      <c r="BYP5" s="59"/>
      <c r="BYQ5" s="59"/>
      <c r="BYR5" s="59"/>
      <c r="BYS5" s="59"/>
      <c r="BYT5" s="59"/>
      <c r="BYU5" s="59"/>
      <c r="BYV5" s="59"/>
      <c r="BYW5" s="59"/>
      <c r="BYX5" s="59"/>
      <c r="BYY5" s="59"/>
      <c r="BYZ5" s="59"/>
      <c r="BZA5" s="59"/>
      <c r="BZB5" s="59"/>
      <c r="BZC5" s="59"/>
      <c r="BZD5" s="59"/>
      <c r="BZE5" s="59"/>
      <c r="BZF5" s="59"/>
      <c r="BZG5" s="59"/>
      <c r="BZH5" s="59"/>
      <c r="BZI5" s="59"/>
      <c r="BZJ5" s="59"/>
      <c r="BZK5" s="59"/>
      <c r="BZL5" s="59"/>
      <c r="BZM5" s="59"/>
      <c r="BZN5" s="59"/>
      <c r="BZO5" s="59"/>
      <c r="BZP5" s="59"/>
      <c r="BZQ5" s="59"/>
      <c r="BZR5" s="59"/>
      <c r="BZS5" s="59"/>
      <c r="BZT5" s="59"/>
      <c r="BZU5" s="59"/>
      <c r="BZV5" s="59"/>
      <c r="BZW5" s="59"/>
      <c r="BZX5" s="59"/>
      <c r="BZY5" s="59"/>
      <c r="BZZ5" s="59"/>
      <c r="CAA5" s="59"/>
      <c r="CAB5" s="59"/>
      <c r="CAC5" s="59"/>
      <c r="CAD5" s="59"/>
      <c r="CAE5" s="59"/>
      <c r="CAF5" s="59"/>
      <c r="CAG5" s="59"/>
      <c r="CAH5" s="59"/>
      <c r="CAI5" s="59"/>
      <c r="CAJ5" s="59"/>
      <c r="CAK5" s="59"/>
      <c r="CAL5" s="59"/>
      <c r="CAM5" s="59"/>
      <c r="CAN5" s="59"/>
      <c r="CAO5" s="59"/>
      <c r="CAP5" s="59"/>
      <c r="CAQ5" s="59"/>
      <c r="CAR5" s="59"/>
      <c r="CAS5" s="59"/>
      <c r="CAT5" s="59"/>
      <c r="CAU5" s="59"/>
      <c r="CAV5" s="59"/>
      <c r="CAW5" s="59"/>
      <c r="CAX5" s="59"/>
      <c r="CAY5" s="59"/>
      <c r="CAZ5" s="59"/>
      <c r="CBA5" s="59"/>
      <c r="CBB5" s="59"/>
      <c r="CBC5" s="59"/>
      <c r="CBD5" s="59"/>
      <c r="CBE5" s="59"/>
      <c r="CBF5" s="59"/>
      <c r="CBG5" s="59"/>
      <c r="CBH5" s="59"/>
      <c r="CBI5" s="59"/>
      <c r="CBJ5" s="59"/>
      <c r="CBK5" s="59"/>
      <c r="CBL5" s="59"/>
      <c r="CBM5" s="59"/>
      <c r="CBN5" s="59"/>
      <c r="CBO5" s="59"/>
      <c r="CBP5" s="59"/>
      <c r="CBQ5" s="59"/>
      <c r="CBR5" s="59"/>
      <c r="CBS5" s="59"/>
      <c r="CBT5" s="59"/>
      <c r="CBU5" s="59"/>
      <c r="CBV5" s="59"/>
      <c r="CBW5" s="59"/>
      <c r="CBX5" s="59"/>
      <c r="CBY5" s="59"/>
      <c r="CBZ5" s="59"/>
      <c r="CCA5" s="59"/>
      <c r="CCB5" s="59"/>
      <c r="CCC5" s="59"/>
      <c r="CCD5" s="59"/>
      <c r="CCE5" s="59"/>
      <c r="CCF5" s="59"/>
      <c r="CCG5" s="59"/>
      <c r="CCH5" s="59"/>
      <c r="CCI5" s="59"/>
      <c r="CCJ5" s="59"/>
      <c r="CCK5" s="59"/>
      <c r="CCL5" s="59"/>
      <c r="CCM5" s="59"/>
      <c r="CCN5" s="59"/>
      <c r="CCO5" s="59"/>
      <c r="CCP5" s="59"/>
      <c r="CCQ5" s="59"/>
      <c r="CCR5" s="59"/>
      <c r="CCS5" s="59"/>
      <c r="CCT5" s="59"/>
      <c r="CCU5" s="59"/>
      <c r="CCV5" s="59"/>
      <c r="CCW5" s="59"/>
      <c r="CCX5" s="59"/>
      <c r="CCY5" s="59"/>
      <c r="CCZ5" s="59"/>
      <c r="CDA5" s="59"/>
      <c r="CDB5" s="59"/>
      <c r="CDC5" s="59"/>
      <c r="CDD5" s="59"/>
      <c r="CDE5" s="59"/>
      <c r="CDF5" s="59"/>
      <c r="CDG5" s="59"/>
      <c r="CDH5" s="59"/>
      <c r="CDI5" s="59"/>
      <c r="CDJ5" s="59"/>
      <c r="CDK5" s="59"/>
      <c r="CDL5" s="59"/>
      <c r="CDM5" s="59"/>
      <c r="CDN5" s="59"/>
      <c r="CDO5" s="59"/>
      <c r="CDP5" s="59"/>
      <c r="CDQ5" s="59"/>
      <c r="CDR5" s="59"/>
      <c r="CDS5" s="59"/>
      <c r="CDT5" s="59"/>
      <c r="CDU5" s="59"/>
      <c r="CDV5" s="59"/>
      <c r="CDW5" s="59"/>
      <c r="CDX5" s="59"/>
      <c r="CDY5" s="59"/>
      <c r="CDZ5" s="59"/>
      <c r="CEA5" s="59"/>
      <c r="CEB5" s="59"/>
      <c r="CEC5" s="59"/>
      <c r="CED5" s="59"/>
      <c r="CEE5" s="59"/>
      <c r="CEF5" s="59"/>
      <c r="CEG5" s="59"/>
      <c r="CEH5" s="59"/>
      <c r="CEI5" s="59"/>
      <c r="CEJ5" s="59"/>
      <c r="CEK5" s="59"/>
      <c r="CEL5" s="59"/>
      <c r="CEM5" s="59"/>
      <c r="CEN5" s="59"/>
      <c r="CEO5" s="59"/>
      <c r="CEP5" s="59"/>
      <c r="CEQ5" s="59"/>
      <c r="CER5" s="59"/>
      <c r="CES5" s="59"/>
      <c r="CET5" s="59"/>
      <c r="CEU5" s="59"/>
      <c r="CEV5" s="59"/>
      <c r="CEW5" s="59"/>
      <c r="CEX5" s="59"/>
      <c r="CEY5" s="59"/>
      <c r="CEZ5" s="59"/>
      <c r="CFA5" s="59"/>
      <c r="CFB5" s="59"/>
      <c r="CFC5" s="59"/>
      <c r="CFD5" s="59"/>
      <c r="CFE5" s="59"/>
      <c r="CFF5" s="59"/>
      <c r="CFG5" s="59"/>
      <c r="CFH5" s="59"/>
      <c r="CFI5" s="59"/>
      <c r="CFJ5" s="59"/>
      <c r="CFK5" s="59"/>
      <c r="CFL5" s="59"/>
      <c r="CFM5" s="59"/>
      <c r="CFN5" s="59"/>
      <c r="CFO5" s="59"/>
      <c r="CFP5" s="59"/>
      <c r="CFQ5" s="59"/>
      <c r="CFR5" s="59"/>
      <c r="CFS5" s="59"/>
      <c r="CFT5" s="59"/>
      <c r="CFU5" s="59"/>
      <c r="CFV5" s="59"/>
      <c r="CFW5" s="59"/>
      <c r="CFX5" s="59"/>
      <c r="CFY5" s="59"/>
      <c r="CFZ5" s="59"/>
      <c r="CGA5" s="59"/>
      <c r="CGB5" s="59"/>
      <c r="CGC5" s="59"/>
      <c r="CGD5" s="59"/>
      <c r="CGE5" s="59"/>
      <c r="CGF5" s="59"/>
      <c r="CGG5" s="59"/>
      <c r="CGH5" s="59"/>
      <c r="CGI5" s="59"/>
      <c r="CGJ5" s="59"/>
      <c r="CGK5" s="59"/>
      <c r="CGL5" s="59"/>
      <c r="CGM5" s="59"/>
      <c r="CGN5" s="59"/>
      <c r="CGO5" s="59"/>
      <c r="CGP5" s="59"/>
      <c r="CGQ5" s="59"/>
      <c r="CGR5" s="59"/>
      <c r="CGS5" s="59"/>
      <c r="CGT5" s="59"/>
      <c r="CGU5" s="59"/>
      <c r="CGV5" s="59"/>
      <c r="CGW5" s="59"/>
      <c r="CGX5" s="59"/>
      <c r="CGY5" s="59"/>
      <c r="CGZ5" s="59"/>
      <c r="CHA5" s="59"/>
      <c r="CHB5" s="59"/>
      <c r="CHC5" s="59"/>
      <c r="CHD5" s="59"/>
      <c r="CHE5" s="59"/>
      <c r="CHF5" s="59"/>
      <c r="CHG5" s="59"/>
      <c r="CHH5" s="59"/>
      <c r="CHI5" s="59"/>
      <c r="CHJ5" s="59"/>
      <c r="CHK5" s="59"/>
      <c r="CHL5" s="59"/>
      <c r="CHM5" s="59"/>
      <c r="CHN5" s="59"/>
      <c r="CHO5" s="59"/>
      <c r="CHP5" s="59"/>
      <c r="CHQ5" s="59"/>
      <c r="CHR5" s="59"/>
      <c r="CHS5" s="59"/>
      <c r="CHT5" s="59"/>
      <c r="CHU5" s="59"/>
      <c r="CHV5" s="59"/>
      <c r="CHW5" s="59"/>
      <c r="CHX5" s="59"/>
      <c r="CHY5" s="59"/>
      <c r="CHZ5" s="59"/>
      <c r="CIA5" s="59"/>
      <c r="CIB5" s="59"/>
      <c r="CIC5" s="59"/>
      <c r="CID5" s="59"/>
      <c r="CIE5" s="59"/>
      <c r="CIF5" s="59"/>
      <c r="CIG5" s="59"/>
      <c r="CIH5" s="59"/>
      <c r="CII5" s="59"/>
      <c r="CIJ5" s="59"/>
      <c r="CIK5" s="59"/>
      <c r="CIL5" s="59"/>
      <c r="CIM5" s="59"/>
      <c r="CIN5" s="59"/>
      <c r="CIO5" s="59"/>
      <c r="CIP5" s="59"/>
      <c r="CIQ5" s="59"/>
      <c r="CIR5" s="59"/>
      <c r="CIS5" s="59"/>
      <c r="CIT5" s="59"/>
      <c r="CIU5" s="59"/>
      <c r="CIV5" s="59"/>
      <c r="CIW5" s="59"/>
      <c r="CIX5" s="59"/>
      <c r="CIY5" s="59"/>
      <c r="CIZ5" s="59"/>
      <c r="CJA5" s="59"/>
      <c r="CJB5" s="59"/>
      <c r="CJC5" s="59"/>
      <c r="CJD5" s="59"/>
      <c r="CJE5" s="59"/>
      <c r="CJF5" s="59"/>
      <c r="CJG5" s="59"/>
      <c r="CJH5" s="59"/>
      <c r="CJI5" s="59"/>
      <c r="CJJ5" s="59"/>
      <c r="CJK5" s="59"/>
      <c r="CJL5" s="59"/>
      <c r="CJM5" s="59"/>
      <c r="CJN5" s="59"/>
      <c r="CJO5" s="59"/>
      <c r="CJP5" s="59"/>
      <c r="CJQ5" s="59"/>
      <c r="CJR5" s="59"/>
      <c r="CJS5" s="59"/>
      <c r="CJT5" s="59"/>
      <c r="CJU5" s="59"/>
      <c r="CJV5" s="59"/>
      <c r="CJW5" s="59"/>
      <c r="CJX5" s="59"/>
      <c r="CJY5" s="59"/>
      <c r="CJZ5" s="59"/>
      <c r="CKA5" s="59"/>
      <c r="CKB5" s="59"/>
      <c r="CKC5" s="59"/>
      <c r="CKD5" s="59"/>
      <c r="CKE5" s="59"/>
      <c r="CKF5" s="59"/>
      <c r="CKG5" s="59"/>
      <c r="CKH5" s="59"/>
      <c r="CKI5" s="59"/>
      <c r="CKJ5" s="59"/>
      <c r="CKK5" s="59"/>
      <c r="CKL5" s="59"/>
      <c r="CKM5" s="59"/>
      <c r="CKN5" s="59"/>
      <c r="CKO5" s="59"/>
      <c r="CKP5" s="59"/>
      <c r="CKQ5" s="59"/>
      <c r="CKR5" s="59"/>
      <c r="CKS5" s="59"/>
      <c r="CKT5" s="59"/>
      <c r="CKU5" s="59"/>
      <c r="CKV5" s="59"/>
      <c r="CKW5" s="59"/>
      <c r="CKX5" s="59"/>
      <c r="CKY5" s="59"/>
      <c r="CKZ5" s="59"/>
      <c r="CLA5" s="59"/>
      <c r="CLB5" s="59"/>
      <c r="CLC5" s="59"/>
      <c r="CLD5" s="59"/>
      <c r="CLE5" s="59"/>
      <c r="CLF5" s="59"/>
      <c r="CLG5" s="59"/>
      <c r="CLH5" s="59"/>
      <c r="CLI5" s="59"/>
      <c r="CLJ5" s="59"/>
      <c r="CLK5" s="59"/>
      <c r="CLL5" s="59"/>
      <c r="CLM5" s="59"/>
      <c r="CLN5" s="59"/>
      <c r="CLO5" s="59"/>
      <c r="CLP5" s="59"/>
      <c r="CLQ5" s="59"/>
      <c r="CLR5" s="59"/>
      <c r="CLS5" s="59"/>
      <c r="CLT5" s="59"/>
      <c r="CLU5" s="59"/>
      <c r="CLV5" s="59"/>
      <c r="CLW5" s="59"/>
      <c r="CLX5" s="59"/>
      <c r="CLY5" s="59"/>
      <c r="CLZ5" s="59"/>
      <c r="CMA5" s="59"/>
      <c r="CMB5" s="59"/>
      <c r="CMC5" s="59"/>
      <c r="CMD5" s="59"/>
      <c r="CME5" s="59"/>
      <c r="CMF5" s="59"/>
      <c r="CMG5" s="59"/>
      <c r="CMH5" s="59"/>
      <c r="CMI5" s="59"/>
      <c r="CMJ5" s="59"/>
      <c r="CMK5" s="59"/>
      <c r="CML5" s="59"/>
      <c r="CMM5" s="59"/>
      <c r="CMN5" s="59"/>
      <c r="CMO5" s="59"/>
      <c r="CMP5" s="59"/>
      <c r="CMQ5" s="59"/>
      <c r="CMR5" s="59"/>
      <c r="CMS5" s="59"/>
      <c r="CMT5" s="59"/>
      <c r="CMU5" s="59"/>
      <c r="CMV5" s="59"/>
      <c r="CMW5" s="59"/>
      <c r="CMX5" s="59"/>
      <c r="CMY5" s="59"/>
      <c r="CMZ5" s="59"/>
      <c r="CNA5" s="59"/>
      <c r="CNB5" s="59"/>
      <c r="CNC5" s="59"/>
      <c r="CND5" s="59"/>
      <c r="CNE5" s="59"/>
      <c r="CNF5" s="59"/>
      <c r="CNG5" s="59"/>
      <c r="CNH5" s="59"/>
      <c r="CNI5" s="59"/>
      <c r="CNJ5" s="59"/>
      <c r="CNK5" s="59"/>
      <c r="CNL5" s="59"/>
      <c r="CNM5" s="59"/>
      <c r="CNN5" s="59"/>
      <c r="CNO5" s="59"/>
      <c r="CNP5" s="59"/>
      <c r="CNQ5" s="59"/>
      <c r="CNR5" s="59"/>
      <c r="CNS5" s="59"/>
      <c r="CNT5" s="59"/>
      <c r="CNU5" s="59"/>
      <c r="CNV5" s="59"/>
      <c r="CNW5" s="59"/>
      <c r="CNX5" s="59"/>
      <c r="CNY5" s="59"/>
      <c r="CNZ5" s="59"/>
      <c r="COA5" s="59"/>
      <c r="COB5" s="59"/>
      <c r="COC5" s="59"/>
      <c r="COD5" s="59"/>
      <c r="COE5" s="59"/>
      <c r="COF5" s="59"/>
      <c r="COG5" s="59"/>
      <c r="COH5" s="59"/>
      <c r="COI5" s="59"/>
      <c r="COJ5" s="59"/>
      <c r="COK5" s="59"/>
      <c r="COL5" s="59"/>
      <c r="COM5" s="59"/>
      <c r="CON5" s="59"/>
      <c r="COO5" s="59"/>
      <c r="COP5" s="59"/>
      <c r="COQ5" s="59"/>
      <c r="COR5" s="59"/>
      <c r="COS5" s="59"/>
      <c r="COT5" s="59"/>
      <c r="COU5" s="59"/>
      <c r="COV5" s="59"/>
      <c r="COW5" s="59"/>
      <c r="COX5" s="59"/>
      <c r="COY5" s="59"/>
      <c r="COZ5" s="59"/>
      <c r="CPA5" s="59"/>
      <c r="CPB5" s="59"/>
      <c r="CPC5" s="59"/>
      <c r="CPD5" s="59"/>
      <c r="CPE5" s="59"/>
      <c r="CPF5" s="59"/>
      <c r="CPG5" s="59"/>
      <c r="CPH5" s="59"/>
      <c r="CPI5" s="59"/>
      <c r="CPJ5" s="59"/>
      <c r="CPK5" s="59"/>
      <c r="CPL5" s="59"/>
      <c r="CPM5" s="59"/>
      <c r="CPN5" s="59"/>
      <c r="CPO5" s="59"/>
      <c r="CPP5" s="59"/>
      <c r="CPQ5" s="59"/>
      <c r="CPR5" s="59"/>
      <c r="CPS5" s="59"/>
      <c r="CPT5" s="59"/>
      <c r="CPU5" s="59"/>
      <c r="CPV5" s="59"/>
      <c r="CPW5" s="59"/>
      <c r="CPX5" s="59"/>
      <c r="CPY5" s="59"/>
      <c r="CPZ5" s="59"/>
      <c r="CQA5" s="59"/>
      <c r="CQB5" s="59"/>
      <c r="CQC5" s="59"/>
      <c r="CQD5" s="59"/>
      <c r="CQE5" s="59"/>
      <c r="CQF5" s="59"/>
      <c r="CQG5" s="59"/>
      <c r="CQH5" s="59"/>
      <c r="CQI5" s="59"/>
      <c r="CQJ5" s="59"/>
      <c r="CQK5" s="59"/>
      <c r="CQL5" s="59"/>
      <c r="CQM5" s="59"/>
      <c r="CQN5" s="59"/>
      <c r="CQO5" s="59"/>
      <c r="CQP5" s="59"/>
      <c r="CQQ5" s="59"/>
      <c r="CQR5" s="59"/>
      <c r="CQS5" s="59"/>
      <c r="CQT5" s="59"/>
      <c r="CQU5" s="59"/>
      <c r="CQV5" s="59"/>
      <c r="CQW5" s="59"/>
      <c r="CQX5" s="59"/>
      <c r="CQY5" s="59"/>
      <c r="CQZ5" s="59"/>
      <c r="CRA5" s="59"/>
      <c r="CRB5" s="59"/>
      <c r="CRC5" s="59"/>
      <c r="CRD5" s="59"/>
      <c r="CRE5" s="59"/>
      <c r="CRF5" s="59"/>
      <c r="CRG5" s="59"/>
      <c r="CRH5" s="59"/>
      <c r="CRI5" s="59"/>
      <c r="CRJ5" s="59"/>
      <c r="CRK5" s="59"/>
      <c r="CRL5" s="59"/>
      <c r="CRM5" s="59"/>
      <c r="CRN5" s="59"/>
      <c r="CRO5" s="59"/>
      <c r="CRP5" s="59"/>
      <c r="CRQ5" s="59"/>
      <c r="CRR5" s="59"/>
      <c r="CRS5" s="59"/>
      <c r="CRT5" s="59"/>
      <c r="CRU5" s="59"/>
      <c r="CRV5" s="59"/>
      <c r="CRW5" s="59"/>
      <c r="CRX5" s="59"/>
      <c r="CRY5" s="59"/>
      <c r="CRZ5" s="59"/>
      <c r="CSA5" s="59"/>
      <c r="CSB5" s="59"/>
      <c r="CSC5" s="59"/>
      <c r="CSD5" s="59"/>
      <c r="CSE5" s="59"/>
      <c r="CSF5" s="59"/>
      <c r="CSG5" s="59"/>
      <c r="CSH5" s="59"/>
      <c r="CSI5" s="59"/>
      <c r="CSJ5" s="59"/>
      <c r="CSK5" s="59"/>
      <c r="CSL5" s="59"/>
      <c r="CSM5" s="59"/>
      <c r="CSN5" s="59"/>
      <c r="CSO5" s="59"/>
      <c r="CSP5" s="59"/>
      <c r="CSQ5" s="59"/>
      <c r="CSR5" s="59"/>
      <c r="CSS5" s="59"/>
      <c r="CST5" s="59"/>
      <c r="CSU5" s="59"/>
      <c r="CSV5" s="59"/>
      <c r="CSW5" s="59"/>
      <c r="CSX5" s="59"/>
      <c r="CSY5" s="59"/>
      <c r="CSZ5" s="59"/>
      <c r="CTA5" s="59"/>
      <c r="CTB5" s="59"/>
      <c r="CTC5" s="59"/>
      <c r="CTD5" s="59"/>
      <c r="CTE5" s="59"/>
      <c r="CTF5" s="59"/>
      <c r="CTG5" s="59"/>
      <c r="CTH5" s="59"/>
      <c r="CTI5" s="59"/>
      <c r="CTJ5" s="59"/>
      <c r="CTK5" s="59"/>
      <c r="CTL5" s="59"/>
      <c r="CTM5" s="59"/>
      <c r="CTN5" s="59"/>
      <c r="CTO5" s="59"/>
      <c r="CTP5" s="59"/>
      <c r="CTQ5" s="59"/>
      <c r="CTR5" s="59"/>
      <c r="CTS5" s="59"/>
      <c r="CTT5" s="59"/>
      <c r="CTU5" s="59"/>
      <c r="CTV5" s="59"/>
      <c r="CTW5" s="59"/>
      <c r="CTX5" s="59"/>
      <c r="CTY5" s="59"/>
      <c r="CTZ5" s="59"/>
      <c r="CUA5" s="59"/>
      <c r="CUB5" s="59"/>
      <c r="CUC5" s="59"/>
      <c r="CUD5" s="59"/>
      <c r="CUE5" s="59"/>
      <c r="CUF5" s="59"/>
      <c r="CUG5" s="59"/>
      <c r="CUH5" s="59"/>
      <c r="CUI5" s="59"/>
      <c r="CUJ5" s="59"/>
      <c r="CUK5" s="59"/>
      <c r="CUL5" s="59"/>
      <c r="CUM5" s="59"/>
      <c r="CUN5" s="59"/>
      <c r="CUO5" s="59"/>
      <c r="CUP5" s="59"/>
      <c r="CUQ5" s="59"/>
      <c r="CUR5" s="59"/>
      <c r="CUS5" s="59"/>
      <c r="CUT5" s="59"/>
      <c r="CUU5" s="59"/>
      <c r="CUV5" s="59"/>
      <c r="CUW5" s="59"/>
      <c r="CUX5" s="59"/>
      <c r="CUY5" s="59"/>
      <c r="CUZ5" s="59"/>
      <c r="CVA5" s="59"/>
      <c r="CVB5" s="59"/>
      <c r="CVC5" s="59"/>
      <c r="CVD5" s="59"/>
      <c r="CVE5" s="59"/>
      <c r="CVF5" s="59"/>
      <c r="CVG5" s="59"/>
      <c r="CVH5" s="59"/>
      <c r="CVI5" s="59"/>
      <c r="CVJ5" s="59"/>
      <c r="CVK5" s="59"/>
      <c r="CVL5" s="59"/>
      <c r="CVM5" s="59"/>
      <c r="CVN5" s="59"/>
      <c r="CVO5" s="59"/>
      <c r="CVP5" s="59"/>
      <c r="CVQ5" s="59"/>
      <c r="CVR5" s="59"/>
      <c r="CVS5" s="59"/>
      <c r="CVT5" s="59"/>
      <c r="CVU5" s="59"/>
      <c r="CVV5" s="59"/>
      <c r="CVW5" s="59"/>
      <c r="CVX5" s="59"/>
      <c r="CVY5" s="59"/>
      <c r="CVZ5" s="59"/>
      <c r="CWA5" s="59"/>
      <c r="CWB5" s="59"/>
      <c r="CWC5" s="59"/>
      <c r="CWD5" s="59"/>
      <c r="CWE5" s="59"/>
      <c r="CWF5" s="59"/>
      <c r="CWG5" s="59"/>
      <c r="CWH5" s="59"/>
      <c r="CWI5" s="59"/>
      <c r="CWJ5" s="59"/>
      <c r="CWK5" s="59"/>
      <c r="CWL5" s="59"/>
      <c r="CWM5" s="59"/>
      <c r="CWN5" s="59"/>
      <c r="CWO5" s="59"/>
      <c r="CWP5" s="59"/>
      <c r="CWQ5" s="59"/>
      <c r="CWR5" s="59"/>
      <c r="CWS5" s="59"/>
      <c r="CWT5" s="59"/>
      <c r="CWU5" s="59"/>
      <c r="CWV5" s="59"/>
      <c r="CWW5" s="59"/>
      <c r="CWX5" s="59"/>
      <c r="CWY5" s="59"/>
      <c r="CWZ5" s="59"/>
      <c r="CXA5" s="59"/>
      <c r="CXB5" s="59"/>
      <c r="CXC5" s="59"/>
      <c r="CXD5" s="59"/>
      <c r="CXE5" s="59"/>
      <c r="CXF5" s="59"/>
      <c r="CXG5" s="59"/>
      <c r="CXH5" s="59"/>
      <c r="CXI5" s="59"/>
      <c r="CXJ5" s="59"/>
      <c r="CXK5" s="59"/>
      <c r="CXL5" s="59"/>
      <c r="CXM5" s="59"/>
      <c r="CXN5" s="59"/>
      <c r="CXO5" s="59"/>
      <c r="CXP5" s="59"/>
      <c r="CXQ5" s="59"/>
      <c r="CXR5" s="59"/>
      <c r="CXS5" s="59"/>
      <c r="CXT5" s="59"/>
      <c r="CXU5" s="59"/>
      <c r="CXV5" s="59"/>
      <c r="CXW5" s="59"/>
      <c r="CXX5" s="59"/>
      <c r="CXY5" s="59"/>
      <c r="CXZ5" s="59"/>
      <c r="CYA5" s="59"/>
      <c r="CYB5" s="59"/>
      <c r="CYC5" s="59"/>
      <c r="CYD5" s="59"/>
      <c r="CYE5" s="59"/>
      <c r="CYF5" s="59"/>
      <c r="CYG5" s="59"/>
      <c r="CYH5" s="59"/>
      <c r="CYI5" s="59"/>
      <c r="CYJ5" s="59"/>
      <c r="CYK5" s="59"/>
      <c r="CYL5" s="59"/>
      <c r="CYM5" s="59"/>
      <c r="CYN5" s="59"/>
      <c r="CYO5" s="59"/>
      <c r="CYP5" s="59"/>
      <c r="CYQ5" s="59"/>
      <c r="CYR5" s="59"/>
      <c r="CYS5" s="59"/>
      <c r="CYT5" s="59"/>
      <c r="CYU5" s="59"/>
      <c r="CYV5" s="59"/>
      <c r="CYW5" s="59"/>
      <c r="CYX5" s="59"/>
      <c r="CYY5" s="59"/>
      <c r="CYZ5" s="59"/>
      <c r="CZA5" s="59"/>
      <c r="CZB5" s="59"/>
      <c r="CZC5" s="59"/>
      <c r="CZD5" s="59"/>
      <c r="CZE5" s="59"/>
      <c r="CZF5" s="59"/>
      <c r="CZG5" s="59"/>
      <c r="CZH5" s="59"/>
      <c r="CZI5" s="59"/>
      <c r="CZJ5" s="59"/>
      <c r="CZK5" s="59"/>
      <c r="CZL5" s="59"/>
      <c r="CZM5" s="59"/>
      <c r="CZN5" s="59"/>
      <c r="CZO5" s="59"/>
      <c r="CZP5" s="59"/>
      <c r="CZQ5" s="59"/>
      <c r="CZR5" s="59"/>
      <c r="CZS5" s="59"/>
      <c r="CZT5" s="59"/>
      <c r="CZU5" s="59"/>
      <c r="CZV5" s="59"/>
      <c r="CZW5" s="59"/>
      <c r="CZX5" s="59"/>
      <c r="CZY5" s="59"/>
      <c r="CZZ5" s="59"/>
      <c r="DAA5" s="59"/>
      <c r="DAB5" s="59"/>
      <c r="DAC5" s="59"/>
      <c r="DAD5" s="59"/>
      <c r="DAE5" s="59"/>
      <c r="DAF5" s="59"/>
      <c r="DAG5" s="59"/>
      <c r="DAH5" s="59"/>
      <c r="DAI5" s="59"/>
      <c r="DAJ5" s="59"/>
      <c r="DAK5" s="59"/>
      <c r="DAL5" s="59"/>
      <c r="DAM5" s="59"/>
      <c r="DAN5" s="59"/>
      <c r="DAO5" s="59"/>
      <c r="DAP5" s="59"/>
      <c r="DAQ5" s="59"/>
      <c r="DAR5" s="59"/>
      <c r="DAS5" s="59"/>
      <c r="DAT5" s="59"/>
      <c r="DAU5" s="59"/>
      <c r="DAV5" s="59"/>
      <c r="DAW5" s="59"/>
      <c r="DAX5" s="59"/>
      <c r="DAY5" s="59"/>
      <c r="DAZ5" s="59"/>
      <c r="DBA5" s="59"/>
      <c r="DBB5" s="59"/>
      <c r="DBC5" s="59"/>
      <c r="DBD5" s="59"/>
      <c r="DBE5" s="59"/>
      <c r="DBF5" s="59"/>
      <c r="DBG5" s="59"/>
      <c r="DBH5" s="59"/>
      <c r="DBI5" s="59"/>
      <c r="DBJ5" s="59"/>
      <c r="DBK5" s="59"/>
      <c r="DBL5" s="59"/>
      <c r="DBM5" s="59"/>
      <c r="DBN5" s="59"/>
      <c r="DBO5" s="59"/>
      <c r="DBP5" s="59"/>
      <c r="DBQ5" s="59"/>
      <c r="DBR5" s="59"/>
      <c r="DBS5" s="59"/>
      <c r="DBT5" s="59"/>
      <c r="DBU5" s="59"/>
      <c r="DBV5" s="59"/>
      <c r="DBW5" s="59"/>
      <c r="DBX5" s="59"/>
      <c r="DBY5" s="59"/>
      <c r="DBZ5" s="59"/>
      <c r="DCA5" s="59"/>
      <c r="DCB5" s="59"/>
      <c r="DCC5" s="59"/>
      <c r="DCD5" s="59"/>
      <c r="DCE5" s="59"/>
      <c r="DCF5" s="59"/>
      <c r="DCG5" s="59"/>
      <c r="DCH5" s="59"/>
      <c r="DCI5" s="59"/>
      <c r="DCJ5" s="59"/>
      <c r="DCK5" s="59"/>
      <c r="DCL5" s="59"/>
      <c r="DCM5" s="59"/>
      <c r="DCN5" s="59"/>
      <c r="DCO5" s="59"/>
      <c r="DCP5" s="59"/>
      <c r="DCQ5" s="59"/>
      <c r="DCR5" s="59"/>
      <c r="DCS5" s="59"/>
      <c r="DCT5" s="59"/>
      <c r="DCU5" s="59"/>
      <c r="DCV5" s="59"/>
      <c r="DCW5" s="59"/>
      <c r="DCX5" s="59"/>
      <c r="DCY5" s="59"/>
      <c r="DCZ5" s="59"/>
      <c r="DDA5" s="59"/>
      <c r="DDB5" s="59"/>
      <c r="DDC5" s="59"/>
      <c r="DDD5" s="59"/>
      <c r="DDE5" s="59"/>
      <c r="DDF5" s="59"/>
      <c r="DDG5" s="59"/>
      <c r="DDH5" s="59"/>
      <c r="DDI5" s="59"/>
      <c r="DDJ5" s="59"/>
      <c r="DDK5" s="59"/>
      <c r="DDL5" s="59"/>
      <c r="DDM5" s="59"/>
      <c r="DDN5" s="59"/>
      <c r="DDO5" s="59"/>
      <c r="DDP5" s="59"/>
      <c r="DDQ5" s="59"/>
      <c r="DDR5" s="59"/>
      <c r="DDS5" s="59"/>
      <c r="DDT5" s="59"/>
      <c r="DDU5" s="59"/>
      <c r="DDV5" s="59"/>
      <c r="DDW5" s="59"/>
      <c r="DDX5" s="59"/>
      <c r="DDY5" s="59"/>
      <c r="DDZ5" s="59"/>
      <c r="DEA5" s="59"/>
      <c r="DEB5" s="59"/>
      <c r="DEC5" s="59"/>
      <c r="DED5" s="59"/>
      <c r="DEE5" s="59"/>
      <c r="DEF5" s="59"/>
      <c r="DEG5" s="59"/>
      <c r="DEH5" s="59"/>
      <c r="DEI5" s="59"/>
      <c r="DEJ5" s="59"/>
      <c r="DEK5" s="59"/>
      <c r="DEL5" s="59"/>
      <c r="DEM5" s="59"/>
      <c r="DEN5" s="59"/>
      <c r="DEO5" s="59"/>
      <c r="DEP5" s="59"/>
      <c r="DEQ5" s="59"/>
      <c r="DER5" s="59"/>
      <c r="DES5" s="59"/>
      <c r="DET5" s="59"/>
      <c r="DEU5" s="59"/>
      <c r="DEV5" s="59"/>
      <c r="DEW5" s="59"/>
      <c r="DEX5" s="59"/>
      <c r="DEY5" s="59"/>
      <c r="DEZ5" s="59"/>
      <c r="DFA5" s="59"/>
      <c r="DFB5" s="59"/>
      <c r="DFC5" s="59"/>
      <c r="DFD5" s="59"/>
      <c r="DFE5" s="59"/>
      <c r="DFF5" s="59"/>
      <c r="DFG5" s="59"/>
      <c r="DFH5" s="59"/>
      <c r="DFI5" s="59"/>
      <c r="DFJ5" s="59"/>
      <c r="DFK5" s="59"/>
      <c r="DFL5" s="59"/>
      <c r="DFM5" s="59"/>
      <c r="DFN5" s="59"/>
      <c r="DFO5" s="59"/>
      <c r="DFP5" s="59"/>
      <c r="DFQ5" s="59"/>
      <c r="DFR5" s="59"/>
      <c r="DFS5" s="59"/>
      <c r="DFT5" s="59"/>
      <c r="DFU5" s="59"/>
      <c r="DFV5" s="59"/>
      <c r="DFW5" s="59"/>
      <c r="DFX5" s="59"/>
      <c r="DFY5" s="59"/>
      <c r="DFZ5" s="59"/>
      <c r="DGA5" s="59"/>
      <c r="DGB5" s="59"/>
      <c r="DGC5" s="59"/>
      <c r="DGD5" s="59"/>
      <c r="DGE5" s="59"/>
      <c r="DGF5" s="59"/>
      <c r="DGG5" s="59"/>
      <c r="DGH5" s="59"/>
      <c r="DGI5" s="59"/>
      <c r="DGJ5" s="59"/>
      <c r="DGK5" s="59"/>
      <c r="DGL5" s="59"/>
      <c r="DGM5" s="59"/>
      <c r="DGN5" s="59"/>
      <c r="DGO5" s="59"/>
      <c r="DGP5" s="59"/>
      <c r="DGQ5" s="59"/>
      <c r="DGR5" s="59"/>
      <c r="DGS5" s="59"/>
      <c r="DGT5" s="59"/>
      <c r="DGU5" s="59"/>
      <c r="DGV5" s="59"/>
      <c r="DGW5" s="59"/>
      <c r="DGX5" s="59"/>
      <c r="DGY5" s="59"/>
      <c r="DGZ5" s="59"/>
      <c r="DHA5" s="59"/>
      <c r="DHB5" s="59"/>
      <c r="DHC5" s="59"/>
      <c r="DHD5" s="59"/>
      <c r="DHE5" s="59"/>
      <c r="DHF5" s="59"/>
      <c r="DHG5" s="59"/>
      <c r="DHH5" s="59"/>
      <c r="DHI5" s="59"/>
      <c r="DHJ5" s="59"/>
      <c r="DHK5" s="59"/>
      <c r="DHL5" s="59"/>
      <c r="DHM5" s="59"/>
      <c r="DHN5" s="59"/>
      <c r="DHO5" s="59"/>
      <c r="DHP5" s="59"/>
      <c r="DHQ5" s="59"/>
      <c r="DHR5" s="59"/>
      <c r="DHS5" s="59"/>
      <c r="DHT5" s="59"/>
      <c r="DHU5" s="59"/>
      <c r="DHV5" s="59"/>
      <c r="DHW5" s="59"/>
      <c r="DHX5" s="59"/>
      <c r="DHY5" s="59"/>
      <c r="DHZ5" s="59"/>
      <c r="DIA5" s="59"/>
      <c r="DIB5" s="59"/>
      <c r="DIC5" s="59"/>
      <c r="DID5" s="59"/>
      <c r="DIE5" s="59"/>
      <c r="DIF5" s="59"/>
      <c r="DIG5" s="59"/>
      <c r="DIH5" s="59"/>
      <c r="DII5" s="59"/>
      <c r="DIJ5" s="59"/>
      <c r="DIK5" s="59"/>
      <c r="DIL5" s="59"/>
      <c r="DIM5" s="59"/>
      <c r="DIN5" s="59"/>
      <c r="DIO5" s="59"/>
      <c r="DIP5" s="59"/>
      <c r="DIQ5" s="59"/>
      <c r="DIR5" s="59"/>
      <c r="DIS5" s="59"/>
      <c r="DIT5" s="59"/>
      <c r="DIU5" s="59"/>
      <c r="DIV5" s="59"/>
      <c r="DIW5" s="59"/>
      <c r="DIX5" s="59"/>
      <c r="DIY5" s="59"/>
      <c r="DIZ5" s="59"/>
      <c r="DJA5" s="59"/>
      <c r="DJB5" s="59"/>
      <c r="DJC5" s="59"/>
      <c r="DJD5" s="59"/>
      <c r="DJE5" s="59"/>
      <c r="DJF5" s="59"/>
      <c r="DJG5" s="59"/>
      <c r="DJH5" s="59"/>
      <c r="DJI5" s="59"/>
      <c r="DJJ5" s="59"/>
      <c r="DJK5" s="59"/>
      <c r="DJL5" s="59"/>
      <c r="DJM5" s="59"/>
      <c r="DJN5" s="59"/>
      <c r="DJO5" s="59"/>
      <c r="DJP5" s="59"/>
      <c r="DJQ5" s="59"/>
      <c r="DJR5" s="59"/>
      <c r="DJS5" s="59"/>
      <c r="DJT5" s="59"/>
      <c r="DJU5" s="59"/>
      <c r="DJV5" s="59"/>
      <c r="DJW5" s="59"/>
      <c r="DJX5" s="59"/>
      <c r="DJY5" s="59"/>
      <c r="DJZ5" s="59"/>
      <c r="DKA5" s="59"/>
      <c r="DKB5" s="59"/>
      <c r="DKC5" s="59"/>
      <c r="DKD5" s="59"/>
      <c r="DKE5" s="59"/>
      <c r="DKF5" s="59"/>
      <c r="DKG5" s="59"/>
      <c r="DKH5" s="59"/>
      <c r="DKI5" s="59"/>
      <c r="DKJ5" s="59"/>
      <c r="DKK5" s="59"/>
      <c r="DKL5" s="59"/>
      <c r="DKM5" s="59"/>
      <c r="DKN5" s="59"/>
      <c r="DKO5" s="59"/>
      <c r="DKP5" s="59"/>
      <c r="DKQ5" s="59"/>
      <c r="DKR5" s="59"/>
      <c r="DKS5" s="59"/>
      <c r="DKT5" s="59"/>
      <c r="DKU5" s="59"/>
      <c r="DKV5" s="59"/>
      <c r="DKW5" s="59"/>
      <c r="DKX5" s="59"/>
      <c r="DKY5" s="59"/>
      <c r="DKZ5" s="59"/>
      <c r="DLA5" s="59"/>
      <c r="DLB5" s="59"/>
      <c r="DLC5" s="59"/>
      <c r="DLD5" s="59"/>
      <c r="DLE5" s="59"/>
      <c r="DLF5" s="59"/>
      <c r="DLG5" s="59"/>
      <c r="DLH5" s="59"/>
      <c r="DLI5" s="59"/>
      <c r="DLJ5" s="59"/>
      <c r="DLK5" s="59"/>
      <c r="DLL5" s="59"/>
      <c r="DLM5" s="59"/>
      <c r="DLN5" s="59"/>
      <c r="DLO5" s="59"/>
      <c r="DLP5" s="59"/>
      <c r="DLQ5" s="59"/>
      <c r="DLR5" s="59"/>
      <c r="DLS5" s="59"/>
      <c r="DLT5" s="59"/>
      <c r="DLU5" s="59"/>
      <c r="DLV5" s="59"/>
      <c r="DLW5" s="59"/>
      <c r="DLX5" s="59"/>
      <c r="DLY5" s="59"/>
      <c r="DLZ5" s="59"/>
      <c r="DMA5" s="59"/>
      <c r="DMB5" s="59"/>
      <c r="DMC5" s="59"/>
      <c r="DMD5" s="59"/>
      <c r="DME5" s="59"/>
      <c r="DMF5" s="59"/>
      <c r="DMG5" s="59"/>
      <c r="DMH5" s="59"/>
      <c r="DMI5" s="59"/>
      <c r="DMJ5" s="59"/>
      <c r="DMK5" s="59"/>
      <c r="DML5" s="59"/>
      <c r="DMM5" s="59"/>
      <c r="DMN5" s="59"/>
      <c r="DMO5" s="59"/>
      <c r="DMP5" s="59"/>
      <c r="DMQ5" s="59"/>
      <c r="DMR5" s="59"/>
      <c r="DMS5" s="59"/>
      <c r="DMT5" s="59"/>
      <c r="DMU5" s="59"/>
      <c r="DMV5" s="59"/>
      <c r="DMW5" s="59"/>
      <c r="DMX5" s="59"/>
      <c r="DMY5" s="59"/>
      <c r="DMZ5" s="59"/>
      <c r="DNA5" s="59"/>
      <c r="DNB5" s="59"/>
      <c r="DNC5" s="59"/>
      <c r="DND5" s="59"/>
      <c r="DNE5" s="59"/>
      <c r="DNF5" s="59"/>
      <c r="DNG5" s="59"/>
      <c r="DNH5" s="59"/>
      <c r="DNI5" s="59"/>
      <c r="DNJ5" s="59"/>
      <c r="DNK5" s="59"/>
      <c r="DNL5" s="59"/>
      <c r="DNM5" s="59"/>
      <c r="DNN5" s="59"/>
      <c r="DNO5" s="59"/>
      <c r="DNP5" s="59"/>
      <c r="DNQ5" s="59"/>
      <c r="DNR5" s="59"/>
      <c r="DNS5" s="59"/>
      <c r="DNT5" s="59"/>
      <c r="DNU5" s="59"/>
      <c r="DNV5" s="59"/>
      <c r="DNW5" s="59"/>
      <c r="DNX5" s="59"/>
      <c r="DNY5" s="59"/>
      <c r="DNZ5" s="59"/>
      <c r="DOA5" s="59"/>
      <c r="DOB5" s="59"/>
      <c r="DOC5" s="59"/>
      <c r="DOD5" s="59"/>
      <c r="DOE5" s="59"/>
      <c r="DOF5" s="59"/>
      <c r="DOG5" s="59"/>
      <c r="DOH5" s="59"/>
      <c r="DOI5" s="59"/>
      <c r="DOJ5" s="59"/>
      <c r="DOK5" s="59"/>
      <c r="DOL5" s="59"/>
      <c r="DOM5" s="59"/>
      <c r="DON5" s="59"/>
      <c r="DOO5" s="59"/>
      <c r="DOP5" s="59"/>
      <c r="DOQ5" s="59"/>
      <c r="DOR5" s="59"/>
      <c r="DOS5" s="59"/>
      <c r="DOT5" s="59"/>
      <c r="DOU5" s="59"/>
      <c r="DOV5" s="59"/>
      <c r="DOW5" s="59"/>
      <c r="DOX5" s="59"/>
      <c r="DOY5" s="59"/>
      <c r="DOZ5" s="59"/>
      <c r="DPA5" s="59"/>
      <c r="DPB5" s="59"/>
      <c r="DPC5" s="59"/>
      <c r="DPD5" s="59"/>
      <c r="DPE5" s="59"/>
      <c r="DPF5" s="59"/>
      <c r="DPG5" s="59"/>
      <c r="DPH5" s="59"/>
      <c r="DPI5" s="59"/>
      <c r="DPJ5" s="59"/>
      <c r="DPK5" s="59"/>
      <c r="DPL5" s="59"/>
      <c r="DPM5" s="59"/>
      <c r="DPN5" s="59"/>
      <c r="DPO5" s="59"/>
      <c r="DPP5" s="59"/>
      <c r="DPQ5" s="59"/>
      <c r="DPR5" s="59"/>
      <c r="DPS5" s="59"/>
      <c r="DPT5" s="59"/>
      <c r="DPU5" s="59"/>
      <c r="DPV5" s="59"/>
      <c r="DPW5" s="59"/>
      <c r="DPX5" s="59"/>
      <c r="DPY5" s="59"/>
      <c r="DPZ5" s="59"/>
      <c r="DQA5" s="59"/>
      <c r="DQB5" s="59"/>
      <c r="DQC5" s="59"/>
      <c r="DQD5" s="59"/>
      <c r="DQE5" s="59"/>
      <c r="DQF5" s="59"/>
      <c r="DQG5" s="59"/>
      <c r="DQH5" s="59"/>
      <c r="DQI5" s="59"/>
      <c r="DQJ5" s="59"/>
      <c r="DQK5" s="59"/>
      <c r="DQL5" s="59"/>
      <c r="DQM5" s="59"/>
      <c r="DQN5" s="59"/>
      <c r="DQO5" s="59"/>
      <c r="DQP5" s="59"/>
      <c r="DQQ5" s="59"/>
      <c r="DQR5" s="59"/>
      <c r="DQS5" s="59"/>
      <c r="DQT5" s="59"/>
      <c r="DQU5" s="59"/>
      <c r="DQV5" s="59"/>
      <c r="DQW5" s="59"/>
      <c r="DQX5" s="59"/>
      <c r="DQY5" s="59"/>
      <c r="DQZ5" s="59"/>
      <c r="DRA5" s="59"/>
      <c r="DRB5" s="59"/>
      <c r="DRC5" s="59"/>
      <c r="DRD5" s="59"/>
      <c r="DRE5" s="59"/>
      <c r="DRF5" s="59"/>
      <c r="DRG5" s="59"/>
      <c r="DRH5" s="59"/>
      <c r="DRI5" s="59"/>
      <c r="DRJ5" s="59"/>
      <c r="DRK5" s="59"/>
      <c r="DRL5" s="59"/>
      <c r="DRM5" s="59"/>
      <c r="DRN5" s="59"/>
      <c r="DRO5" s="59"/>
      <c r="DRP5" s="59"/>
      <c r="DRQ5" s="59"/>
      <c r="DRR5" s="59"/>
      <c r="DRS5" s="59"/>
      <c r="DRT5" s="59"/>
      <c r="DRU5" s="59"/>
      <c r="DRV5" s="59"/>
      <c r="DRW5" s="59"/>
      <c r="DRX5" s="59"/>
      <c r="DRY5" s="59"/>
      <c r="DRZ5" s="59"/>
      <c r="DSA5" s="59"/>
      <c r="DSB5" s="59"/>
      <c r="DSC5" s="59"/>
      <c r="DSD5" s="59"/>
      <c r="DSE5" s="59"/>
      <c r="DSF5" s="59"/>
      <c r="DSG5" s="59"/>
      <c r="DSH5" s="59"/>
      <c r="DSI5" s="59"/>
      <c r="DSJ5" s="59"/>
      <c r="DSK5" s="59"/>
      <c r="DSL5" s="59"/>
      <c r="DSM5" s="59"/>
      <c r="DSN5" s="59"/>
      <c r="DSO5" s="59"/>
      <c r="DSP5" s="59"/>
      <c r="DSQ5" s="59"/>
      <c r="DSR5" s="59"/>
      <c r="DSS5" s="59"/>
      <c r="DST5" s="59"/>
      <c r="DSU5" s="59"/>
      <c r="DSV5" s="59"/>
      <c r="DSW5" s="59"/>
      <c r="DSX5" s="59"/>
      <c r="DSY5" s="59"/>
      <c r="DSZ5" s="59"/>
      <c r="DTA5" s="59"/>
      <c r="DTB5" s="59"/>
      <c r="DTC5" s="59"/>
      <c r="DTD5" s="59"/>
      <c r="DTE5" s="59"/>
      <c r="DTF5" s="59"/>
      <c r="DTG5" s="59"/>
      <c r="DTH5" s="59"/>
      <c r="DTI5" s="59"/>
      <c r="DTJ5" s="59"/>
      <c r="DTK5" s="59"/>
      <c r="DTL5" s="59"/>
      <c r="DTM5" s="59"/>
      <c r="DTN5" s="59"/>
      <c r="DTO5" s="59"/>
      <c r="DTP5" s="59"/>
      <c r="DTQ5" s="59"/>
      <c r="DTR5" s="59"/>
      <c r="DTS5" s="59"/>
      <c r="DTT5" s="59"/>
      <c r="DTU5" s="59"/>
      <c r="DTV5" s="59"/>
      <c r="DTW5" s="59"/>
      <c r="DTX5" s="59"/>
      <c r="DTY5" s="59"/>
      <c r="DTZ5" s="59"/>
      <c r="DUA5" s="59"/>
      <c r="DUB5" s="59"/>
      <c r="DUC5" s="59"/>
      <c r="DUD5" s="59"/>
      <c r="DUE5" s="59"/>
      <c r="DUF5" s="59"/>
      <c r="DUG5" s="59"/>
      <c r="DUH5" s="59"/>
      <c r="DUI5" s="59"/>
      <c r="DUJ5" s="59"/>
      <c r="DUK5" s="59"/>
      <c r="DUL5" s="59"/>
      <c r="DUM5" s="59"/>
      <c r="DUN5" s="59"/>
      <c r="DUO5" s="59"/>
      <c r="DUP5" s="59"/>
      <c r="DUQ5" s="59"/>
      <c r="DUR5" s="59"/>
      <c r="DUS5" s="59"/>
      <c r="DUT5" s="59"/>
      <c r="DUU5" s="59"/>
      <c r="DUV5" s="59"/>
      <c r="DUW5" s="59"/>
      <c r="DUX5" s="59"/>
      <c r="DUY5" s="59"/>
      <c r="DUZ5" s="59"/>
      <c r="DVA5" s="59"/>
      <c r="DVB5" s="59"/>
      <c r="DVC5" s="59"/>
      <c r="DVD5" s="59"/>
      <c r="DVE5" s="59"/>
      <c r="DVF5" s="59"/>
      <c r="DVG5" s="59"/>
      <c r="DVH5" s="59"/>
      <c r="DVI5" s="59"/>
      <c r="DVJ5" s="59"/>
      <c r="DVK5" s="59"/>
      <c r="DVL5" s="59"/>
      <c r="DVM5" s="59"/>
      <c r="DVN5" s="59"/>
      <c r="DVO5" s="59"/>
      <c r="DVP5" s="59"/>
      <c r="DVQ5" s="59"/>
      <c r="DVR5" s="59"/>
      <c r="DVS5" s="59"/>
      <c r="DVT5" s="59"/>
      <c r="DVU5" s="59"/>
      <c r="DVV5" s="59"/>
      <c r="DVW5" s="59"/>
      <c r="DVX5" s="59"/>
      <c r="DVY5" s="59"/>
      <c r="DVZ5" s="59"/>
      <c r="DWA5" s="59"/>
      <c r="DWB5" s="59"/>
      <c r="DWC5" s="59"/>
      <c r="DWD5" s="59"/>
      <c r="DWE5" s="59"/>
      <c r="DWF5" s="59"/>
      <c r="DWG5" s="59"/>
      <c r="DWH5" s="59"/>
      <c r="DWI5" s="59"/>
      <c r="DWJ5" s="59"/>
      <c r="DWK5" s="59"/>
      <c r="DWL5" s="59"/>
      <c r="DWM5" s="59"/>
      <c r="DWN5" s="59"/>
      <c r="DWO5" s="59"/>
      <c r="DWP5" s="59"/>
      <c r="DWQ5" s="59"/>
      <c r="DWR5" s="59"/>
      <c r="DWS5" s="59"/>
      <c r="DWT5" s="59"/>
      <c r="DWU5" s="59"/>
      <c r="DWV5" s="59"/>
      <c r="DWW5" s="59"/>
      <c r="DWX5" s="59"/>
      <c r="DWY5" s="59"/>
      <c r="DWZ5" s="59"/>
      <c r="DXA5" s="59"/>
      <c r="DXB5" s="59"/>
      <c r="DXC5" s="59"/>
      <c r="DXD5" s="59"/>
      <c r="DXE5" s="59"/>
      <c r="DXF5" s="59"/>
      <c r="DXG5" s="59"/>
      <c r="DXH5" s="59"/>
      <c r="DXI5" s="59"/>
      <c r="DXJ5" s="59"/>
      <c r="DXK5" s="59"/>
      <c r="DXL5" s="59"/>
      <c r="DXM5" s="59"/>
      <c r="DXN5" s="59"/>
      <c r="DXO5" s="59"/>
      <c r="DXP5" s="59"/>
      <c r="DXQ5" s="59"/>
      <c r="DXR5" s="59"/>
      <c r="DXS5" s="59"/>
      <c r="DXT5" s="59"/>
      <c r="DXU5" s="59"/>
      <c r="DXV5" s="59"/>
      <c r="DXW5" s="59"/>
      <c r="DXX5" s="59"/>
      <c r="DXY5" s="59"/>
      <c r="DXZ5" s="59"/>
      <c r="DYA5" s="59"/>
      <c r="DYB5" s="59"/>
      <c r="DYC5" s="59"/>
      <c r="DYD5" s="59"/>
      <c r="DYE5" s="59"/>
      <c r="DYF5" s="59"/>
      <c r="DYG5" s="59"/>
      <c r="DYH5" s="59"/>
      <c r="DYI5" s="59"/>
      <c r="DYJ5" s="59"/>
      <c r="DYK5" s="59"/>
      <c r="DYL5" s="59"/>
      <c r="DYM5" s="59"/>
      <c r="DYN5" s="59"/>
      <c r="DYO5" s="59"/>
      <c r="DYP5" s="59"/>
      <c r="DYQ5" s="59"/>
      <c r="DYR5" s="59"/>
      <c r="DYS5" s="59"/>
      <c r="DYT5" s="59"/>
      <c r="DYU5" s="59"/>
      <c r="DYV5" s="59"/>
      <c r="DYW5" s="59"/>
      <c r="DYX5" s="59"/>
      <c r="DYY5" s="59"/>
      <c r="DYZ5" s="59"/>
      <c r="DZA5" s="59"/>
      <c r="DZB5" s="59"/>
      <c r="DZC5" s="59"/>
      <c r="DZD5" s="59"/>
      <c r="DZE5" s="59"/>
      <c r="DZF5" s="59"/>
      <c r="DZG5" s="59"/>
      <c r="DZH5" s="59"/>
      <c r="DZI5" s="59"/>
      <c r="DZJ5" s="59"/>
      <c r="DZK5" s="59"/>
      <c r="DZL5" s="59"/>
      <c r="DZM5" s="59"/>
      <c r="DZN5" s="59"/>
      <c r="DZO5" s="59"/>
      <c r="DZP5" s="59"/>
      <c r="DZQ5" s="59"/>
      <c r="DZR5" s="59"/>
      <c r="DZS5" s="59"/>
      <c r="DZT5" s="59"/>
      <c r="DZU5" s="59"/>
      <c r="DZV5" s="59"/>
      <c r="DZW5" s="59"/>
      <c r="DZX5" s="59"/>
      <c r="DZY5" s="59"/>
      <c r="DZZ5" s="59"/>
      <c r="EAA5" s="59"/>
      <c r="EAB5" s="59"/>
      <c r="EAC5" s="59"/>
      <c r="EAD5" s="59"/>
      <c r="EAE5" s="59"/>
      <c r="EAF5" s="59"/>
      <c r="EAG5" s="59"/>
      <c r="EAH5" s="59"/>
      <c r="EAI5" s="59"/>
      <c r="EAJ5" s="59"/>
      <c r="EAK5" s="59"/>
      <c r="EAL5" s="59"/>
      <c r="EAM5" s="59"/>
      <c r="EAN5" s="59"/>
      <c r="EAO5" s="59"/>
      <c r="EAP5" s="59"/>
      <c r="EAQ5" s="59"/>
      <c r="EAR5" s="59"/>
      <c r="EAS5" s="59"/>
      <c r="EAT5" s="59"/>
      <c r="EAU5" s="59"/>
      <c r="EAV5" s="59"/>
      <c r="EAW5" s="59"/>
      <c r="EAX5" s="59"/>
      <c r="EAY5" s="59"/>
      <c r="EAZ5" s="59"/>
      <c r="EBA5" s="59"/>
      <c r="EBB5" s="59"/>
      <c r="EBC5" s="59"/>
      <c r="EBD5" s="59"/>
      <c r="EBE5" s="59"/>
      <c r="EBF5" s="59"/>
      <c r="EBG5" s="59"/>
      <c r="EBH5" s="59"/>
      <c r="EBI5" s="59"/>
      <c r="EBJ5" s="59"/>
      <c r="EBK5" s="59"/>
      <c r="EBL5" s="59"/>
      <c r="EBM5" s="59"/>
      <c r="EBN5" s="59"/>
      <c r="EBO5" s="59"/>
      <c r="EBP5" s="59"/>
      <c r="EBQ5" s="59"/>
      <c r="EBR5" s="59"/>
      <c r="EBS5" s="59"/>
      <c r="EBT5" s="59"/>
      <c r="EBU5" s="59"/>
      <c r="EBV5" s="59"/>
      <c r="EBW5" s="59"/>
      <c r="EBX5" s="59"/>
      <c r="EBY5" s="59"/>
      <c r="EBZ5" s="59"/>
      <c r="ECA5" s="59"/>
      <c r="ECB5" s="59"/>
      <c r="ECC5" s="59"/>
      <c r="ECD5" s="59"/>
      <c r="ECE5" s="59"/>
      <c r="ECF5" s="59"/>
      <c r="ECG5" s="59"/>
      <c r="ECH5" s="59"/>
      <c r="ECI5" s="59"/>
      <c r="ECJ5" s="59"/>
      <c r="ECK5" s="59"/>
      <c r="ECL5" s="59"/>
      <c r="ECM5" s="59"/>
      <c r="ECN5" s="59"/>
      <c r="ECO5" s="59"/>
      <c r="ECP5" s="59"/>
      <c r="ECQ5" s="59"/>
      <c r="ECR5" s="59"/>
      <c r="ECS5" s="59"/>
      <c r="ECT5" s="59"/>
      <c r="ECU5" s="59"/>
      <c r="ECV5" s="59"/>
      <c r="ECW5" s="59"/>
      <c r="ECX5" s="59"/>
      <c r="ECY5" s="59"/>
      <c r="ECZ5" s="59"/>
      <c r="EDA5" s="59"/>
      <c r="EDB5" s="59"/>
      <c r="EDC5" s="59"/>
      <c r="EDD5" s="59"/>
      <c r="EDE5" s="59"/>
      <c r="EDF5" s="59"/>
      <c r="EDG5" s="59"/>
      <c r="EDH5" s="59"/>
      <c r="EDI5" s="59"/>
      <c r="EDJ5" s="59"/>
      <c r="EDK5" s="59"/>
      <c r="EDL5" s="59"/>
      <c r="EDM5" s="59"/>
      <c r="EDN5" s="59"/>
      <c r="EDO5" s="59"/>
      <c r="EDP5" s="59"/>
      <c r="EDQ5" s="59"/>
      <c r="EDR5" s="59"/>
      <c r="EDS5" s="59"/>
      <c r="EDT5" s="59"/>
      <c r="EDU5" s="59"/>
      <c r="EDV5" s="59"/>
      <c r="EDW5" s="59"/>
      <c r="EDX5" s="59"/>
      <c r="EDY5" s="59"/>
      <c r="EDZ5" s="59"/>
      <c r="EEA5" s="59"/>
      <c r="EEB5" s="59"/>
      <c r="EEC5" s="59"/>
      <c r="EED5" s="59"/>
      <c r="EEE5" s="59"/>
      <c r="EEF5" s="59"/>
      <c r="EEG5" s="59"/>
      <c r="EEH5" s="59"/>
      <c r="EEI5" s="59"/>
      <c r="EEJ5" s="59"/>
      <c r="EEK5" s="59"/>
      <c r="EEL5" s="59"/>
      <c r="EEM5" s="59"/>
      <c r="EEN5" s="59"/>
      <c r="EEO5" s="59"/>
      <c r="EEP5" s="59"/>
      <c r="EEQ5" s="59"/>
      <c r="EER5" s="59"/>
      <c r="EES5" s="59"/>
      <c r="EET5" s="59"/>
      <c r="EEU5" s="59"/>
      <c r="EEV5" s="59"/>
      <c r="EEW5" s="59"/>
      <c r="EEX5" s="59"/>
      <c r="EEY5" s="59"/>
      <c r="EEZ5" s="59"/>
      <c r="EFA5" s="59"/>
      <c r="EFB5" s="59"/>
      <c r="EFC5" s="59"/>
      <c r="EFD5" s="59"/>
      <c r="EFE5" s="59"/>
      <c r="EFF5" s="59"/>
      <c r="EFG5" s="59"/>
      <c r="EFH5" s="59"/>
      <c r="EFI5" s="59"/>
      <c r="EFJ5" s="59"/>
      <c r="EFK5" s="59"/>
      <c r="EFL5" s="59"/>
      <c r="EFM5" s="59"/>
      <c r="EFN5" s="59"/>
      <c r="EFO5" s="59"/>
      <c r="EFP5" s="59"/>
      <c r="EFQ5" s="59"/>
      <c r="EFR5" s="59"/>
      <c r="EFS5" s="59"/>
      <c r="EFT5" s="59"/>
      <c r="EFU5" s="59"/>
      <c r="EFV5" s="59"/>
      <c r="EFW5" s="59"/>
      <c r="EFX5" s="59"/>
      <c r="EFY5" s="59"/>
      <c r="EFZ5" s="59"/>
      <c r="EGA5" s="59"/>
      <c r="EGB5" s="59"/>
      <c r="EGC5" s="59"/>
      <c r="EGD5" s="59"/>
      <c r="EGE5" s="59"/>
      <c r="EGF5" s="59"/>
      <c r="EGG5" s="59"/>
      <c r="EGH5" s="59"/>
      <c r="EGI5" s="59"/>
      <c r="EGJ5" s="59"/>
      <c r="EGK5" s="59"/>
      <c r="EGL5" s="59"/>
      <c r="EGM5" s="59"/>
      <c r="EGN5" s="59"/>
      <c r="EGO5" s="59"/>
      <c r="EGP5" s="59"/>
      <c r="EGQ5" s="59"/>
      <c r="EGR5" s="59"/>
      <c r="EGS5" s="59"/>
      <c r="EGT5" s="59"/>
      <c r="EGU5" s="59"/>
      <c r="EGV5" s="59"/>
      <c r="EGW5" s="59"/>
      <c r="EGX5" s="59"/>
      <c r="EGY5" s="59"/>
      <c r="EGZ5" s="59"/>
      <c r="EHA5" s="59"/>
      <c r="EHB5" s="59"/>
      <c r="EHC5" s="59"/>
      <c r="EHD5" s="59"/>
      <c r="EHE5" s="59"/>
      <c r="EHF5" s="59"/>
      <c r="EHG5" s="59"/>
      <c r="EHH5" s="59"/>
      <c r="EHI5" s="59"/>
      <c r="EHJ5" s="59"/>
      <c r="EHK5" s="59"/>
      <c r="EHL5" s="59"/>
      <c r="EHM5" s="59"/>
      <c r="EHN5" s="59"/>
      <c r="EHO5" s="59"/>
      <c r="EHP5" s="59"/>
      <c r="EHQ5" s="59"/>
      <c r="EHR5" s="59"/>
      <c r="EHS5" s="59"/>
      <c r="EHT5" s="59"/>
      <c r="EHU5" s="59"/>
      <c r="EHV5" s="59"/>
      <c r="EHW5" s="59"/>
      <c r="EHX5" s="59"/>
      <c r="EHY5" s="59"/>
      <c r="EHZ5" s="59"/>
      <c r="EIA5" s="59"/>
      <c r="EIB5" s="59"/>
      <c r="EIC5" s="59"/>
      <c r="EID5" s="59"/>
      <c r="EIE5" s="59"/>
      <c r="EIF5" s="59"/>
      <c r="EIG5" s="59"/>
      <c r="EIH5" s="59"/>
      <c r="EII5" s="59"/>
      <c r="EIJ5" s="59"/>
      <c r="EIK5" s="59"/>
      <c r="EIL5" s="59"/>
      <c r="EIM5" s="59"/>
      <c r="EIN5" s="59"/>
      <c r="EIO5" s="59"/>
      <c r="EIP5" s="59"/>
      <c r="EIQ5" s="59"/>
      <c r="EIR5" s="59"/>
      <c r="EIS5" s="59"/>
      <c r="EIT5" s="59"/>
      <c r="EIU5" s="59"/>
      <c r="EIV5" s="59"/>
      <c r="EIW5" s="59"/>
      <c r="EIX5" s="59"/>
      <c r="EIY5" s="59"/>
      <c r="EIZ5" s="59"/>
      <c r="EJA5" s="59"/>
      <c r="EJB5" s="59"/>
      <c r="EJC5" s="59"/>
      <c r="EJD5" s="59"/>
      <c r="EJE5" s="59"/>
      <c r="EJF5" s="59"/>
      <c r="EJG5" s="59"/>
      <c r="EJH5" s="59"/>
      <c r="EJI5" s="59"/>
      <c r="EJJ5" s="59"/>
      <c r="EJK5" s="59"/>
      <c r="EJL5" s="59"/>
      <c r="EJM5" s="59"/>
      <c r="EJN5" s="59"/>
      <c r="EJO5" s="59"/>
      <c r="EJP5" s="59"/>
      <c r="EJQ5" s="59"/>
      <c r="EJR5" s="59"/>
      <c r="EJS5" s="59"/>
      <c r="EJT5" s="59"/>
      <c r="EJU5" s="59"/>
      <c r="EJV5" s="59"/>
      <c r="EJW5" s="59"/>
      <c r="EJX5" s="59"/>
      <c r="EJY5" s="59"/>
      <c r="EJZ5" s="59"/>
      <c r="EKA5" s="59"/>
      <c r="EKB5" s="59"/>
      <c r="EKC5" s="59"/>
      <c r="EKD5" s="59"/>
      <c r="EKE5" s="59"/>
      <c r="EKF5" s="59"/>
      <c r="EKG5" s="59"/>
      <c r="EKH5" s="59"/>
      <c r="EKI5" s="59"/>
      <c r="EKJ5" s="59"/>
      <c r="EKK5" s="59"/>
      <c r="EKL5" s="59"/>
      <c r="EKM5" s="59"/>
      <c r="EKN5" s="59"/>
      <c r="EKO5" s="59"/>
      <c r="EKP5" s="59"/>
      <c r="EKQ5" s="59"/>
      <c r="EKR5" s="59"/>
      <c r="EKS5" s="59"/>
      <c r="EKT5" s="59"/>
      <c r="EKU5" s="59"/>
      <c r="EKV5" s="59"/>
      <c r="EKW5" s="59"/>
      <c r="EKX5" s="59"/>
      <c r="EKY5" s="59"/>
      <c r="EKZ5" s="59"/>
      <c r="ELA5" s="59"/>
      <c r="ELB5" s="59"/>
      <c r="ELC5" s="59"/>
      <c r="ELD5" s="59"/>
      <c r="ELE5" s="59"/>
      <c r="ELF5" s="59"/>
      <c r="ELG5" s="59"/>
      <c r="ELH5" s="59"/>
      <c r="ELI5" s="59"/>
      <c r="ELJ5" s="59"/>
      <c r="ELK5" s="59"/>
      <c r="ELL5" s="59"/>
      <c r="ELM5" s="59"/>
      <c r="ELN5" s="59"/>
      <c r="ELO5" s="59"/>
      <c r="ELP5" s="59"/>
      <c r="ELQ5" s="59"/>
      <c r="ELR5" s="59"/>
      <c r="ELS5" s="59"/>
      <c r="ELT5" s="59"/>
      <c r="ELU5" s="59"/>
      <c r="ELV5" s="59"/>
      <c r="ELW5" s="59"/>
      <c r="ELX5" s="59"/>
      <c r="ELY5" s="59"/>
      <c r="ELZ5" s="59"/>
      <c r="EMA5" s="59"/>
      <c r="EMB5" s="59"/>
      <c r="EMC5" s="59"/>
      <c r="EMD5" s="59"/>
      <c r="EME5" s="59"/>
      <c r="EMF5" s="59"/>
      <c r="EMG5" s="59"/>
      <c r="EMH5" s="59"/>
      <c r="EMI5" s="59"/>
      <c r="EMJ5" s="59"/>
      <c r="EMK5" s="59"/>
      <c r="EML5" s="59"/>
      <c r="EMM5" s="59"/>
      <c r="EMN5" s="59"/>
      <c r="EMO5" s="59"/>
      <c r="EMP5" s="59"/>
      <c r="EMQ5" s="59"/>
      <c r="EMR5" s="59"/>
      <c r="EMS5" s="59"/>
      <c r="EMT5" s="59"/>
      <c r="EMU5" s="59"/>
      <c r="EMV5" s="59"/>
      <c r="EMW5" s="59"/>
      <c r="EMX5" s="59"/>
      <c r="EMY5" s="59"/>
      <c r="EMZ5" s="59"/>
      <c r="ENA5" s="59"/>
      <c r="ENB5" s="59"/>
      <c r="ENC5" s="59"/>
      <c r="END5" s="59"/>
      <c r="ENE5" s="59"/>
      <c r="ENF5" s="59"/>
      <c r="ENG5" s="59"/>
      <c r="ENH5" s="59"/>
      <c r="ENI5" s="59"/>
      <c r="ENJ5" s="59"/>
      <c r="ENK5" s="59"/>
      <c r="ENL5" s="59"/>
      <c r="ENM5" s="59"/>
      <c r="ENN5" s="59"/>
      <c r="ENO5" s="59"/>
      <c r="ENP5" s="59"/>
      <c r="ENQ5" s="59"/>
      <c r="ENR5" s="59"/>
      <c r="ENS5" s="59"/>
      <c r="ENT5" s="59"/>
      <c r="ENU5" s="59"/>
      <c r="ENV5" s="59"/>
      <c r="ENW5" s="59"/>
      <c r="ENX5" s="59"/>
      <c r="ENY5" s="59"/>
      <c r="ENZ5" s="59"/>
      <c r="EOA5" s="59"/>
      <c r="EOB5" s="59"/>
      <c r="EOC5" s="59"/>
      <c r="EOD5" s="59"/>
      <c r="EOE5" s="59"/>
      <c r="EOF5" s="59"/>
      <c r="EOG5" s="59"/>
      <c r="EOH5" s="59"/>
      <c r="EOI5" s="59"/>
      <c r="EOJ5" s="59"/>
      <c r="EOK5" s="59"/>
      <c r="EOL5" s="59"/>
      <c r="EOM5" s="59"/>
      <c r="EON5" s="59"/>
      <c r="EOO5" s="59"/>
      <c r="EOP5" s="59"/>
      <c r="EOQ5" s="59"/>
      <c r="EOR5" s="59"/>
      <c r="EOS5" s="59"/>
      <c r="EOT5" s="59"/>
      <c r="EOU5" s="59"/>
      <c r="EOV5" s="59"/>
      <c r="EOW5" s="59"/>
      <c r="EOX5" s="59"/>
      <c r="EOY5" s="59"/>
      <c r="EOZ5" s="59"/>
      <c r="EPA5" s="59"/>
      <c r="EPB5" s="59"/>
      <c r="EPC5" s="59"/>
      <c r="EPD5" s="59"/>
      <c r="EPE5" s="59"/>
      <c r="EPF5" s="59"/>
      <c r="EPG5" s="59"/>
      <c r="EPH5" s="59"/>
      <c r="EPI5" s="59"/>
      <c r="EPJ5" s="59"/>
      <c r="EPK5" s="59"/>
      <c r="EPL5" s="59"/>
      <c r="EPM5" s="59"/>
      <c r="EPN5" s="59"/>
      <c r="EPO5" s="59"/>
      <c r="EPP5" s="59"/>
      <c r="EPQ5" s="59"/>
      <c r="EPR5" s="59"/>
      <c r="EPS5" s="59"/>
      <c r="EPT5" s="59"/>
      <c r="EPU5" s="59"/>
      <c r="EPV5" s="59"/>
      <c r="EPW5" s="59"/>
      <c r="EPX5" s="59"/>
      <c r="EPY5" s="59"/>
      <c r="EPZ5" s="59"/>
      <c r="EQA5" s="59"/>
      <c r="EQB5" s="59"/>
      <c r="EQC5" s="59"/>
      <c r="EQD5" s="59"/>
      <c r="EQE5" s="59"/>
      <c r="EQF5" s="59"/>
      <c r="EQG5" s="59"/>
      <c r="EQH5" s="59"/>
      <c r="EQI5" s="59"/>
      <c r="EQJ5" s="59"/>
      <c r="EQK5" s="59"/>
      <c r="EQL5" s="59"/>
      <c r="EQM5" s="59"/>
      <c r="EQN5" s="59"/>
      <c r="EQO5" s="59"/>
      <c r="EQP5" s="59"/>
      <c r="EQQ5" s="59"/>
      <c r="EQR5" s="59"/>
      <c r="EQS5" s="59"/>
      <c r="EQT5" s="59"/>
      <c r="EQU5" s="59"/>
      <c r="EQV5" s="59"/>
      <c r="EQW5" s="59"/>
      <c r="EQX5" s="59"/>
      <c r="EQY5" s="59"/>
      <c r="EQZ5" s="59"/>
      <c r="ERA5" s="59"/>
      <c r="ERB5" s="59"/>
      <c r="ERC5" s="59"/>
      <c r="ERD5" s="59"/>
      <c r="ERE5" s="59"/>
      <c r="ERF5" s="59"/>
      <c r="ERG5" s="59"/>
      <c r="ERH5" s="59"/>
      <c r="ERI5" s="59"/>
      <c r="ERJ5" s="59"/>
      <c r="ERK5" s="59"/>
      <c r="ERL5" s="59"/>
      <c r="ERM5" s="59"/>
      <c r="ERN5" s="59"/>
      <c r="ERO5" s="59"/>
      <c r="ERP5" s="59"/>
      <c r="ERQ5" s="59"/>
      <c r="ERR5" s="59"/>
      <c r="ERS5" s="59"/>
      <c r="ERT5" s="59"/>
      <c r="ERU5" s="59"/>
      <c r="ERV5" s="59"/>
      <c r="ERW5" s="59"/>
      <c r="ERX5" s="59"/>
      <c r="ERY5" s="59"/>
      <c r="ERZ5" s="59"/>
      <c r="ESA5" s="59"/>
      <c r="ESB5" s="59"/>
      <c r="ESC5" s="59"/>
      <c r="ESD5" s="59"/>
      <c r="ESE5" s="59"/>
      <c r="ESF5" s="59"/>
      <c r="ESG5" s="59"/>
      <c r="ESH5" s="59"/>
      <c r="ESI5" s="59"/>
      <c r="ESJ5" s="59"/>
      <c r="ESK5" s="59"/>
      <c r="ESL5" s="59"/>
      <c r="ESM5" s="59"/>
      <c r="ESN5" s="59"/>
      <c r="ESO5" s="59"/>
      <c r="ESP5" s="59"/>
      <c r="ESQ5" s="59"/>
      <c r="ESR5" s="59"/>
      <c r="ESS5" s="59"/>
      <c r="EST5" s="59"/>
      <c r="ESU5" s="59"/>
      <c r="ESV5" s="59"/>
      <c r="ESW5" s="59"/>
      <c r="ESX5" s="59"/>
      <c r="ESY5" s="59"/>
      <c r="ESZ5" s="59"/>
      <c r="ETA5" s="59"/>
      <c r="ETB5" s="59"/>
      <c r="ETC5" s="59"/>
      <c r="ETD5" s="59"/>
      <c r="ETE5" s="59"/>
      <c r="ETF5" s="59"/>
      <c r="ETG5" s="59"/>
      <c r="ETH5" s="59"/>
      <c r="ETI5" s="59"/>
      <c r="ETJ5" s="59"/>
      <c r="ETK5" s="59"/>
      <c r="ETL5" s="59"/>
      <c r="ETM5" s="59"/>
      <c r="ETN5" s="59"/>
      <c r="ETO5" s="59"/>
      <c r="ETP5" s="59"/>
      <c r="ETQ5" s="59"/>
      <c r="ETR5" s="59"/>
      <c r="ETS5" s="59"/>
      <c r="ETT5" s="59"/>
      <c r="ETU5" s="59"/>
      <c r="ETV5" s="59"/>
      <c r="ETW5" s="59"/>
      <c r="ETX5" s="59"/>
      <c r="ETY5" s="59"/>
      <c r="ETZ5" s="59"/>
      <c r="EUA5" s="59"/>
      <c r="EUB5" s="59"/>
      <c r="EUC5" s="59"/>
      <c r="EUD5" s="59"/>
      <c r="EUE5" s="59"/>
      <c r="EUF5" s="59"/>
      <c r="EUG5" s="59"/>
      <c r="EUH5" s="59"/>
      <c r="EUI5" s="59"/>
      <c r="EUJ5" s="59"/>
      <c r="EUK5" s="59"/>
      <c r="EUL5" s="59"/>
      <c r="EUM5" s="59"/>
      <c r="EUN5" s="59"/>
      <c r="EUO5" s="59"/>
      <c r="EUP5" s="59"/>
      <c r="EUQ5" s="59"/>
      <c r="EUR5" s="59"/>
      <c r="EUS5" s="59"/>
      <c r="EUT5" s="59"/>
      <c r="EUU5" s="59"/>
      <c r="EUV5" s="59"/>
      <c r="EUW5" s="59"/>
      <c r="EUX5" s="59"/>
      <c r="EUY5" s="59"/>
      <c r="EUZ5" s="59"/>
      <c r="EVA5" s="59"/>
      <c r="EVB5" s="59"/>
      <c r="EVC5" s="59"/>
      <c r="EVD5" s="59"/>
      <c r="EVE5" s="59"/>
      <c r="EVF5" s="59"/>
      <c r="EVG5" s="59"/>
      <c r="EVH5" s="59"/>
      <c r="EVI5" s="59"/>
      <c r="EVJ5" s="59"/>
      <c r="EVK5" s="59"/>
      <c r="EVL5" s="59"/>
      <c r="EVM5" s="59"/>
      <c r="EVN5" s="59"/>
      <c r="EVO5" s="59"/>
      <c r="EVP5" s="59"/>
      <c r="EVQ5" s="59"/>
      <c r="EVR5" s="59"/>
      <c r="EVS5" s="59"/>
      <c r="EVT5" s="59"/>
      <c r="EVU5" s="59"/>
      <c r="EVV5" s="59"/>
      <c r="EVW5" s="59"/>
      <c r="EVX5" s="59"/>
      <c r="EVY5" s="59"/>
      <c r="EVZ5" s="59"/>
      <c r="EWA5" s="59"/>
      <c r="EWB5" s="59"/>
      <c r="EWC5" s="59"/>
      <c r="EWD5" s="59"/>
      <c r="EWE5" s="59"/>
      <c r="EWF5" s="59"/>
      <c r="EWG5" s="59"/>
      <c r="EWH5" s="59"/>
      <c r="EWI5" s="59"/>
      <c r="EWJ5" s="59"/>
      <c r="EWK5" s="59"/>
      <c r="EWL5" s="59"/>
      <c r="EWM5" s="59"/>
      <c r="EWN5" s="59"/>
      <c r="EWO5" s="59"/>
      <c r="EWP5" s="59"/>
      <c r="EWQ5" s="59"/>
      <c r="EWR5" s="59"/>
      <c r="EWS5" s="59"/>
      <c r="EWT5" s="59"/>
      <c r="EWU5" s="59"/>
      <c r="EWV5" s="59"/>
      <c r="EWW5" s="59"/>
      <c r="EWX5" s="59"/>
      <c r="EWY5" s="59"/>
      <c r="EWZ5" s="59"/>
      <c r="EXA5" s="59"/>
      <c r="EXB5" s="59"/>
      <c r="EXC5" s="59"/>
      <c r="EXD5" s="59"/>
      <c r="EXE5" s="59"/>
      <c r="EXF5" s="59"/>
      <c r="EXG5" s="59"/>
      <c r="EXH5" s="59"/>
      <c r="EXI5" s="59"/>
      <c r="EXJ5" s="59"/>
      <c r="EXK5" s="59"/>
      <c r="EXL5" s="59"/>
      <c r="EXM5" s="59"/>
      <c r="EXN5" s="59"/>
      <c r="EXO5" s="59"/>
      <c r="EXP5" s="59"/>
      <c r="EXQ5" s="59"/>
      <c r="EXR5" s="59"/>
      <c r="EXS5" s="59"/>
      <c r="EXT5" s="59"/>
      <c r="EXU5" s="59"/>
      <c r="EXV5" s="59"/>
      <c r="EXW5" s="59"/>
      <c r="EXX5" s="59"/>
      <c r="EXY5" s="59"/>
      <c r="EXZ5" s="59"/>
      <c r="EYA5" s="59"/>
      <c r="EYB5" s="59"/>
      <c r="EYC5" s="59"/>
      <c r="EYD5" s="59"/>
      <c r="EYE5" s="59"/>
      <c r="EYF5" s="59"/>
      <c r="EYG5" s="59"/>
      <c r="EYH5" s="59"/>
      <c r="EYI5" s="59"/>
      <c r="EYJ5" s="59"/>
      <c r="EYK5" s="59"/>
      <c r="EYL5" s="59"/>
      <c r="EYM5" s="59"/>
      <c r="EYN5" s="59"/>
      <c r="EYO5" s="59"/>
      <c r="EYP5" s="59"/>
      <c r="EYQ5" s="59"/>
      <c r="EYR5" s="59"/>
      <c r="EYS5" s="59"/>
      <c r="EYT5" s="59"/>
      <c r="EYU5" s="59"/>
      <c r="EYV5" s="59"/>
      <c r="EYW5" s="59"/>
      <c r="EYX5" s="59"/>
      <c r="EYY5" s="59"/>
      <c r="EYZ5" s="59"/>
      <c r="EZA5" s="59"/>
      <c r="EZB5" s="59"/>
      <c r="EZC5" s="59"/>
      <c r="EZD5" s="59"/>
      <c r="EZE5" s="59"/>
      <c r="EZF5" s="59"/>
      <c r="EZG5" s="59"/>
      <c r="EZH5" s="59"/>
      <c r="EZI5" s="59"/>
      <c r="EZJ5" s="59"/>
      <c r="EZK5" s="59"/>
      <c r="EZL5" s="59"/>
      <c r="EZM5" s="59"/>
      <c r="EZN5" s="59"/>
      <c r="EZO5" s="59"/>
      <c r="EZP5" s="59"/>
      <c r="EZQ5" s="59"/>
      <c r="EZR5" s="59"/>
      <c r="EZS5" s="59"/>
      <c r="EZT5" s="59"/>
      <c r="EZU5" s="59"/>
      <c r="EZV5" s="59"/>
      <c r="EZW5" s="59"/>
      <c r="EZX5" s="59"/>
      <c r="EZY5" s="59"/>
      <c r="EZZ5" s="59"/>
      <c r="FAA5" s="59"/>
      <c r="FAB5" s="59"/>
      <c r="FAC5" s="59"/>
      <c r="FAD5" s="59"/>
      <c r="FAE5" s="59"/>
      <c r="FAF5" s="59"/>
      <c r="FAG5" s="59"/>
      <c r="FAH5" s="59"/>
      <c r="FAI5" s="59"/>
      <c r="FAJ5" s="59"/>
      <c r="FAK5" s="59"/>
      <c r="FAL5" s="59"/>
      <c r="FAM5" s="59"/>
      <c r="FAN5" s="59"/>
      <c r="FAO5" s="59"/>
      <c r="FAP5" s="59"/>
      <c r="FAQ5" s="59"/>
      <c r="FAR5" s="59"/>
      <c r="FAS5" s="59"/>
      <c r="FAT5" s="59"/>
      <c r="FAU5" s="59"/>
      <c r="FAV5" s="59"/>
      <c r="FAW5" s="59"/>
      <c r="FAX5" s="59"/>
      <c r="FAY5" s="59"/>
      <c r="FAZ5" s="59"/>
      <c r="FBA5" s="59"/>
      <c r="FBB5" s="59"/>
      <c r="FBC5" s="59"/>
      <c r="FBD5" s="59"/>
      <c r="FBE5" s="59"/>
      <c r="FBF5" s="59"/>
      <c r="FBG5" s="59"/>
      <c r="FBH5" s="59"/>
      <c r="FBI5" s="59"/>
      <c r="FBJ5" s="59"/>
      <c r="FBK5" s="59"/>
      <c r="FBL5" s="59"/>
      <c r="FBM5" s="59"/>
      <c r="FBN5" s="59"/>
      <c r="FBO5" s="59"/>
      <c r="FBP5" s="59"/>
      <c r="FBQ5" s="59"/>
      <c r="FBR5" s="59"/>
      <c r="FBS5" s="59"/>
      <c r="FBT5" s="59"/>
      <c r="FBU5" s="59"/>
      <c r="FBV5" s="59"/>
      <c r="FBW5" s="59"/>
      <c r="FBX5" s="59"/>
      <c r="FBY5" s="59"/>
      <c r="FBZ5" s="59"/>
      <c r="FCA5" s="59"/>
      <c r="FCB5" s="59"/>
      <c r="FCC5" s="59"/>
      <c r="FCD5" s="59"/>
      <c r="FCE5" s="59"/>
      <c r="FCF5" s="59"/>
      <c r="FCG5" s="59"/>
      <c r="FCH5" s="59"/>
      <c r="FCI5" s="59"/>
      <c r="FCJ5" s="59"/>
      <c r="FCK5" s="59"/>
      <c r="FCL5" s="59"/>
      <c r="FCM5" s="59"/>
      <c r="FCN5" s="59"/>
      <c r="FCO5" s="59"/>
      <c r="FCP5" s="59"/>
      <c r="FCQ5" s="59"/>
      <c r="FCR5" s="59"/>
      <c r="FCS5" s="59"/>
      <c r="FCT5" s="59"/>
      <c r="FCU5" s="59"/>
      <c r="FCV5" s="59"/>
      <c r="FCW5" s="59"/>
      <c r="FCX5" s="59"/>
      <c r="FCY5" s="59"/>
      <c r="FCZ5" s="59"/>
      <c r="FDA5" s="59"/>
      <c r="FDB5" s="59"/>
      <c r="FDC5" s="59"/>
      <c r="FDD5" s="59"/>
      <c r="FDE5" s="59"/>
      <c r="FDF5" s="59"/>
      <c r="FDG5" s="59"/>
      <c r="FDH5" s="59"/>
      <c r="FDI5" s="59"/>
      <c r="FDJ5" s="59"/>
      <c r="FDK5" s="59"/>
      <c r="FDL5" s="59"/>
      <c r="FDM5" s="59"/>
      <c r="FDN5" s="59"/>
      <c r="FDO5" s="59"/>
      <c r="FDP5" s="59"/>
      <c r="FDQ5" s="59"/>
      <c r="FDR5" s="59"/>
      <c r="FDS5" s="59"/>
      <c r="FDT5" s="59"/>
      <c r="FDU5" s="59"/>
      <c r="FDV5" s="59"/>
      <c r="FDW5" s="59"/>
      <c r="FDX5" s="59"/>
      <c r="FDY5" s="59"/>
      <c r="FDZ5" s="59"/>
      <c r="FEA5" s="59"/>
      <c r="FEB5" s="59"/>
      <c r="FEC5" s="59"/>
      <c r="FED5" s="59"/>
      <c r="FEE5" s="59"/>
      <c r="FEF5" s="59"/>
      <c r="FEG5" s="59"/>
      <c r="FEH5" s="59"/>
      <c r="FEI5" s="59"/>
      <c r="FEJ5" s="59"/>
      <c r="FEK5" s="59"/>
      <c r="FEL5" s="59"/>
      <c r="FEM5" s="59"/>
      <c r="FEN5" s="59"/>
      <c r="FEO5" s="59"/>
      <c r="FEP5" s="59"/>
      <c r="FEQ5" s="59"/>
      <c r="FER5" s="59"/>
      <c r="FES5" s="59"/>
      <c r="FET5" s="59"/>
      <c r="FEU5" s="59"/>
      <c r="FEV5" s="59"/>
      <c r="FEW5" s="59"/>
      <c r="FEX5" s="59"/>
      <c r="FEY5" s="59"/>
      <c r="FEZ5" s="59"/>
      <c r="FFA5" s="59"/>
      <c r="FFB5" s="59"/>
      <c r="FFC5" s="59"/>
      <c r="FFD5" s="59"/>
      <c r="FFE5" s="59"/>
      <c r="FFF5" s="59"/>
      <c r="FFG5" s="59"/>
      <c r="FFH5" s="59"/>
      <c r="FFI5" s="59"/>
      <c r="FFJ5" s="59"/>
      <c r="FFK5" s="59"/>
      <c r="FFL5" s="59"/>
      <c r="FFM5" s="59"/>
      <c r="FFN5" s="59"/>
      <c r="FFO5" s="59"/>
      <c r="FFP5" s="59"/>
      <c r="FFQ5" s="59"/>
      <c r="FFR5" s="59"/>
      <c r="FFS5" s="59"/>
      <c r="FFT5" s="59"/>
      <c r="FFU5" s="59"/>
      <c r="FFV5" s="59"/>
      <c r="FFW5" s="59"/>
      <c r="FFX5" s="59"/>
      <c r="FFY5" s="59"/>
      <c r="FFZ5" s="59"/>
      <c r="FGA5" s="59"/>
      <c r="FGB5" s="59"/>
      <c r="FGC5" s="59"/>
      <c r="FGD5" s="59"/>
      <c r="FGE5" s="59"/>
      <c r="FGF5" s="59"/>
      <c r="FGG5" s="59"/>
      <c r="FGH5" s="59"/>
      <c r="FGI5" s="59"/>
      <c r="FGJ5" s="59"/>
      <c r="FGK5" s="59"/>
      <c r="FGL5" s="59"/>
      <c r="FGM5" s="59"/>
      <c r="FGN5" s="59"/>
      <c r="FGO5" s="59"/>
      <c r="FGP5" s="59"/>
      <c r="FGQ5" s="59"/>
      <c r="FGR5" s="59"/>
      <c r="FGS5" s="59"/>
      <c r="FGT5" s="59"/>
      <c r="FGU5" s="59"/>
      <c r="FGV5" s="59"/>
      <c r="FGW5" s="59"/>
      <c r="FGX5" s="59"/>
      <c r="FGY5" s="59"/>
      <c r="FGZ5" s="59"/>
      <c r="FHA5" s="59"/>
      <c r="FHB5" s="59"/>
      <c r="FHC5" s="59"/>
      <c r="FHD5" s="59"/>
      <c r="FHE5" s="59"/>
      <c r="FHF5" s="59"/>
      <c r="FHG5" s="59"/>
      <c r="FHH5" s="59"/>
      <c r="FHI5" s="59"/>
      <c r="FHJ5" s="59"/>
      <c r="FHK5" s="59"/>
      <c r="FHL5" s="59"/>
      <c r="FHM5" s="59"/>
      <c r="FHN5" s="59"/>
      <c r="FHO5" s="59"/>
      <c r="FHP5" s="59"/>
      <c r="FHQ5" s="59"/>
      <c r="FHR5" s="59"/>
      <c r="FHS5" s="59"/>
      <c r="FHT5" s="59"/>
      <c r="FHU5" s="59"/>
      <c r="FHV5" s="59"/>
      <c r="FHW5" s="59"/>
      <c r="FHX5" s="59"/>
      <c r="FHY5" s="59"/>
      <c r="FHZ5" s="59"/>
      <c r="FIA5" s="59"/>
      <c r="FIB5" s="59"/>
      <c r="FIC5" s="59"/>
      <c r="FID5" s="59"/>
      <c r="FIE5" s="59"/>
      <c r="FIF5" s="59"/>
      <c r="FIG5" s="59"/>
      <c r="FIH5" s="59"/>
      <c r="FII5" s="59"/>
      <c r="FIJ5" s="59"/>
      <c r="FIK5" s="59"/>
      <c r="FIL5" s="59"/>
      <c r="FIM5" s="59"/>
      <c r="FIN5" s="59"/>
      <c r="FIO5" s="59"/>
      <c r="FIP5" s="59"/>
      <c r="FIQ5" s="59"/>
      <c r="FIR5" s="59"/>
      <c r="FIS5" s="59"/>
      <c r="FIT5" s="59"/>
      <c r="FIU5" s="59"/>
      <c r="FIV5" s="59"/>
      <c r="FIW5" s="59"/>
      <c r="FIX5" s="59"/>
      <c r="FIY5" s="59"/>
      <c r="FIZ5" s="59"/>
      <c r="FJA5" s="59"/>
      <c r="FJB5" s="59"/>
      <c r="FJC5" s="59"/>
      <c r="FJD5" s="59"/>
      <c r="FJE5" s="59"/>
      <c r="FJF5" s="59"/>
      <c r="FJG5" s="59"/>
      <c r="FJH5" s="59"/>
      <c r="FJI5" s="59"/>
      <c r="FJJ5" s="59"/>
      <c r="FJK5" s="59"/>
      <c r="FJL5" s="59"/>
      <c r="FJM5" s="59"/>
      <c r="FJN5" s="59"/>
      <c r="FJO5" s="59"/>
      <c r="FJP5" s="59"/>
      <c r="FJQ5" s="59"/>
      <c r="FJR5" s="59"/>
      <c r="FJS5" s="59"/>
      <c r="FJT5" s="59"/>
      <c r="FJU5" s="59"/>
      <c r="FJV5" s="59"/>
      <c r="FJW5" s="59"/>
      <c r="FJX5" s="59"/>
      <c r="FJY5" s="59"/>
      <c r="FJZ5" s="59"/>
      <c r="FKA5" s="59"/>
      <c r="FKB5" s="59"/>
      <c r="FKC5" s="59"/>
      <c r="FKD5" s="59"/>
      <c r="FKE5" s="59"/>
      <c r="FKF5" s="59"/>
      <c r="FKG5" s="59"/>
      <c r="FKH5" s="59"/>
      <c r="FKI5" s="59"/>
      <c r="FKJ5" s="59"/>
      <c r="FKK5" s="59"/>
      <c r="FKL5" s="59"/>
      <c r="FKM5" s="59"/>
      <c r="FKN5" s="59"/>
      <c r="FKO5" s="59"/>
      <c r="FKP5" s="59"/>
      <c r="FKQ5" s="59"/>
      <c r="FKR5" s="59"/>
      <c r="FKS5" s="59"/>
      <c r="FKT5" s="59"/>
      <c r="FKU5" s="59"/>
      <c r="FKV5" s="59"/>
      <c r="FKW5" s="59"/>
      <c r="FKX5" s="59"/>
      <c r="FKY5" s="59"/>
      <c r="FKZ5" s="59"/>
      <c r="FLA5" s="59"/>
      <c r="FLB5" s="59"/>
      <c r="FLC5" s="59"/>
      <c r="FLD5" s="59"/>
      <c r="FLE5" s="59"/>
      <c r="FLF5" s="59"/>
      <c r="FLG5" s="59"/>
      <c r="FLH5" s="59"/>
      <c r="FLI5" s="59"/>
      <c r="FLJ5" s="59"/>
      <c r="FLK5" s="59"/>
      <c r="FLL5" s="59"/>
      <c r="FLM5" s="59"/>
      <c r="FLN5" s="59"/>
      <c r="FLO5" s="59"/>
      <c r="FLP5" s="59"/>
      <c r="FLQ5" s="59"/>
      <c r="FLR5" s="59"/>
      <c r="FLS5" s="59"/>
      <c r="FLT5" s="59"/>
      <c r="FLU5" s="59"/>
      <c r="FLV5" s="59"/>
      <c r="FLW5" s="59"/>
      <c r="FLX5" s="59"/>
      <c r="FLY5" s="59"/>
      <c r="FLZ5" s="59"/>
      <c r="FMA5" s="59"/>
      <c r="FMB5" s="59"/>
      <c r="FMC5" s="59"/>
      <c r="FMD5" s="59"/>
      <c r="FME5" s="59"/>
      <c r="FMF5" s="59"/>
      <c r="FMG5" s="59"/>
      <c r="FMH5" s="59"/>
      <c r="FMI5" s="59"/>
      <c r="FMJ5" s="59"/>
      <c r="FMK5" s="59"/>
      <c r="FML5" s="59"/>
      <c r="FMM5" s="59"/>
      <c r="FMN5" s="59"/>
      <c r="FMO5" s="59"/>
      <c r="FMP5" s="59"/>
      <c r="FMQ5" s="59"/>
      <c r="FMR5" s="59"/>
      <c r="FMS5" s="59"/>
      <c r="FMT5" s="59"/>
      <c r="FMU5" s="59"/>
      <c r="FMV5" s="59"/>
      <c r="FMW5" s="59"/>
      <c r="FMX5" s="59"/>
      <c r="FMY5" s="59"/>
      <c r="FMZ5" s="59"/>
      <c r="FNA5" s="59"/>
      <c r="FNB5" s="59"/>
      <c r="FNC5" s="59"/>
      <c r="FND5" s="59"/>
      <c r="FNE5" s="59"/>
      <c r="FNF5" s="59"/>
      <c r="FNG5" s="59"/>
      <c r="FNH5" s="59"/>
      <c r="FNI5" s="59"/>
      <c r="FNJ5" s="59"/>
      <c r="FNK5" s="59"/>
      <c r="FNL5" s="59"/>
      <c r="FNM5" s="59"/>
      <c r="FNN5" s="59"/>
      <c r="FNO5" s="59"/>
      <c r="FNP5" s="59"/>
      <c r="FNQ5" s="59"/>
      <c r="FNR5" s="59"/>
      <c r="FNS5" s="59"/>
      <c r="FNT5" s="59"/>
      <c r="FNU5" s="59"/>
      <c r="FNV5" s="59"/>
      <c r="FNW5" s="59"/>
      <c r="FNX5" s="59"/>
      <c r="FNY5" s="59"/>
      <c r="FNZ5" s="59"/>
      <c r="FOA5" s="59"/>
      <c r="FOB5" s="59"/>
      <c r="FOC5" s="59"/>
      <c r="FOD5" s="59"/>
      <c r="FOE5" s="59"/>
      <c r="FOF5" s="59"/>
      <c r="FOG5" s="59"/>
      <c r="FOH5" s="59"/>
      <c r="FOI5" s="59"/>
      <c r="FOJ5" s="59"/>
      <c r="FOK5" s="59"/>
      <c r="FOL5" s="59"/>
      <c r="FOM5" s="59"/>
      <c r="FON5" s="59"/>
      <c r="FOO5" s="59"/>
      <c r="FOP5" s="59"/>
      <c r="FOQ5" s="59"/>
      <c r="FOR5" s="59"/>
      <c r="FOS5" s="59"/>
      <c r="FOT5" s="59"/>
      <c r="FOU5" s="59"/>
      <c r="FOV5" s="59"/>
      <c r="FOW5" s="59"/>
      <c r="FOX5" s="59"/>
      <c r="FOY5" s="59"/>
      <c r="FOZ5" s="59"/>
      <c r="FPA5" s="59"/>
      <c r="FPB5" s="59"/>
      <c r="FPC5" s="59"/>
      <c r="FPD5" s="59"/>
      <c r="FPE5" s="59"/>
      <c r="FPF5" s="59"/>
      <c r="FPG5" s="59"/>
      <c r="FPH5" s="59"/>
      <c r="FPI5" s="59"/>
      <c r="FPJ5" s="59"/>
      <c r="FPK5" s="59"/>
      <c r="FPL5" s="59"/>
      <c r="FPM5" s="59"/>
      <c r="FPN5" s="59"/>
      <c r="FPO5" s="59"/>
      <c r="FPP5" s="59"/>
      <c r="FPQ5" s="59"/>
      <c r="FPR5" s="59"/>
      <c r="FPS5" s="59"/>
      <c r="FPT5" s="59"/>
      <c r="FPU5" s="59"/>
      <c r="FPV5" s="59"/>
      <c r="FPW5" s="59"/>
      <c r="FPX5" s="59"/>
      <c r="FPY5" s="59"/>
      <c r="FPZ5" s="59"/>
      <c r="FQA5" s="59"/>
      <c r="FQB5" s="59"/>
      <c r="FQC5" s="59"/>
      <c r="FQD5" s="59"/>
      <c r="FQE5" s="59"/>
      <c r="FQF5" s="59"/>
      <c r="FQG5" s="59"/>
      <c r="FQH5" s="59"/>
      <c r="FQI5" s="59"/>
      <c r="FQJ5" s="59"/>
      <c r="FQK5" s="59"/>
      <c r="FQL5" s="59"/>
      <c r="FQM5" s="59"/>
      <c r="FQN5" s="59"/>
      <c r="FQO5" s="59"/>
      <c r="FQP5" s="59"/>
      <c r="FQQ5" s="59"/>
      <c r="FQR5" s="59"/>
      <c r="FQS5" s="59"/>
      <c r="FQT5" s="59"/>
      <c r="FQU5" s="59"/>
      <c r="FQV5" s="59"/>
      <c r="FQW5" s="59"/>
      <c r="FQX5" s="59"/>
      <c r="FQY5" s="59"/>
      <c r="FQZ5" s="59"/>
      <c r="FRA5" s="59"/>
      <c r="FRB5" s="59"/>
      <c r="FRC5" s="59"/>
      <c r="FRD5" s="59"/>
      <c r="FRE5" s="59"/>
      <c r="FRF5" s="59"/>
      <c r="FRG5" s="59"/>
      <c r="FRH5" s="59"/>
      <c r="FRI5" s="59"/>
      <c r="FRJ5" s="59"/>
      <c r="FRK5" s="59"/>
      <c r="FRL5" s="59"/>
      <c r="FRM5" s="59"/>
      <c r="FRN5" s="59"/>
      <c r="FRO5" s="59"/>
      <c r="FRP5" s="59"/>
      <c r="FRQ5" s="59"/>
      <c r="FRR5" s="59"/>
      <c r="FRS5" s="59"/>
      <c r="FRT5" s="59"/>
      <c r="FRU5" s="59"/>
      <c r="FRV5" s="59"/>
      <c r="FRW5" s="59"/>
      <c r="FRX5" s="59"/>
      <c r="FRY5" s="59"/>
      <c r="FRZ5" s="59"/>
      <c r="FSA5" s="59"/>
      <c r="FSB5" s="59"/>
      <c r="FSC5" s="59"/>
      <c r="FSD5" s="59"/>
      <c r="FSE5" s="59"/>
      <c r="FSF5" s="59"/>
      <c r="FSG5" s="59"/>
      <c r="FSH5" s="59"/>
      <c r="FSI5" s="59"/>
      <c r="FSJ5" s="59"/>
      <c r="FSK5" s="59"/>
      <c r="FSL5" s="59"/>
      <c r="FSM5" s="59"/>
      <c r="FSN5" s="59"/>
      <c r="FSO5" s="59"/>
      <c r="FSP5" s="59"/>
      <c r="FSQ5" s="59"/>
      <c r="FSR5" s="59"/>
      <c r="FSS5" s="59"/>
      <c r="FST5" s="59"/>
      <c r="FSU5" s="59"/>
      <c r="FSV5" s="59"/>
      <c r="FSW5" s="59"/>
      <c r="FSX5" s="59"/>
      <c r="FSY5" s="59"/>
      <c r="FSZ5" s="59"/>
      <c r="FTA5" s="59"/>
      <c r="FTB5" s="59"/>
      <c r="FTC5" s="59"/>
      <c r="FTD5" s="59"/>
      <c r="FTE5" s="59"/>
      <c r="FTF5" s="59"/>
      <c r="FTG5" s="59"/>
      <c r="FTH5" s="59"/>
      <c r="FTI5" s="59"/>
      <c r="FTJ5" s="59"/>
      <c r="FTK5" s="59"/>
      <c r="FTL5" s="59"/>
      <c r="FTM5" s="59"/>
      <c r="FTN5" s="59"/>
      <c r="FTO5" s="59"/>
      <c r="FTP5" s="59"/>
      <c r="FTQ5" s="59"/>
      <c r="FTR5" s="59"/>
      <c r="FTS5" s="59"/>
      <c r="FTT5" s="59"/>
      <c r="FTU5" s="59"/>
      <c r="FTV5" s="59"/>
      <c r="FTW5" s="59"/>
      <c r="FTX5" s="59"/>
      <c r="FTY5" s="59"/>
      <c r="FTZ5" s="59"/>
      <c r="FUA5" s="59"/>
      <c r="FUB5" s="59"/>
      <c r="FUC5" s="59"/>
      <c r="FUD5" s="59"/>
      <c r="FUE5" s="59"/>
      <c r="FUF5" s="59"/>
      <c r="FUG5" s="59"/>
      <c r="FUH5" s="59"/>
      <c r="FUI5" s="59"/>
      <c r="FUJ5" s="59"/>
      <c r="FUK5" s="59"/>
      <c r="FUL5" s="59"/>
      <c r="FUM5" s="59"/>
      <c r="FUN5" s="59"/>
      <c r="FUO5" s="59"/>
      <c r="FUP5" s="59"/>
      <c r="FUQ5" s="59"/>
      <c r="FUR5" s="59"/>
      <c r="FUS5" s="59"/>
      <c r="FUT5" s="59"/>
      <c r="FUU5" s="59"/>
      <c r="FUV5" s="59"/>
      <c r="FUW5" s="59"/>
      <c r="FUX5" s="59"/>
      <c r="FUY5" s="59"/>
      <c r="FUZ5" s="59"/>
      <c r="FVA5" s="59"/>
      <c r="FVB5" s="59"/>
      <c r="FVC5" s="59"/>
      <c r="FVD5" s="59"/>
      <c r="FVE5" s="59"/>
      <c r="FVF5" s="59"/>
      <c r="FVG5" s="59"/>
      <c r="FVH5" s="59"/>
      <c r="FVI5" s="59"/>
      <c r="FVJ5" s="59"/>
      <c r="FVK5" s="59"/>
      <c r="FVL5" s="59"/>
      <c r="FVM5" s="59"/>
      <c r="FVN5" s="59"/>
      <c r="FVO5" s="59"/>
      <c r="FVP5" s="59"/>
      <c r="FVQ5" s="59"/>
      <c r="FVR5" s="59"/>
      <c r="FVS5" s="59"/>
      <c r="FVT5" s="59"/>
      <c r="FVU5" s="59"/>
      <c r="FVV5" s="59"/>
      <c r="FVW5" s="59"/>
      <c r="FVX5" s="59"/>
      <c r="FVY5" s="59"/>
      <c r="FVZ5" s="59"/>
      <c r="FWA5" s="59"/>
      <c r="FWB5" s="59"/>
      <c r="FWC5" s="59"/>
      <c r="FWD5" s="59"/>
      <c r="FWE5" s="59"/>
      <c r="FWF5" s="59"/>
      <c r="FWG5" s="59"/>
      <c r="FWH5" s="59"/>
      <c r="FWI5" s="59"/>
      <c r="FWJ5" s="59"/>
      <c r="FWK5" s="59"/>
      <c r="FWL5" s="59"/>
      <c r="FWM5" s="59"/>
      <c r="FWN5" s="59"/>
      <c r="FWO5" s="59"/>
      <c r="FWP5" s="59"/>
      <c r="FWQ5" s="59"/>
      <c r="FWR5" s="59"/>
      <c r="FWS5" s="59"/>
      <c r="FWT5" s="59"/>
      <c r="FWU5" s="59"/>
      <c r="FWV5" s="59"/>
      <c r="FWW5" s="59"/>
      <c r="FWX5" s="59"/>
      <c r="FWY5" s="59"/>
      <c r="FWZ5" s="59"/>
      <c r="FXA5" s="59"/>
      <c r="FXB5" s="59"/>
      <c r="FXC5" s="59"/>
      <c r="FXD5" s="59"/>
      <c r="FXE5" s="59"/>
      <c r="FXF5" s="59"/>
      <c r="FXG5" s="59"/>
      <c r="FXH5" s="59"/>
      <c r="FXI5" s="59"/>
      <c r="FXJ5" s="59"/>
      <c r="FXK5" s="59"/>
      <c r="FXL5" s="59"/>
      <c r="FXM5" s="59"/>
      <c r="FXN5" s="59"/>
      <c r="FXO5" s="59"/>
      <c r="FXP5" s="59"/>
      <c r="FXQ5" s="59"/>
      <c r="FXR5" s="59"/>
      <c r="FXS5" s="59"/>
      <c r="FXT5" s="59"/>
      <c r="FXU5" s="59"/>
      <c r="FXV5" s="59"/>
      <c r="FXW5" s="59"/>
      <c r="FXX5" s="59"/>
      <c r="FXY5" s="59"/>
      <c r="FXZ5" s="59"/>
      <c r="FYA5" s="59"/>
      <c r="FYB5" s="59"/>
      <c r="FYC5" s="59"/>
      <c r="FYD5" s="59"/>
      <c r="FYE5" s="59"/>
      <c r="FYF5" s="59"/>
      <c r="FYG5" s="59"/>
      <c r="FYH5" s="59"/>
      <c r="FYI5" s="59"/>
      <c r="FYJ5" s="59"/>
      <c r="FYK5" s="59"/>
      <c r="FYL5" s="59"/>
      <c r="FYM5" s="59"/>
      <c r="FYN5" s="59"/>
      <c r="FYO5" s="59"/>
      <c r="FYP5" s="59"/>
      <c r="FYQ5" s="59"/>
      <c r="FYR5" s="59"/>
      <c r="FYS5" s="59"/>
      <c r="FYT5" s="59"/>
      <c r="FYU5" s="59"/>
      <c r="FYV5" s="59"/>
      <c r="FYW5" s="59"/>
      <c r="FYX5" s="59"/>
      <c r="FYY5" s="59"/>
      <c r="FYZ5" s="59"/>
      <c r="FZA5" s="59"/>
      <c r="FZB5" s="59"/>
      <c r="FZC5" s="59"/>
      <c r="FZD5" s="59"/>
      <c r="FZE5" s="59"/>
      <c r="FZF5" s="59"/>
      <c r="FZG5" s="59"/>
      <c r="FZH5" s="59"/>
      <c r="FZI5" s="59"/>
      <c r="FZJ5" s="59"/>
      <c r="FZK5" s="59"/>
      <c r="FZL5" s="59"/>
      <c r="FZM5" s="59"/>
      <c r="FZN5" s="59"/>
      <c r="FZO5" s="59"/>
      <c r="FZP5" s="59"/>
      <c r="FZQ5" s="59"/>
      <c r="FZR5" s="59"/>
      <c r="FZS5" s="59"/>
      <c r="FZT5" s="59"/>
      <c r="FZU5" s="59"/>
      <c r="FZV5" s="59"/>
      <c r="FZW5" s="59"/>
      <c r="FZX5" s="59"/>
      <c r="FZY5" s="59"/>
      <c r="FZZ5" s="59"/>
      <c r="GAA5" s="59"/>
      <c r="GAB5" s="59"/>
      <c r="GAC5" s="59"/>
      <c r="GAD5" s="59"/>
      <c r="GAE5" s="59"/>
      <c r="GAF5" s="59"/>
      <c r="GAG5" s="59"/>
      <c r="GAH5" s="59"/>
      <c r="GAI5" s="59"/>
      <c r="GAJ5" s="59"/>
      <c r="GAK5" s="59"/>
      <c r="GAL5" s="59"/>
      <c r="GAM5" s="59"/>
      <c r="GAN5" s="59"/>
      <c r="GAO5" s="59"/>
      <c r="GAP5" s="59"/>
      <c r="GAQ5" s="59"/>
      <c r="GAR5" s="59"/>
      <c r="GAS5" s="59"/>
      <c r="GAT5" s="59"/>
      <c r="GAU5" s="59"/>
      <c r="GAV5" s="59"/>
      <c r="GAW5" s="59"/>
      <c r="GAX5" s="59"/>
      <c r="GAY5" s="59"/>
      <c r="GAZ5" s="59"/>
      <c r="GBA5" s="59"/>
      <c r="GBB5" s="59"/>
      <c r="GBC5" s="59"/>
      <c r="GBD5" s="59"/>
      <c r="GBE5" s="59"/>
      <c r="GBF5" s="59"/>
      <c r="GBG5" s="59"/>
      <c r="GBH5" s="59"/>
      <c r="GBI5" s="59"/>
      <c r="GBJ5" s="59"/>
      <c r="GBK5" s="59"/>
      <c r="GBL5" s="59"/>
      <c r="GBM5" s="59"/>
      <c r="GBN5" s="59"/>
      <c r="GBO5" s="59"/>
      <c r="GBP5" s="59"/>
      <c r="GBQ5" s="59"/>
      <c r="GBR5" s="59"/>
      <c r="GBS5" s="59"/>
      <c r="GBT5" s="59"/>
      <c r="GBU5" s="59"/>
      <c r="GBV5" s="59"/>
      <c r="GBW5" s="59"/>
      <c r="GBX5" s="59"/>
      <c r="GBY5" s="59"/>
      <c r="GBZ5" s="59"/>
      <c r="GCA5" s="59"/>
      <c r="GCB5" s="59"/>
      <c r="GCC5" s="59"/>
      <c r="GCD5" s="59"/>
      <c r="GCE5" s="59"/>
      <c r="GCF5" s="59"/>
      <c r="GCG5" s="59"/>
      <c r="GCH5" s="59"/>
      <c r="GCI5" s="59"/>
      <c r="GCJ5" s="59"/>
      <c r="GCK5" s="59"/>
      <c r="GCL5" s="59"/>
      <c r="GCM5" s="59"/>
      <c r="GCN5" s="59"/>
      <c r="GCO5" s="59"/>
      <c r="GCP5" s="59"/>
      <c r="GCQ5" s="59"/>
      <c r="GCR5" s="59"/>
      <c r="GCS5" s="59"/>
      <c r="GCT5" s="59"/>
      <c r="GCU5" s="59"/>
      <c r="GCV5" s="59"/>
      <c r="GCW5" s="59"/>
      <c r="GCX5" s="59"/>
      <c r="GCY5" s="59"/>
      <c r="GCZ5" s="59"/>
      <c r="GDA5" s="59"/>
      <c r="GDB5" s="59"/>
      <c r="GDC5" s="59"/>
      <c r="GDD5" s="59"/>
      <c r="GDE5" s="59"/>
      <c r="GDF5" s="59"/>
      <c r="GDG5" s="59"/>
      <c r="GDH5" s="59"/>
      <c r="GDI5" s="59"/>
      <c r="GDJ5" s="59"/>
      <c r="GDK5" s="59"/>
      <c r="GDL5" s="59"/>
      <c r="GDM5" s="59"/>
      <c r="GDN5" s="59"/>
      <c r="GDO5" s="59"/>
      <c r="GDP5" s="59"/>
      <c r="GDQ5" s="59"/>
      <c r="GDR5" s="59"/>
      <c r="GDS5" s="59"/>
      <c r="GDT5" s="59"/>
      <c r="GDU5" s="59"/>
      <c r="GDV5" s="59"/>
      <c r="GDW5" s="59"/>
      <c r="GDX5" s="59"/>
      <c r="GDY5" s="59"/>
      <c r="GDZ5" s="59"/>
      <c r="GEA5" s="59"/>
      <c r="GEB5" s="59"/>
      <c r="GEC5" s="59"/>
      <c r="GED5" s="59"/>
      <c r="GEE5" s="59"/>
      <c r="GEF5" s="59"/>
      <c r="GEG5" s="59"/>
      <c r="GEH5" s="59"/>
      <c r="GEI5" s="59"/>
      <c r="GEJ5" s="59"/>
      <c r="GEK5" s="59"/>
      <c r="GEL5" s="59"/>
      <c r="GEM5" s="59"/>
      <c r="GEN5" s="59"/>
      <c r="GEO5" s="59"/>
      <c r="GEP5" s="59"/>
      <c r="GEQ5" s="59"/>
      <c r="GER5" s="59"/>
      <c r="GES5" s="59"/>
      <c r="GET5" s="59"/>
      <c r="GEU5" s="59"/>
      <c r="GEV5" s="59"/>
      <c r="GEW5" s="59"/>
      <c r="GEX5" s="59"/>
      <c r="GEY5" s="59"/>
      <c r="GEZ5" s="59"/>
      <c r="GFA5" s="59"/>
      <c r="GFB5" s="59"/>
      <c r="GFC5" s="59"/>
      <c r="GFD5" s="59"/>
      <c r="GFE5" s="59"/>
      <c r="GFF5" s="59"/>
      <c r="GFG5" s="59"/>
      <c r="GFH5" s="59"/>
      <c r="GFI5" s="59"/>
      <c r="GFJ5" s="59"/>
      <c r="GFK5" s="59"/>
      <c r="GFL5" s="59"/>
      <c r="GFM5" s="59"/>
      <c r="GFN5" s="59"/>
      <c r="GFO5" s="59"/>
      <c r="GFP5" s="59"/>
      <c r="GFQ5" s="59"/>
      <c r="GFR5" s="59"/>
      <c r="GFS5" s="59"/>
      <c r="GFT5" s="59"/>
      <c r="GFU5" s="59"/>
      <c r="GFV5" s="59"/>
      <c r="GFW5" s="59"/>
      <c r="GFX5" s="59"/>
      <c r="GFY5" s="59"/>
      <c r="GFZ5" s="59"/>
      <c r="GGA5" s="59"/>
      <c r="GGB5" s="59"/>
      <c r="GGC5" s="59"/>
      <c r="GGD5" s="59"/>
      <c r="GGE5" s="59"/>
      <c r="GGF5" s="59"/>
      <c r="GGG5" s="59"/>
      <c r="GGH5" s="59"/>
      <c r="GGI5" s="59"/>
      <c r="GGJ5" s="59"/>
      <c r="GGK5" s="59"/>
      <c r="GGL5" s="59"/>
      <c r="GGM5" s="59"/>
      <c r="GGN5" s="59"/>
      <c r="GGO5" s="59"/>
      <c r="GGP5" s="59"/>
      <c r="GGQ5" s="59"/>
      <c r="GGR5" s="59"/>
      <c r="GGS5" s="59"/>
      <c r="GGT5" s="59"/>
      <c r="GGU5" s="59"/>
      <c r="GGV5" s="59"/>
      <c r="GGW5" s="59"/>
      <c r="GGX5" s="59"/>
      <c r="GGY5" s="59"/>
      <c r="GGZ5" s="59"/>
      <c r="GHA5" s="59"/>
      <c r="GHB5" s="59"/>
      <c r="GHC5" s="59"/>
      <c r="GHD5" s="59"/>
      <c r="GHE5" s="59"/>
      <c r="GHF5" s="59"/>
      <c r="GHG5" s="59"/>
      <c r="GHH5" s="59"/>
      <c r="GHI5" s="59"/>
      <c r="GHJ5" s="59"/>
      <c r="GHK5" s="59"/>
      <c r="GHL5" s="59"/>
      <c r="GHM5" s="59"/>
      <c r="GHN5" s="59"/>
      <c r="GHO5" s="59"/>
      <c r="GHP5" s="59"/>
      <c r="GHQ5" s="59"/>
      <c r="GHR5" s="59"/>
      <c r="GHS5" s="59"/>
      <c r="GHT5" s="59"/>
      <c r="GHU5" s="59"/>
      <c r="GHV5" s="59"/>
      <c r="GHW5" s="59"/>
      <c r="GHX5" s="59"/>
      <c r="GHY5" s="59"/>
      <c r="GHZ5" s="59"/>
      <c r="GIA5" s="59"/>
      <c r="GIB5" s="59"/>
      <c r="GIC5" s="59"/>
      <c r="GID5" s="59"/>
      <c r="GIE5" s="59"/>
      <c r="GIF5" s="59"/>
      <c r="GIG5" s="59"/>
      <c r="GIH5" s="59"/>
      <c r="GII5" s="59"/>
      <c r="GIJ5" s="59"/>
      <c r="GIK5" s="59"/>
      <c r="GIL5" s="59"/>
      <c r="GIM5" s="59"/>
      <c r="GIN5" s="59"/>
      <c r="GIO5" s="59"/>
      <c r="GIP5" s="59"/>
      <c r="GIQ5" s="59"/>
      <c r="GIR5" s="59"/>
      <c r="GIS5" s="59"/>
      <c r="GIT5" s="59"/>
      <c r="GIU5" s="59"/>
      <c r="GIV5" s="59"/>
      <c r="GIW5" s="59"/>
      <c r="GIX5" s="59"/>
      <c r="GIY5" s="59"/>
      <c r="GIZ5" s="59"/>
      <c r="GJA5" s="59"/>
      <c r="GJB5" s="59"/>
      <c r="GJC5" s="59"/>
      <c r="GJD5" s="59"/>
      <c r="GJE5" s="59"/>
      <c r="GJF5" s="59"/>
      <c r="GJG5" s="59"/>
      <c r="GJH5" s="59"/>
      <c r="GJI5" s="59"/>
      <c r="GJJ5" s="59"/>
      <c r="GJK5" s="59"/>
      <c r="GJL5" s="59"/>
      <c r="GJM5" s="59"/>
      <c r="GJN5" s="59"/>
      <c r="GJO5" s="59"/>
      <c r="GJP5" s="59"/>
      <c r="GJQ5" s="59"/>
      <c r="GJR5" s="59"/>
      <c r="GJS5" s="59"/>
      <c r="GJT5" s="59"/>
      <c r="GJU5" s="59"/>
      <c r="GJV5" s="59"/>
      <c r="GJW5" s="59"/>
      <c r="GJX5" s="59"/>
      <c r="GJY5" s="59"/>
      <c r="GJZ5" s="59"/>
      <c r="GKA5" s="59"/>
      <c r="GKB5" s="59"/>
      <c r="GKC5" s="59"/>
      <c r="GKD5" s="59"/>
      <c r="GKE5" s="59"/>
      <c r="GKF5" s="59"/>
      <c r="GKG5" s="59"/>
      <c r="GKH5" s="59"/>
      <c r="GKI5" s="59"/>
      <c r="GKJ5" s="59"/>
      <c r="GKK5" s="59"/>
      <c r="GKL5" s="59"/>
      <c r="GKM5" s="59"/>
      <c r="GKN5" s="59"/>
      <c r="GKO5" s="59"/>
      <c r="GKP5" s="59"/>
      <c r="GKQ5" s="59"/>
      <c r="GKR5" s="59"/>
      <c r="GKS5" s="59"/>
      <c r="GKT5" s="59"/>
      <c r="GKU5" s="59"/>
      <c r="GKV5" s="59"/>
      <c r="GKW5" s="59"/>
      <c r="GKX5" s="59"/>
      <c r="GKY5" s="59"/>
      <c r="GKZ5" s="59"/>
      <c r="GLA5" s="59"/>
      <c r="GLB5" s="59"/>
      <c r="GLC5" s="59"/>
      <c r="GLD5" s="59"/>
      <c r="GLE5" s="59"/>
      <c r="GLF5" s="59"/>
      <c r="GLG5" s="59"/>
      <c r="GLH5" s="59"/>
      <c r="GLI5" s="59"/>
      <c r="GLJ5" s="59"/>
      <c r="GLK5" s="59"/>
      <c r="GLL5" s="59"/>
      <c r="GLM5" s="59"/>
      <c r="GLN5" s="59"/>
      <c r="GLO5" s="59"/>
      <c r="GLP5" s="59"/>
      <c r="GLQ5" s="59"/>
      <c r="GLR5" s="59"/>
      <c r="GLS5" s="59"/>
      <c r="GLT5" s="59"/>
      <c r="GLU5" s="59"/>
      <c r="GLV5" s="59"/>
      <c r="GLW5" s="59"/>
      <c r="GLX5" s="59"/>
      <c r="GLY5" s="59"/>
      <c r="GLZ5" s="59"/>
      <c r="GMA5" s="59"/>
      <c r="GMB5" s="59"/>
      <c r="GMC5" s="59"/>
      <c r="GMD5" s="59"/>
      <c r="GME5" s="59"/>
      <c r="GMF5" s="59"/>
      <c r="GMG5" s="59"/>
      <c r="GMH5" s="59"/>
      <c r="GMI5" s="59"/>
      <c r="GMJ5" s="59"/>
      <c r="GMK5" s="59"/>
      <c r="GML5" s="59"/>
      <c r="GMM5" s="59"/>
      <c r="GMN5" s="59"/>
      <c r="GMO5" s="59"/>
      <c r="GMP5" s="59"/>
      <c r="GMQ5" s="59"/>
      <c r="GMR5" s="59"/>
      <c r="GMS5" s="59"/>
      <c r="GMT5" s="59"/>
      <c r="GMU5" s="59"/>
      <c r="GMV5" s="59"/>
      <c r="GMW5" s="59"/>
      <c r="GMX5" s="59"/>
      <c r="GMY5" s="59"/>
      <c r="GMZ5" s="59"/>
      <c r="GNA5" s="59"/>
      <c r="GNB5" s="59"/>
      <c r="GNC5" s="59"/>
      <c r="GND5" s="59"/>
      <c r="GNE5" s="59"/>
      <c r="GNF5" s="59"/>
      <c r="GNG5" s="59"/>
      <c r="GNH5" s="59"/>
      <c r="GNI5" s="59"/>
      <c r="GNJ5" s="59"/>
      <c r="GNK5" s="59"/>
      <c r="GNL5" s="59"/>
      <c r="GNM5" s="59"/>
      <c r="GNN5" s="59"/>
      <c r="GNO5" s="59"/>
      <c r="GNP5" s="59"/>
      <c r="GNQ5" s="59"/>
      <c r="GNR5" s="59"/>
      <c r="GNS5" s="59"/>
      <c r="GNT5" s="59"/>
      <c r="GNU5" s="59"/>
      <c r="GNV5" s="59"/>
      <c r="GNW5" s="59"/>
      <c r="GNX5" s="59"/>
      <c r="GNY5" s="59"/>
      <c r="GNZ5" s="59"/>
      <c r="GOA5" s="59"/>
      <c r="GOB5" s="59"/>
      <c r="GOC5" s="59"/>
      <c r="GOD5" s="59"/>
      <c r="GOE5" s="59"/>
      <c r="GOF5" s="59"/>
      <c r="GOG5" s="59"/>
      <c r="GOH5" s="59"/>
      <c r="GOI5" s="59"/>
      <c r="GOJ5" s="59"/>
      <c r="GOK5" s="59"/>
      <c r="GOL5" s="59"/>
      <c r="GOM5" s="59"/>
      <c r="GON5" s="59"/>
      <c r="GOO5" s="59"/>
      <c r="GOP5" s="59"/>
      <c r="GOQ5" s="59"/>
      <c r="GOR5" s="59"/>
      <c r="GOS5" s="59"/>
      <c r="GOT5" s="59"/>
      <c r="GOU5" s="59"/>
      <c r="GOV5" s="59"/>
      <c r="GOW5" s="59"/>
      <c r="GOX5" s="59"/>
      <c r="GOY5" s="59"/>
      <c r="GOZ5" s="59"/>
      <c r="GPA5" s="59"/>
      <c r="GPB5" s="59"/>
      <c r="GPC5" s="59"/>
      <c r="GPD5" s="59"/>
      <c r="GPE5" s="59"/>
      <c r="GPF5" s="59"/>
      <c r="GPG5" s="59"/>
      <c r="GPH5" s="59"/>
      <c r="GPI5" s="59"/>
      <c r="GPJ5" s="59"/>
      <c r="GPK5" s="59"/>
      <c r="GPL5" s="59"/>
      <c r="GPM5" s="59"/>
      <c r="GPN5" s="59"/>
      <c r="GPO5" s="59"/>
      <c r="GPP5" s="59"/>
      <c r="GPQ5" s="59"/>
      <c r="GPR5" s="59"/>
      <c r="GPS5" s="59"/>
      <c r="GPT5" s="59"/>
      <c r="GPU5" s="59"/>
      <c r="GPV5" s="59"/>
      <c r="GPW5" s="59"/>
      <c r="GPX5" s="59"/>
      <c r="GPY5" s="59"/>
      <c r="GPZ5" s="59"/>
      <c r="GQA5" s="59"/>
      <c r="GQB5" s="59"/>
      <c r="GQC5" s="59"/>
      <c r="GQD5" s="59"/>
      <c r="GQE5" s="59"/>
      <c r="GQF5" s="59"/>
      <c r="GQG5" s="59"/>
      <c r="GQH5" s="59"/>
      <c r="GQI5" s="59"/>
      <c r="GQJ5" s="59"/>
      <c r="GQK5" s="59"/>
      <c r="GQL5" s="59"/>
      <c r="GQM5" s="59"/>
      <c r="GQN5" s="59"/>
      <c r="GQO5" s="59"/>
      <c r="GQP5" s="59"/>
      <c r="GQQ5" s="59"/>
      <c r="GQR5" s="59"/>
      <c r="GQS5" s="59"/>
      <c r="GQT5" s="59"/>
      <c r="GQU5" s="59"/>
      <c r="GQV5" s="59"/>
      <c r="GQW5" s="59"/>
      <c r="GQX5" s="59"/>
      <c r="GQY5" s="59"/>
      <c r="GQZ5" s="59"/>
      <c r="GRA5" s="59"/>
      <c r="GRB5" s="59"/>
      <c r="GRC5" s="59"/>
      <c r="GRD5" s="59"/>
      <c r="GRE5" s="59"/>
      <c r="GRF5" s="59"/>
      <c r="GRG5" s="59"/>
      <c r="GRH5" s="59"/>
      <c r="GRI5" s="59"/>
      <c r="GRJ5" s="59"/>
      <c r="GRK5" s="59"/>
      <c r="GRL5" s="59"/>
      <c r="GRM5" s="59"/>
      <c r="GRN5" s="59"/>
      <c r="GRO5" s="59"/>
      <c r="GRP5" s="59"/>
      <c r="GRQ5" s="59"/>
      <c r="GRR5" s="59"/>
      <c r="GRS5" s="59"/>
      <c r="GRT5" s="59"/>
      <c r="GRU5" s="59"/>
      <c r="GRV5" s="59"/>
      <c r="GRW5" s="59"/>
      <c r="GRX5" s="59"/>
      <c r="GRY5" s="59"/>
      <c r="GRZ5" s="59"/>
      <c r="GSA5" s="59"/>
      <c r="GSB5" s="59"/>
      <c r="GSC5" s="59"/>
      <c r="GSD5" s="59"/>
      <c r="GSE5" s="59"/>
      <c r="GSF5" s="59"/>
      <c r="GSG5" s="59"/>
      <c r="GSH5" s="59"/>
      <c r="GSI5" s="59"/>
      <c r="GSJ5" s="59"/>
      <c r="GSK5" s="59"/>
      <c r="GSL5" s="59"/>
      <c r="GSM5" s="59"/>
      <c r="GSN5" s="59"/>
      <c r="GSO5" s="59"/>
      <c r="GSP5" s="59"/>
      <c r="GSQ5" s="59"/>
      <c r="GSR5" s="59"/>
      <c r="GSS5" s="59"/>
      <c r="GST5" s="59"/>
      <c r="GSU5" s="59"/>
      <c r="GSV5" s="59"/>
      <c r="GSW5" s="59"/>
      <c r="GSX5" s="59"/>
      <c r="GSY5" s="59"/>
      <c r="GSZ5" s="59"/>
      <c r="GTA5" s="59"/>
      <c r="GTB5" s="59"/>
      <c r="GTC5" s="59"/>
      <c r="GTD5" s="59"/>
      <c r="GTE5" s="59"/>
      <c r="GTF5" s="59"/>
      <c r="GTG5" s="59"/>
      <c r="GTH5" s="59"/>
      <c r="GTI5" s="59"/>
      <c r="GTJ5" s="59"/>
      <c r="GTK5" s="59"/>
      <c r="GTL5" s="59"/>
      <c r="GTM5" s="59"/>
      <c r="GTN5" s="59"/>
      <c r="GTO5" s="59"/>
      <c r="GTP5" s="59"/>
      <c r="GTQ5" s="59"/>
      <c r="GTR5" s="59"/>
      <c r="GTS5" s="59"/>
      <c r="GTT5" s="59"/>
      <c r="GTU5" s="59"/>
      <c r="GTV5" s="59"/>
      <c r="GTW5" s="59"/>
      <c r="GTX5" s="59"/>
      <c r="GTY5" s="59"/>
      <c r="GTZ5" s="59"/>
      <c r="GUA5" s="59"/>
      <c r="GUB5" s="59"/>
      <c r="GUC5" s="59"/>
      <c r="GUD5" s="59"/>
      <c r="GUE5" s="59"/>
      <c r="GUF5" s="59"/>
      <c r="GUG5" s="59"/>
      <c r="GUH5" s="59"/>
      <c r="GUI5" s="59"/>
      <c r="GUJ5" s="59"/>
      <c r="GUK5" s="59"/>
      <c r="GUL5" s="59"/>
      <c r="GUM5" s="59"/>
      <c r="GUN5" s="59"/>
      <c r="GUO5" s="59"/>
      <c r="GUP5" s="59"/>
      <c r="GUQ5" s="59"/>
      <c r="GUR5" s="59"/>
      <c r="GUS5" s="59"/>
      <c r="GUT5" s="59"/>
      <c r="GUU5" s="59"/>
      <c r="GUV5" s="59"/>
      <c r="GUW5" s="59"/>
      <c r="GUX5" s="59"/>
      <c r="GUY5" s="59"/>
      <c r="GUZ5" s="59"/>
      <c r="GVA5" s="59"/>
      <c r="GVB5" s="59"/>
      <c r="GVC5" s="59"/>
      <c r="GVD5" s="59"/>
      <c r="GVE5" s="59"/>
      <c r="GVF5" s="59"/>
      <c r="GVG5" s="59"/>
      <c r="GVH5" s="59"/>
      <c r="GVI5" s="59"/>
      <c r="GVJ5" s="59"/>
      <c r="GVK5" s="59"/>
      <c r="GVL5" s="59"/>
      <c r="GVM5" s="59"/>
      <c r="GVN5" s="59"/>
      <c r="GVO5" s="59"/>
      <c r="GVP5" s="59"/>
      <c r="GVQ5" s="59"/>
      <c r="GVR5" s="59"/>
      <c r="GVS5" s="59"/>
      <c r="GVT5" s="59"/>
      <c r="GVU5" s="59"/>
      <c r="GVV5" s="59"/>
      <c r="GVW5" s="59"/>
      <c r="GVX5" s="59"/>
      <c r="GVY5" s="59"/>
      <c r="GVZ5" s="59"/>
      <c r="GWA5" s="59"/>
      <c r="GWB5" s="59"/>
      <c r="GWC5" s="59"/>
      <c r="GWD5" s="59"/>
      <c r="GWE5" s="59"/>
      <c r="GWF5" s="59"/>
      <c r="GWG5" s="59"/>
      <c r="GWH5" s="59"/>
      <c r="GWI5" s="59"/>
      <c r="GWJ5" s="59"/>
      <c r="GWK5" s="59"/>
      <c r="GWL5" s="59"/>
      <c r="GWM5" s="59"/>
      <c r="GWN5" s="59"/>
      <c r="GWO5" s="59"/>
      <c r="GWP5" s="59"/>
      <c r="GWQ5" s="59"/>
      <c r="GWR5" s="59"/>
      <c r="GWS5" s="59"/>
      <c r="GWT5" s="59"/>
      <c r="GWU5" s="59"/>
      <c r="GWV5" s="59"/>
      <c r="GWW5" s="59"/>
      <c r="GWX5" s="59"/>
      <c r="GWY5" s="59"/>
      <c r="GWZ5" s="59"/>
      <c r="GXA5" s="59"/>
      <c r="GXB5" s="59"/>
      <c r="GXC5" s="59"/>
      <c r="GXD5" s="59"/>
      <c r="GXE5" s="59"/>
      <c r="GXF5" s="59"/>
      <c r="GXG5" s="59"/>
      <c r="GXH5" s="59"/>
      <c r="GXI5" s="59"/>
      <c r="GXJ5" s="59"/>
      <c r="GXK5" s="59"/>
      <c r="GXL5" s="59"/>
      <c r="GXM5" s="59"/>
      <c r="GXN5" s="59"/>
      <c r="GXO5" s="59"/>
      <c r="GXP5" s="59"/>
      <c r="GXQ5" s="59"/>
      <c r="GXR5" s="59"/>
      <c r="GXS5" s="59"/>
      <c r="GXT5" s="59"/>
      <c r="GXU5" s="59"/>
      <c r="GXV5" s="59"/>
      <c r="GXW5" s="59"/>
      <c r="GXX5" s="59"/>
      <c r="GXY5" s="59"/>
      <c r="GXZ5" s="59"/>
      <c r="GYA5" s="59"/>
      <c r="GYB5" s="59"/>
      <c r="GYC5" s="59"/>
      <c r="GYD5" s="59"/>
      <c r="GYE5" s="59"/>
      <c r="GYF5" s="59"/>
      <c r="GYG5" s="59"/>
      <c r="GYH5" s="59"/>
      <c r="GYI5" s="59"/>
      <c r="GYJ5" s="59"/>
      <c r="GYK5" s="59"/>
      <c r="GYL5" s="59"/>
      <c r="GYM5" s="59"/>
      <c r="GYN5" s="59"/>
      <c r="GYO5" s="59"/>
      <c r="GYP5" s="59"/>
      <c r="GYQ5" s="59"/>
      <c r="GYR5" s="59"/>
      <c r="GYS5" s="59"/>
      <c r="GYT5" s="59"/>
      <c r="GYU5" s="59"/>
      <c r="GYV5" s="59"/>
      <c r="GYW5" s="59"/>
      <c r="GYX5" s="59"/>
      <c r="GYY5" s="59"/>
      <c r="GYZ5" s="59"/>
      <c r="GZA5" s="59"/>
      <c r="GZB5" s="59"/>
      <c r="GZC5" s="59"/>
      <c r="GZD5" s="59"/>
      <c r="GZE5" s="59"/>
      <c r="GZF5" s="59"/>
      <c r="GZG5" s="59"/>
      <c r="GZH5" s="59"/>
      <c r="GZI5" s="59"/>
      <c r="GZJ5" s="59"/>
      <c r="GZK5" s="59"/>
      <c r="GZL5" s="59"/>
      <c r="GZM5" s="59"/>
      <c r="GZN5" s="59"/>
      <c r="GZO5" s="59"/>
      <c r="GZP5" s="59"/>
      <c r="GZQ5" s="59"/>
      <c r="GZR5" s="59"/>
      <c r="GZS5" s="59"/>
      <c r="GZT5" s="59"/>
      <c r="GZU5" s="59"/>
      <c r="GZV5" s="59"/>
      <c r="GZW5" s="59"/>
      <c r="GZX5" s="59"/>
      <c r="GZY5" s="59"/>
      <c r="GZZ5" s="59"/>
      <c r="HAA5" s="59"/>
      <c r="HAB5" s="59"/>
      <c r="HAC5" s="59"/>
      <c r="HAD5" s="59"/>
      <c r="HAE5" s="59"/>
      <c r="HAF5" s="59"/>
      <c r="HAG5" s="59"/>
      <c r="HAH5" s="59"/>
      <c r="HAI5" s="59"/>
      <c r="HAJ5" s="59"/>
      <c r="HAK5" s="59"/>
      <c r="HAL5" s="59"/>
      <c r="HAM5" s="59"/>
      <c r="HAN5" s="59"/>
      <c r="HAO5" s="59"/>
      <c r="HAP5" s="59"/>
      <c r="HAQ5" s="59"/>
      <c r="HAR5" s="59"/>
      <c r="HAS5" s="59"/>
      <c r="HAT5" s="59"/>
      <c r="HAU5" s="59"/>
      <c r="HAV5" s="59"/>
      <c r="HAW5" s="59"/>
      <c r="HAX5" s="59"/>
      <c r="HAY5" s="59"/>
      <c r="HAZ5" s="59"/>
      <c r="HBA5" s="59"/>
      <c r="HBB5" s="59"/>
      <c r="HBC5" s="59"/>
      <c r="HBD5" s="59"/>
      <c r="HBE5" s="59"/>
      <c r="HBF5" s="59"/>
      <c r="HBG5" s="59"/>
      <c r="HBH5" s="59"/>
      <c r="HBI5" s="59"/>
      <c r="HBJ5" s="59"/>
      <c r="HBK5" s="59"/>
      <c r="HBL5" s="59"/>
      <c r="HBM5" s="59"/>
      <c r="HBN5" s="59"/>
      <c r="HBO5" s="59"/>
      <c r="HBP5" s="59"/>
      <c r="HBQ5" s="59"/>
      <c r="HBR5" s="59"/>
      <c r="HBS5" s="59"/>
      <c r="HBT5" s="59"/>
      <c r="HBU5" s="59"/>
      <c r="HBV5" s="59"/>
      <c r="HBW5" s="59"/>
      <c r="HBX5" s="59"/>
      <c r="HBY5" s="59"/>
      <c r="HBZ5" s="59"/>
      <c r="HCA5" s="59"/>
      <c r="HCB5" s="59"/>
      <c r="HCC5" s="59"/>
      <c r="HCD5" s="59"/>
      <c r="HCE5" s="59"/>
      <c r="HCF5" s="59"/>
      <c r="HCG5" s="59"/>
      <c r="HCH5" s="59"/>
      <c r="HCI5" s="59"/>
      <c r="HCJ5" s="59"/>
      <c r="HCK5" s="59"/>
      <c r="HCL5" s="59"/>
      <c r="HCM5" s="59"/>
      <c r="HCN5" s="59"/>
      <c r="HCO5" s="59"/>
      <c r="HCP5" s="59"/>
      <c r="HCQ5" s="59"/>
      <c r="HCR5" s="59"/>
      <c r="HCS5" s="59"/>
      <c r="HCT5" s="59"/>
      <c r="HCU5" s="59"/>
      <c r="HCV5" s="59"/>
      <c r="HCW5" s="59"/>
      <c r="HCX5" s="59"/>
      <c r="HCY5" s="59"/>
      <c r="HCZ5" s="59"/>
      <c r="HDA5" s="59"/>
      <c r="HDB5" s="59"/>
      <c r="HDC5" s="59"/>
      <c r="HDD5" s="59"/>
      <c r="HDE5" s="59"/>
      <c r="HDF5" s="59"/>
      <c r="HDG5" s="59"/>
      <c r="HDH5" s="59"/>
      <c r="HDI5" s="59"/>
      <c r="HDJ5" s="59"/>
      <c r="HDK5" s="59"/>
      <c r="HDL5" s="59"/>
      <c r="HDM5" s="59"/>
      <c r="HDN5" s="59"/>
      <c r="HDO5" s="59"/>
      <c r="HDP5" s="59"/>
      <c r="HDQ5" s="59"/>
      <c r="HDR5" s="59"/>
      <c r="HDS5" s="59"/>
      <c r="HDT5" s="59"/>
      <c r="HDU5" s="59"/>
      <c r="HDV5" s="59"/>
      <c r="HDW5" s="59"/>
      <c r="HDX5" s="59"/>
      <c r="HDY5" s="59"/>
      <c r="HDZ5" s="59"/>
      <c r="HEA5" s="59"/>
      <c r="HEB5" s="59"/>
      <c r="HEC5" s="59"/>
      <c r="HED5" s="59"/>
      <c r="HEE5" s="59"/>
      <c r="HEF5" s="59"/>
      <c r="HEG5" s="59"/>
      <c r="HEH5" s="59"/>
      <c r="HEI5" s="59"/>
      <c r="HEJ5" s="59"/>
      <c r="HEK5" s="59"/>
      <c r="HEL5" s="59"/>
      <c r="HEM5" s="59"/>
      <c r="HEN5" s="59"/>
      <c r="HEO5" s="59"/>
      <c r="HEP5" s="59"/>
      <c r="HEQ5" s="59"/>
      <c r="HER5" s="59"/>
      <c r="HES5" s="59"/>
      <c r="HET5" s="59"/>
      <c r="HEU5" s="59"/>
      <c r="HEV5" s="59"/>
      <c r="HEW5" s="59"/>
      <c r="HEX5" s="59"/>
      <c r="HEY5" s="59"/>
      <c r="HEZ5" s="59"/>
      <c r="HFA5" s="59"/>
      <c r="HFB5" s="59"/>
      <c r="HFC5" s="59"/>
      <c r="HFD5" s="59"/>
      <c r="HFE5" s="59"/>
      <c r="HFF5" s="59"/>
      <c r="HFG5" s="59"/>
      <c r="HFH5" s="59"/>
      <c r="HFI5" s="59"/>
      <c r="HFJ5" s="59"/>
      <c r="HFK5" s="59"/>
      <c r="HFL5" s="59"/>
      <c r="HFM5" s="59"/>
      <c r="HFN5" s="59"/>
      <c r="HFO5" s="59"/>
      <c r="HFP5" s="59"/>
      <c r="HFQ5" s="59"/>
      <c r="HFR5" s="59"/>
      <c r="HFS5" s="59"/>
      <c r="HFT5" s="59"/>
      <c r="HFU5" s="59"/>
      <c r="HFV5" s="59"/>
      <c r="HFW5" s="59"/>
      <c r="HFX5" s="59"/>
      <c r="HFY5" s="59"/>
      <c r="HFZ5" s="59"/>
      <c r="HGA5" s="59"/>
      <c r="HGB5" s="59"/>
      <c r="HGC5" s="59"/>
      <c r="HGD5" s="59"/>
      <c r="HGE5" s="59"/>
      <c r="HGF5" s="59"/>
      <c r="HGG5" s="59"/>
      <c r="HGH5" s="59"/>
      <c r="HGI5" s="59"/>
      <c r="HGJ5" s="59"/>
      <c r="HGK5" s="59"/>
      <c r="HGL5" s="59"/>
      <c r="HGM5" s="59"/>
      <c r="HGN5" s="59"/>
      <c r="HGO5" s="59"/>
      <c r="HGP5" s="59"/>
      <c r="HGQ5" s="59"/>
      <c r="HGR5" s="59"/>
      <c r="HGS5" s="59"/>
      <c r="HGT5" s="59"/>
      <c r="HGU5" s="59"/>
      <c r="HGV5" s="59"/>
      <c r="HGW5" s="59"/>
      <c r="HGX5" s="59"/>
      <c r="HGY5" s="59"/>
      <c r="HGZ5" s="59"/>
      <c r="HHA5" s="59"/>
      <c r="HHB5" s="59"/>
      <c r="HHC5" s="59"/>
      <c r="HHD5" s="59"/>
      <c r="HHE5" s="59"/>
      <c r="HHF5" s="59"/>
      <c r="HHG5" s="59"/>
      <c r="HHH5" s="59"/>
      <c r="HHI5" s="59"/>
      <c r="HHJ5" s="59"/>
      <c r="HHK5" s="59"/>
      <c r="HHL5" s="59"/>
      <c r="HHM5" s="59"/>
      <c r="HHN5" s="59"/>
      <c r="HHO5" s="59"/>
      <c r="HHP5" s="59"/>
      <c r="HHQ5" s="59"/>
      <c r="HHR5" s="59"/>
      <c r="HHS5" s="59"/>
      <c r="HHT5" s="59"/>
      <c r="HHU5" s="59"/>
      <c r="HHV5" s="59"/>
      <c r="HHW5" s="59"/>
      <c r="HHX5" s="59"/>
      <c r="HHY5" s="59"/>
      <c r="HHZ5" s="59"/>
      <c r="HIA5" s="59"/>
      <c r="HIB5" s="59"/>
      <c r="HIC5" s="59"/>
      <c r="HID5" s="59"/>
      <c r="HIE5" s="59"/>
      <c r="HIF5" s="59"/>
      <c r="HIG5" s="59"/>
      <c r="HIH5" s="59"/>
      <c r="HII5" s="59"/>
      <c r="HIJ5" s="59"/>
      <c r="HIK5" s="59"/>
      <c r="HIL5" s="59"/>
      <c r="HIM5" s="59"/>
      <c r="HIN5" s="59"/>
      <c r="HIO5" s="59"/>
      <c r="HIP5" s="59"/>
      <c r="HIQ5" s="59"/>
      <c r="HIR5" s="59"/>
      <c r="HIS5" s="59"/>
      <c r="HIT5" s="59"/>
      <c r="HIU5" s="59"/>
      <c r="HIV5" s="59"/>
      <c r="HIW5" s="59"/>
      <c r="HIX5" s="59"/>
      <c r="HIY5" s="59"/>
      <c r="HIZ5" s="59"/>
      <c r="HJA5" s="59"/>
      <c r="HJB5" s="59"/>
      <c r="HJC5" s="59"/>
      <c r="HJD5" s="59"/>
      <c r="HJE5" s="59"/>
      <c r="HJF5" s="59"/>
      <c r="HJG5" s="59"/>
      <c r="HJH5" s="59"/>
      <c r="HJI5" s="59"/>
      <c r="HJJ5" s="59"/>
      <c r="HJK5" s="59"/>
      <c r="HJL5" s="59"/>
      <c r="HJM5" s="59"/>
      <c r="HJN5" s="59"/>
      <c r="HJO5" s="59"/>
      <c r="HJP5" s="59"/>
      <c r="HJQ5" s="59"/>
      <c r="HJR5" s="59"/>
      <c r="HJS5" s="59"/>
      <c r="HJT5" s="59"/>
      <c r="HJU5" s="59"/>
      <c r="HJV5" s="59"/>
      <c r="HJW5" s="59"/>
      <c r="HJX5" s="59"/>
      <c r="HJY5" s="59"/>
      <c r="HJZ5" s="59"/>
      <c r="HKA5" s="59"/>
      <c r="HKB5" s="59"/>
      <c r="HKC5" s="59"/>
      <c r="HKD5" s="59"/>
      <c r="HKE5" s="59"/>
      <c r="HKF5" s="59"/>
      <c r="HKG5" s="59"/>
      <c r="HKH5" s="59"/>
      <c r="HKI5" s="59"/>
      <c r="HKJ5" s="59"/>
      <c r="HKK5" s="59"/>
      <c r="HKL5" s="59"/>
      <c r="HKM5" s="59"/>
      <c r="HKN5" s="59"/>
      <c r="HKO5" s="59"/>
      <c r="HKP5" s="59"/>
      <c r="HKQ5" s="59"/>
      <c r="HKR5" s="59"/>
      <c r="HKS5" s="59"/>
      <c r="HKT5" s="59"/>
      <c r="HKU5" s="59"/>
      <c r="HKV5" s="59"/>
      <c r="HKW5" s="59"/>
      <c r="HKX5" s="59"/>
      <c r="HKY5" s="59"/>
      <c r="HKZ5" s="59"/>
      <c r="HLA5" s="59"/>
      <c r="HLB5" s="59"/>
      <c r="HLC5" s="59"/>
      <c r="HLD5" s="59"/>
      <c r="HLE5" s="59"/>
      <c r="HLF5" s="59"/>
      <c r="HLG5" s="59"/>
      <c r="HLH5" s="59"/>
      <c r="HLI5" s="59"/>
      <c r="HLJ5" s="59"/>
      <c r="HLK5" s="59"/>
      <c r="HLL5" s="59"/>
      <c r="HLM5" s="59"/>
      <c r="HLN5" s="59"/>
      <c r="HLO5" s="59"/>
      <c r="HLP5" s="59"/>
      <c r="HLQ5" s="59"/>
      <c r="HLR5" s="59"/>
      <c r="HLS5" s="59"/>
      <c r="HLT5" s="59"/>
      <c r="HLU5" s="59"/>
      <c r="HLV5" s="59"/>
      <c r="HLW5" s="59"/>
      <c r="HLX5" s="59"/>
      <c r="HLY5" s="59"/>
      <c r="HLZ5" s="59"/>
      <c r="HMA5" s="59"/>
      <c r="HMB5" s="59"/>
      <c r="HMC5" s="59"/>
      <c r="HMD5" s="59"/>
      <c r="HME5" s="59"/>
      <c r="HMF5" s="59"/>
      <c r="HMG5" s="59"/>
      <c r="HMH5" s="59"/>
      <c r="HMI5" s="59"/>
      <c r="HMJ5" s="59"/>
      <c r="HMK5" s="59"/>
      <c r="HML5" s="59"/>
      <c r="HMM5" s="59"/>
      <c r="HMN5" s="59"/>
      <c r="HMO5" s="59"/>
      <c r="HMP5" s="59"/>
      <c r="HMQ5" s="59"/>
      <c r="HMR5" s="59"/>
      <c r="HMS5" s="59"/>
      <c r="HMT5" s="59"/>
      <c r="HMU5" s="59"/>
      <c r="HMV5" s="59"/>
      <c r="HMW5" s="59"/>
      <c r="HMX5" s="59"/>
      <c r="HMY5" s="59"/>
      <c r="HMZ5" s="59"/>
      <c r="HNA5" s="59"/>
      <c r="HNB5" s="59"/>
      <c r="HNC5" s="59"/>
      <c r="HND5" s="59"/>
      <c r="HNE5" s="59"/>
      <c r="HNF5" s="59"/>
      <c r="HNG5" s="59"/>
      <c r="HNH5" s="59"/>
      <c r="HNI5" s="59"/>
      <c r="HNJ5" s="59"/>
      <c r="HNK5" s="59"/>
      <c r="HNL5" s="59"/>
      <c r="HNM5" s="59"/>
      <c r="HNN5" s="59"/>
      <c r="HNO5" s="59"/>
      <c r="HNP5" s="59"/>
      <c r="HNQ5" s="59"/>
      <c r="HNR5" s="59"/>
      <c r="HNS5" s="59"/>
      <c r="HNT5" s="59"/>
      <c r="HNU5" s="59"/>
      <c r="HNV5" s="59"/>
      <c r="HNW5" s="59"/>
      <c r="HNX5" s="59"/>
      <c r="HNY5" s="59"/>
      <c r="HNZ5" s="59"/>
      <c r="HOA5" s="59"/>
      <c r="HOB5" s="59"/>
      <c r="HOC5" s="59"/>
      <c r="HOD5" s="59"/>
      <c r="HOE5" s="59"/>
      <c r="HOF5" s="59"/>
      <c r="HOG5" s="59"/>
      <c r="HOH5" s="59"/>
      <c r="HOI5" s="59"/>
      <c r="HOJ5" s="59"/>
      <c r="HOK5" s="59"/>
      <c r="HOL5" s="59"/>
      <c r="HOM5" s="59"/>
      <c r="HON5" s="59"/>
      <c r="HOO5" s="59"/>
      <c r="HOP5" s="59"/>
      <c r="HOQ5" s="59"/>
      <c r="HOR5" s="59"/>
      <c r="HOS5" s="59"/>
      <c r="HOT5" s="59"/>
      <c r="HOU5" s="59"/>
      <c r="HOV5" s="59"/>
      <c r="HOW5" s="59"/>
      <c r="HOX5" s="59"/>
      <c r="HOY5" s="59"/>
      <c r="HOZ5" s="59"/>
      <c r="HPA5" s="59"/>
      <c r="HPB5" s="59"/>
      <c r="HPC5" s="59"/>
      <c r="HPD5" s="59"/>
      <c r="HPE5" s="59"/>
      <c r="HPF5" s="59"/>
      <c r="HPG5" s="59"/>
      <c r="HPH5" s="59"/>
      <c r="HPI5" s="59"/>
      <c r="HPJ5" s="59"/>
      <c r="HPK5" s="59"/>
      <c r="HPL5" s="59"/>
      <c r="HPM5" s="59"/>
      <c r="HPN5" s="59"/>
      <c r="HPO5" s="59"/>
      <c r="HPP5" s="59"/>
      <c r="HPQ5" s="59"/>
      <c r="HPR5" s="59"/>
      <c r="HPS5" s="59"/>
      <c r="HPT5" s="59"/>
      <c r="HPU5" s="59"/>
      <c r="HPV5" s="59"/>
      <c r="HPW5" s="59"/>
      <c r="HPX5" s="59"/>
      <c r="HPY5" s="59"/>
      <c r="HPZ5" s="59"/>
      <c r="HQA5" s="59"/>
      <c r="HQB5" s="59"/>
      <c r="HQC5" s="59"/>
      <c r="HQD5" s="59"/>
      <c r="HQE5" s="59"/>
      <c r="HQF5" s="59"/>
      <c r="HQG5" s="59"/>
      <c r="HQH5" s="59"/>
      <c r="HQI5" s="59"/>
      <c r="HQJ5" s="59"/>
      <c r="HQK5" s="59"/>
      <c r="HQL5" s="59"/>
      <c r="HQM5" s="59"/>
      <c r="HQN5" s="59"/>
      <c r="HQO5" s="59"/>
      <c r="HQP5" s="59"/>
      <c r="HQQ5" s="59"/>
      <c r="HQR5" s="59"/>
      <c r="HQS5" s="59"/>
      <c r="HQT5" s="59"/>
      <c r="HQU5" s="59"/>
      <c r="HQV5" s="59"/>
      <c r="HQW5" s="59"/>
      <c r="HQX5" s="59"/>
      <c r="HQY5" s="59"/>
      <c r="HQZ5" s="59"/>
      <c r="HRA5" s="59"/>
      <c r="HRB5" s="59"/>
      <c r="HRC5" s="59"/>
      <c r="HRD5" s="59"/>
      <c r="HRE5" s="59"/>
      <c r="HRF5" s="59"/>
      <c r="HRG5" s="59"/>
      <c r="HRH5" s="59"/>
      <c r="HRI5" s="59"/>
      <c r="HRJ5" s="59"/>
      <c r="HRK5" s="59"/>
      <c r="HRL5" s="59"/>
      <c r="HRM5" s="59"/>
      <c r="HRN5" s="59"/>
      <c r="HRO5" s="59"/>
      <c r="HRP5" s="59"/>
      <c r="HRQ5" s="59"/>
      <c r="HRR5" s="59"/>
      <c r="HRS5" s="59"/>
      <c r="HRT5" s="59"/>
      <c r="HRU5" s="59"/>
      <c r="HRV5" s="59"/>
      <c r="HRW5" s="59"/>
      <c r="HRX5" s="59"/>
      <c r="HRY5" s="59"/>
      <c r="HRZ5" s="59"/>
      <c r="HSA5" s="59"/>
      <c r="HSB5" s="59"/>
      <c r="HSC5" s="59"/>
      <c r="HSD5" s="59"/>
      <c r="HSE5" s="59"/>
      <c r="HSF5" s="59"/>
      <c r="HSG5" s="59"/>
      <c r="HSH5" s="59"/>
      <c r="HSI5" s="59"/>
      <c r="HSJ5" s="59"/>
      <c r="HSK5" s="59"/>
      <c r="HSL5" s="59"/>
      <c r="HSM5" s="59"/>
      <c r="HSN5" s="59"/>
      <c r="HSO5" s="59"/>
      <c r="HSP5" s="59"/>
      <c r="HSQ5" s="59"/>
      <c r="HSR5" s="59"/>
      <c r="HSS5" s="59"/>
      <c r="HST5" s="59"/>
      <c r="HSU5" s="59"/>
      <c r="HSV5" s="59"/>
      <c r="HSW5" s="59"/>
      <c r="HSX5" s="59"/>
      <c r="HSY5" s="59"/>
      <c r="HSZ5" s="59"/>
      <c r="HTA5" s="59"/>
      <c r="HTB5" s="59"/>
      <c r="HTC5" s="59"/>
      <c r="HTD5" s="59"/>
      <c r="HTE5" s="59"/>
      <c r="HTF5" s="59"/>
      <c r="HTG5" s="59"/>
      <c r="HTH5" s="59"/>
      <c r="HTI5" s="59"/>
      <c r="HTJ5" s="59"/>
      <c r="HTK5" s="59"/>
      <c r="HTL5" s="59"/>
      <c r="HTM5" s="59"/>
      <c r="HTN5" s="59"/>
      <c r="HTO5" s="59"/>
      <c r="HTP5" s="59"/>
      <c r="HTQ5" s="59"/>
      <c r="HTR5" s="59"/>
      <c r="HTS5" s="59"/>
      <c r="HTT5" s="59"/>
      <c r="HTU5" s="59"/>
      <c r="HTV5" s="59"/>
      <c r="HTW5" s="59"/>
      <c r="HTX5" s="59"/>
      <c r="HTY5" s="59"/>
      <c r="HTZ5" s="59"/>
      <c r="HUA5" s="59"/>
      <c r="HUB5" s="59"/>
      <c r="HUC5" s="59"/>
      <c r="HUD5" s="59"/>
      <c r="HUE5" s="59"/>
      <c r="HUF5" s="59"/>
      <c r="HUG5" s="59"/>
      <c r="HUH5" s="59"/>
      <c r="HUI5" s="59"/>
      <c r="HUJ5" s="59"/>
      <c r="HUK5" s="59"/>
      <c r="HUL5" s="59"/>
      <c r="HUM5" s="59"/>
      <c r="HUN5" s="59"/>
      <c r="HUO5" s="59"/>
      <c r="HUP5" s="59"/>
      <c r="HUQ5" s="59"/>
      <c r="HUR5" s="59"/>
      <c r="HUS5" s="59"/>
      <c r="HUT5" s="59"/>
      <c r="HUU5" s="59"/>
      <c r="HUV5" s="59"/>
      <c r="HUW5" s="59"/>
      <c r="HUX5" s="59"/>
      <c r="HUY5" s="59"/>
      <c r="HUZ5" s="59"/>
      <c r="HVA5" s="59"/>
      <c r="HVB5" s="59"/>
      <c r="HVC5" s="59"/>
      <c r="HVD5" s="59"/>
      <c r="HVE5" s="59"/>
      <c r="HVF5" s="59"/>
      <c r="HVG5" s="59"/>
      <c r="HVH5" s="59"/>
      <c r="HVI5" s="59"/>
      <c r="HVJ5" s="59"/>
      <c r="HVK5" s="59"/>
      <c r="HVL5" s="59"/>
      <c r="HVM5" s="59"/>
      <c r="HVN5" s="59"/>
      <c r="HVO5" s="59"/>
      <c r="HVP5" s="59"/>
      <c r="HVQ5" s="59"/>
      <c r="HVR5" s="59"/>
      <c r="HVS5" s="59"/>
      <c r="HVT5" s="59"/>
      <c r="HVU5" s="59"/>
      <c r="HVV5" s="59"/>
      <c r="HVW5" s="59"/>
      <c r="HVX5" s="59"/>
      <c r="HVY5" s="59"/>
      <c r="HVZ5" s="59"/>
      <c r="HWA5" s="59"/>
      <c r="HWB5" s="59"/>
      <c r="HWC5" s="59"/>
      <c r="HWD5" s="59"/>
      <c r="HWE5" s="59"/>
      <c r="HWF5" s="59"/>
      <c r="HWG5" s="59"/>
      <c r="HWH5" s="59"/>
      <c r="HWI5" s="59"/>
      <c r="HWJ5" s="59"/>
      <c r="HWK5" s="59"/>
      <c r="HWL5" s="59"/>
      <c r="HWM5" s="59"/>
      <c r="HWN5" s="59"/>
      <c r="HWO5" s="59"/>
      <c r="HWP5" s="59"/>
      <c r="HWQ5" s="59"/>
      <c r="HWR5" s="59"/>
      <c r="HWS5" s="59"/>
      <c r="HWT5" s="59"/>
      <c r="HWU5" s="59"/>
      <c r="HWV5" s="59"/>
      <c r="HWW5" s="59"/>
      <c r="HWX5" s="59"/>
      <c r="HWY5" s="59"/>
      <c r="HWZ5" s="59"/>
      <c r="HXA5" s="59"/>
      <c r="HXB5" s="59"/>
      <c r="HXC5" s="59"/>
      <c r="HXD5" s="59"/>
      <c r="HXE5" s="59"/>
      <c r="HXF5" s="59"/>
      <c r="HXG5" s="59"/>
      <c r="HXH5" s="59"/>
      <c r="HXI5" s="59"/>
      <c r="HXJ5" s="59"/>
      <c r="HXK5" s="59"/>
      <c r="HXL5" s="59"/>
      <c r="HXM5" s="59"/>
      <c r="HXN5" s="59"/>
      <c r="HXO5" s="59"/>
      <c r="HXP5" s="59"/>
      <c r="HXQ5" s="59"/>
      <c r="HXR5" s="59"/>
      <c r="HXS5" s="59"/>
      <c r="HXT5" s="59"/>
      <c r="HXU5" s="59"/>
      <c r="HXV5" s="59"/>
      <c r="HXW5" s="59"/>
      <c r="HXX5" s="59"/>
      <c r="HXY5" s="59"/>
      <c r="HXZ5" s="59"/>
      <c r="HYA5" s="59"/>
      <c r="HYB5" s="59"/>
      <c r="HYC5" s="59"/>
      <c r="HYD5" s="59"/>
      <c r="HYE5" s="59"/>
      <c r="HYF5" s="59"/>
      <c r="HYG5" s="59"/>
      <c r="HYH5" s="59"/>
      <c r="HYI5" s="59"/>
      <c r="HYJ5" s="59"/>
      <c r="HYK5" s="59"/>
      <c r="HYL5" s="59"/>
      <c r="HYM5" s="59"/>
      <c r="HYN5" s="59"/>
      <c r="HYO5" s="59"/>
      <c r="HYP5" s="59"/>
      <c r="HYQ5" s="59"/>
      <c r="HYR5" s="59"/>
      <c r="HYS5" s="59"/>
      <c r="HYT5" s="59"/>
      <c r="HYU5" s="59"/>
      <c r="HYV5" s="59"/>
      <c r="HYW5" s="59"/>
      <c r="HYX5" s="59"/>
      <c r="HYY5" s="59"/>
      <c r="HYZ5" s="59"/>
      <c r="HZA5" s="59"/>
      <c r="HZB5" s="59"/>
      <c r="HZC5" s="59"/>
      <c r="HZD5" s="59"/>
      <c r="HZE5" s="59"/>
      <c r="HZF5" s="59"/>
      <c r="HZG5" s="59"/>
      <c r="HZH5" s="59"/>
      <c r="HZI5" s="59"/>
      <c r="HZJ5" s="59"/>
      <c r="HZK5" s="59"/>
      <c r="HZL5" s="59"/>
      <c r="HZM5" s="59"/>
      <c r="HZN5" s="59"/>
      <c r="HZO5" s="59"/>
      <c r="HZP5" s="59"/>
      <c r="HZQ5" s="59"/>
      <c r="HZR5" s="59"/>
      <c r="HZS5" s="59"/>
      <c r="HZT5" s="59"/>
      <c r="HZU5" s="59"/>
      <c r="HZV5" s="59"/>
      <c r="HZW5" s="59"/>
      <c r="HZX5" s="59"/>
      <c r="HZY5" s="59"/>
      <c r="HZZ5" s="59"/>
      <c r="IAA5" s="59"/>
      <c r="IAB5" s="59"/>
      <c r="IAC5" s="59"/>
      <c r="IAD5" s="59"/>
      <c r="IAE5" s="59"/>
      <c r="IAF5" s="59"/>
      <c r="IAG5" s="59"/>
      <c r="IAH5" s="59"/>
      <c r="IAI5" s="59"/>
      <c r="IAJ5" s="59"/>
      <c r="IAK5" s="59"/>
      <c r="IAL5" s="59"/>
      <c r="IAM5" s="59"/>
      <c r="IAN5" s="59"/>
      <c r="IAO5" s="59"/>
      <c r="IAP5" s="59"/>
      <c r="IAQ5" s="59"/>
      <c r="IAR5" s="59"/>
      <c r="IAS5" s="59"/>
      <c r="IAT5" s="59"/>
      <c r="IAU5" s="59"/>
      <c r="IAV5" s="59"/>
      <c r="IAW5" s="59"/>
      <c r="IAX5" s="59"/>
      <c r="IAY5" s="59"/>
      <c r="IAZ5" s="59"/>
      <c r="IBA5" s="59"/>
      <c r="IBB5" s="59"/>
      <c r="IBC5" s="59"/>
      <c r="IBD5" s="59"/>
      <c r="IBE5" s="59"/>
      <c r="IBF5" s="59"/>
      <c r="IBG5" s="59"/>
      <c r="IBH5" s="59"/>
      <c r="IBI5" s="59"/>
      <c r="IBJ5" s="59"/>
      <c r="IBK5" s="59"/>
      <c r="IBL5" s="59"/>
      <c r="IBM5" s="59"/>
      <c r="IBN5" s="59"/>
      <c r="IBO5" s="59"/>
      <c r="IBP5" s="59"/>
      <c r="IBQ5" s="59"/>
      <c r="IBR5" s="59"/>
      <c r="IBS5" s="59"/>
      <c r="IBT5" s="59"/>
      <c r="IBU5" s="59"/>
      <c r="IBV5" s="59"/>
      <c r="IBW5" s="59"/>
      <c r="IBX5" s="59"/>
      <c r="IBY5" s="59"/>
      <c r="IBZ5" s="59"/>
      <c r="ICA5" s="59"/>
      <c r="ICB5" s="59"/>
      <c r="ICC5" s="59"/>
      <c r="ICD5" s="59"/>
      <c r="ICE5" s="59"/>
      <c r="ICF5" s="59"/>
      <c r="ICG5" s="59"/>
      <c r="ICH5" s="59"/>
      <c r="ICI5" s="59"/>
      <c r="ICJ5" s="59"/>
      <c r="ICK5" s="59"/>
      <c r="ICL5" s="59"/>
      <c r="ICM5" s="59"/>
      <c r="ICN5" s="59"/>
      <c r="ICO5" s="59"/>
      <c r="ICP5" s="59"/>
      <c r="ICQ5" s="59"/>
      <c r="ICR5" s="59"/>
      <c r="ICS5" s="59"/>
      <c r="ICT5" s="59"/>
      <c r="ICU5" s="59"/>
      <c r="ICV5" s="59"/>
      <c r="ICW5" s="59"/>
      <c r="ICX5" s="59"/>
      <c r="ICY5" s="59"/>
      <c r="ICZ5" s="59"/>
      <c r="IDA5" s="59"/>
      <c r="IDB5" s="59"/>
      <c r="IDC5" s="59"/>
      <c r="IDD5" s="59"/>
      <c r="IDE5" s="59"/>
      <c r="IDF5" s="59"/>
      <c r="IDG5" s="59"/>
      <c r="IDH5" s="59"/>
      <c r="IDI5" s="59"/>
      <c r="IDJ5" s="59"/>
      <c r="IDK5" s="59"/>
      <c r="IDL5" s="59"/>
      <c r="IDM5" s="59"/>
      <c r="IDN5" s="59"/>
      <c r="IDO5" s="59"/>
      <c r="IDP5" s="59"/>
      <c r="IDQ5" s="59"/>
      <c r="IDR5" s="59"/>
      <c r="IDS5" s="59"/>
      <c r="IDT5" s="59"/>
      <c r="IDU5" s="59"/>
      <c r="IDV5" s="59"/>
      <c r="IDW5" s="59"/>
      <c r="IDX5" s="59"/>
      <c r="IDY5" s="59"/>
      <c r="IDZ5" s="59"/>
      <c r="IEA5" s="59"/>
      <c r="IEB5" s="59"/>
      <c r="IEC5" s="59"/>
      <c r="IED5" s="59"/>
      <c r="IEE5" s="59"/>
      <c r="IEF5" s="59"/>
      <c r="IEG5" s="59"/>
      <c r="IEH5" s="59"/>
      <c r="IEI5" s="59"/>
      <c r="IEJ5" s="59"/>
      <c r="IEK5" s="59"/>
      <c r="IEL5" s="59"/>
      <c r="IEM5" s="59"/>
      <c r="IEN5" s="59"/>
      <c r="IEO5" s="59"/>
      <c r="IEP5" s="59"/>
      <c r="IEQ5" s="59"/>
      <c r="IER5" s="59"/>
      <c r="IES5" s="59"/>
      <c r="IET5" s="59"/>
      <c r="IEU5" s="59"/>
      <c r="IEV5" s="59"/>
      <c r="IEW5" s="59"/>
      <c r="IEX5" s="59"/>
      <c r="IEY5" s="59"/>
      <c r="IEZ5" s="59"/>
      <c r="IFA5" s="59"/>
      <c r="IFB5" s="59"/>
      <c r="IFC5" s="59"/>
      <c r="IFD5" s="59"/>
      <c r="IFE5" s="59"/>
      <c r="IFF5" s="59"/>
      <c r="IFG5" s="59"/>
      <c r="IFH5" s="59"/>
      <c r="IFI5" s="59"/>
      <c r="IFJ5" s="59"/>
      <c r="IFK5" s="59"/>
      <c r="IFL5" s="59"/>
      <c r="IFM5" s="59"/>
      <c r="IFN5" s="59"/>
      <c r="IFO5" s="59"/>
      <c r="IFP5" s="59"/>
      <c r="IFQ5" s="59"/>
      <c r="IFR5" s="59"/>
      <c r="IFS5" s="59"/>
      <c r="IFT5" s="59"/>
      <c r="IFU5" s="59"/>
      <c r="IFV5" s="59"/>
      <c r="IFW5" s="59"/>
      <c r="IFX5" s="59"/>
      <c r="IFY5" s="59"/>
      <c r="IFZ5" s="59"/>
      <c r="IGA5" s="59"/>
      <c r="IGB5" s="59"/>
      <c r="IGC5" s="59"/>
      <c r="IGD5" s="59"/>
      <c r="IGE5" s="59"/>
      <c r="IGF5" s="59"/>
      <c r="IGG5" s="59"/>
      <c r="IGH5" s="59"/>
      <c r="IGI5" s="59"/>
      <c r="IGJ5" s="59"/>
      <c r="IGK5" s="59"/>
      <c r="IGL5" s="59"/>
      <c r="IGM5" s="59"/>
      <c r="IGN5" s="59"/>
      <c r="IGO5" s="59"/>
      <c r="IGP5" s="59"/>
      <c r="IGQ5" s="59"/>
      <c r="IGR5" s="59"/>
      <c r="IGS5" s="59"/>
      <c r="IGT5" s="59"/>
      <c r="IGU5" s="59"/>
      <c r="IGV5" s="59"/>
      <c r="IGW5" s="59"/>
      <c r="IGX5" s="59"/>
      <c r="IGY5" s="59"/>
      <c r="IGZ5" s="59"/>
      <c r="IHA5" s="59"/>
      <c r="IHB5" s="59"/>
      <c r="IHC5" s="59"/>
      <c r="IHD5" s="59"/>
      <c r="IHE5" s="59"/>
      <c r="IHF5" s="59"/>
      <c r="IHG5" s="59"/>
      <c r="IHH5" s="59"/>
      <c r="IHI5" s="59"/>
      <c r="IHJ5" s="59"/>
      <c r="IHK5" s="59"/>
      <c r="IHL5" s="59"/>
      <c r="IHM5" s="59"/>
      <c r="IHN5" s="59"/>
      <c r="IHO5" s="59"/>
      <c r="IHP5" s="59"/>
      <c r="IHQ5" s="59"/>
      <c r="IHR5" s="59"/>
      <c r="IHS5" s="59"/>
      <c r="IHT5" s="59"/>
      <c r="IHU5" s="59"/>
      <c r="IHV5" s="59"/>
      <c r="IHW5" s="59"/>
      <c r="IHX5" s="59"/>
      <c r="IHY5" s="59"/>
      <c r="IHZ5" s="59"/>
      <c r="IIA5" s="59"/>
      <c r="IIB5" s="59"/>
      <c r="IIC5" s="59"/>
      <c r="IID5" s="59"/>
      <c r="IIE5" s="59"/>
      <c r="IIF5" s="59"/>
      <c r="IIG5" s="59"/>
      <c r="IIH5" s="59"/>
      <c r="III5" s="59"/>
      <c r="IIJ5" s="59"/>
      <c r="IIK5" s="59"/>
      <c r="IIL5" s="59"/>
      <c r="IIM5" s="59"/>
      <c r="IIN5" s="59"/>
      <c r="IIO5" s="59"/>
      <c r="IIP5" s="59"/>
      <c r="IIQ5" s="59"/>
      <c r="IIR5" s="59"/>
      <c r="IIS5" s="59"/>
      <c r="IIT5" s="59"/>
      <c r="IIU5" s="59"/>
      <c r="IIV5" s="59"/>
      <c r="IIW5" s="59"/>
      <c r="IIX5" s="59"/>
      <c r="IIY5" s="59"/>
      <c r="IIZ5" s="59"/>
      <c r="IJA5" s="59"/>
      <c r="IJB5" s="59"/>
      <c r="IJC5" s="59"/>
      <c r="IJD5" s="59"/>
      <c r="IJE5" s="59"/>
      <c r="IJF5" s="59"/>
      <c r="IJG5" s="59"/>
      <c r="IJH5" s="59"/>
      <c r="IJI5" s="59"/>
      <c r="IJJ5" s="59"/>
      <c r="IJK5" s="59"/>
      <c r="IJL5" s="59"/>
      <c r="IJM5" s="59"/>
      <c r="IJN5" s="59"/>
      <c r="IJO5" s="59"/>
      <c r="IJP5" s="59"/>
      <c r="IJQ5" s="59"/>
      <c r="IJR5" s="59"/>
      <c r="IJS5" s="59"/>
      <c r="IJT5" s="59"/>
      <c r="IJU5" s="59"/>
      <c r="IJV5" s="59"/>
      <c r="IJW5" s="59"/>
      <c r="IJX5" s="59"/>
      <c r="IJY5" s="59"/>
      <c r="IJZ5" s="59"/>
      <c r="IKA5" s="59"/>
      <c r="IKB5" s="59"/>
      <c r="IKC5" s="59"/>
      <c r="IKD5" s="59"/>
      <c r="IKE5" s="59"/>
      <c r="IKF5" s="59"/>
      <c r="IKG5" s="59"/>
      <c r="IKH5" s="59"/>
      <c r="IKI5" s="59"/>
      <c r="IKJ5" s="59"/>
      <c r="IKK5" s="59"/>
      <c r="IKL5" s="59"/>
      <c r="IKM5" s="59"/>
      <c r="IKN5" s="59"/>
      <c r="IKO5" s="59"/>
      <c r="IKP5" s="59"/>
      <c r="IKQ5" s="59"/>
      <c r="IKR5" s="59"/>
      <c r="IKS5" s="59"/>
      <c r="IKT5" s="59"/>
      <c r="IKU5" s="59"/>
      <c r="IKV5" s="59"/>
      <c r="IKW5" s="59"/>
      <c r="IKX5" s="59"/>
      <c r="IKY5" s="59"/>
      <c r="IKZ5" s="59"/>
      <c r="ILA5" s="59"/>
      <c r="ILB5" s="59"/>
      <c r="ILC5" s="59"/>
      <c r="ILD5" s="59"/>
      <c r="ILE5" s="59"/>
      <c r="ILF5" s="59"/>
      <c r="ILG5" s="59"/>
      <c r="ILH5" s="59"/>
      <c r="ILI5" s="59"/>
      <c r="ILJ5" s="59"/>
      <c r="ILK5" s="59"/>
      <c r="ILL5" s="59"/>
      <c r="ILM5" s="59"/>
      <c r="ILN5" s="59"/>
      <c r="ILO5" s="59"/>
      <c r="ILP5" s="59"/>
      <c r="ILQ5" s="59"/>
      <c r="ILR5" s="59"/>
      <c r="ILS5" s="59"/>
      <c r="ILT5" s="59"/>
      <c r="ILU5" s="59"/>
      <c r="ILV5" s="59"/>
      <c r="ILW5" s="59"/>
      <c r="ILX5" s="59"/>
      <c r="ILY5" s="59"/>
      <c r="ILZ5" s="59"/>
      <c r="IMA5" s="59"/>
      <c r="IMB5" s="59"/>
      <c r="IMC5" s="59"/>
      <c r="IMD5" s="59"/>
      <c r="IME5" s="59"/>
      <c r="IMF5" s="59"/>
      <c r="IMG5" s="59"/>
      <c r="IMH5" s="59"/>
      <c r="IMI5" s="59"/>
      <c r="IMJ5" s="59"/>
      <c r="IMK5" s="59"/>
      <c r="IML5" s="59"/>
      <c r="IMM5" s="59"/>
      <c r="IMN5" s="59"/>
      <c r="IMO5" s="59"/>
      <c r="IMP5" s="59"/>
      <c r="IMQ5" s="59"/>
      <c r="IMR5" s="59"/>
      <c r="IMS5" s="59"/>
      <c r="IMT5" s="59"/>
      <c r="IMU5" s="59"/>
      <c r="IMV5" s="59"/>
      <c r="IMW5" s="59"/>
      <c r="IMX5" s="59"/>
      <c r="IMY5" s="59"/>
      <c r="IMZ5" s="59"/>
      <c r="INA5" s="59"/>
      <c r="INB5" s="59"/>
      <c r="INC5" s="59"/>
      <c r="IND5" s="59"/>
      <c r="INE5" s="59"/>
      <c r="INF5" s="59"/>
      <c r="ING5" s="59"/>
      <c r="INH5" s="59"/>
      <c r="INI5" s="59"/>
      <c r="INJ5" s="59"/>
      <c r="INK5" s="59"/>
      <c r="INL5" s="59"/>
      <c r="INM5" s="59"/>
      <c r="INN5" s="59"/>
      <c r="INO5" s="59"/>
      <c r="INP5" s="59"/>
      <c r="INQ5" s="59"/>
      <c r="INR5" s="59"/>
      <c r="INS5" s="59"/>
      <c r="INT5" s="59"/>
      <c r="INU5" s="59"/>
      <c r="INV5" s="59"/>
      <c r="INW5" s="59"/>
      <c r="INX5" s="59"/>
      <c r="INY5" s="59"/>
      <c r="INZ5" s="59"/>
      <c r="IOA5" s="59"/>
      <c r="IOB5" s="59"/>
      <c r="IOC5" s="59"/>
      <c r="IOD5" s="59"/>
      <c r="IOE5" s="59"/>
      <c r="IOF5" s="59"/>
      <c r="IOG5" s="59"/>
      <c r="IOH5" s="59"/>
      <c r="IOI5" s="59"/>
      <c r="IOJ5" s="59"/>
      <c r="IOK5" s="59"/>
      <c r="IOL5" s="59"/>
      <c r="IOM5" s="59"/>
      <c r="ION5" s="59"/>
      <c r="IOO5" s="59"/>
      <c r="IOP5" s="59"/>
      <c r="IOQ5" s="59"/>
      <c r="IOR5" s="59"/>
      <c r="IOS5" s="59"/>
      <c r="IOT5" s="59"/>
      <c r="IOU5" s="59"/>
      <c r="IOV5" s="59"/>
      <c r="IOW5" s="59"/>
      <c r="IOX5" s="59"/>
      <c r="IOY5" s="59"/>
      <c r="IOZ5" s="59"/>
      <c r="IPA5" s="59"/>
      <c r="IPB5" s="59"/>
      <c r="IPC5" s="59"/>
      <c r="IPD5" s="59"/>
      <c r="IPE5" s="59"/>
      <c r="IPF5" s="59"/>
      <c r="IPG5" s="59"/>
      <c r="IPH5" s="59"/>
      <c r="IPI5" s="59"/>
      <c r="IPJ5" s="59"/>
      <c r="IPK5" s="59"/>
      <c r="IPL5" s="59"/>
      <c r="IPM5" s="59"/>
      <c r="IPN5" s="59"/>
      <c r="IPO5" s="59"/>
      <c r="IPP5" s="59"/>
      <c r="IPQ5" s="59"/>
      <c r="IPR5" s="59"/>
      <c r="IPS5" s="59"/>
      <c r="IPT5" s="59"/>
      <c r="IPU5" s="59"/>
      <c r="IPV5" s="59"/>
      <c r="IPW5" s="59"/>
      <c r="IPX5" s="59"/>
      <c r="IPY5" s="59"/>
      <c r="IPZ5" s="59"/>
      <c r="IQA5" s="59"/>
      <c r="IQB5" s="59"/>
      <c r="IQC5" s="59"/>
      <c r="IQD5" s="59"/>
      <c r="IQE5" s="59"/>
      <c r="IQF5" s="59"/>
      <c r="IQG5" s="59"/>
      <c r="IQH5" s="59"/>
      <c r="IQI5" s="59"/>
      <c r="IQJ5" s="59"/>
      <c r="IQK5" s="59"/>
      <c r="IQL5" s="59"/>
      <c r="IQM5" s="59"/>
      <c r="IQN5" s="59"/>
      <c r="IQO5" s="59"/>
      <c r="IQP5" s="59"/>
      <c r="IQQ5" s="59"/>
      <c r="IQR5" s="59"/>
      <c r="IQS5" s="59"/>
      <c r="IQT5" s="59"/>
      <c r="IQU5" s="59"/>
      <c r="IQV5" s="59"/>
      <c r="IQW5" s="59"/>
      <c r="IQX5" s="59"/>
      <c r="IQY5" s="59"/>
      <c r="IQZ5" s="59"/>
      <c r="IRA5" s="59"/>
      <c r="IRB5" s="59"/>
      <c r="IRC5" s="59"/>
      <c r="IRD5" s="59"/>
      <c r="IRE5" s="59"/>
      <c r="IRF5" s="59"/>
      <c r="IRG5" s="59"/>
      <c r="IRH5" s="59"/>
      <c r="IRI5" s="59"/>
      <c r="IRJ5" s="59"/>
      <c r="IRK5" s="59"/>
      <c r="IRL5" s="59"/>
      <c r="IRM5" s="59"/>
      <c r="IRN5" s="59"/>
      <c r="IRO5" s="59"/>
      <c r="IRP5" s="59"/>
      <c r="IRQ5" s="59"/>
      <c r="IRR5" s="59"/>
      <c r="IRS5" s="59"/>
      <c r="IRT5" s="59"/>
      <c r="IRU5" s="59"/>
      <c r="IRV5" s="59"/>
      <c r="IRW5" s="59"/>
      <c r="IRX5" s="59"/>
      <c r="IRY5" s="59"/>
      <c r="IRZ5" s="59"/>
      <c r="ISA5" s="59"/>
      <c r="ISB5" s="59"/>
      <c r="ISC5" s="59"/>
      <c r="ISD5" s="59"/>
      <c r="ISE5" s="59"/>
      <c r="ISF5" s="59"/>
      <c r="ISG5" s="59"/>
      <c r="ISH5" s="59"/>
      <c r="ISI5" s="59"/>
      <c r="ISJ5" s="59"/>
      <c r="ISK5" s="59"/>
      <c r="ISL5" s="59"/>
      <c r="ISM5" s="59"/>
      <c r="ISN5" s="59"/>
      <c r="ISO5" s="59"/>
      <c r="ISP5" s="59"/>
      <c r="ISQ5" s="59"/>
      <c r="ISR5" s="59"/>
      <c r="ISS5" s="59"/>
      <c r="IST5" s="59"/>
      <c r="ISU5" s="59"/>
      <c r="ISV5" s="59"/>
      <c r="ISW5" s="59"/>
      <c r="ISX5" s="59"/>
      <c r="ISY5" s="59"/>
      <c r="ISZ5" s="59"/>
      <c r="ITA5" s="59"/>
      <c r="ITB5" s="59"/>
      <c r="ITC5" s="59"/>
      <c r="ITD5" s="59"/>
      <c r="ITE5" s="59"/>
      <c r="ITF5" s="59"/>
      <c r="ITG5" s="59"/>
      <c r="ITH5" s="59"/>
      <c r="ITI5" s="59"/>
      <c r="ITJ5" s="59"/>
      <c r="ITK5" s="59"/>
      <c r="ITL5" s="59"/>
      <c r="ITM5" s="59"/>
      <c r="ITN5" s="59"/>
      <c r="ITO5" s="59"/>
      <c r="ITP5" s="59"/>
      <c r="ITQ5" s="59"/>
      <c r="ITR5" s="59"/>
      <c r="ITS5" s="59"/>
      <c r="ITT5" s="59"/>
      <c r="ITU5" s="59"/>
      <c r="ITV5" s="59"/>
      <c r="ITW5" s="59"/>
      <c r="ITX5" s="59"/>
      <c r="ITY5" s="59"/>
      <c r="ITZ5" s="59"/>
      <c r="IUA5" s="59"/>
      <c r="IUB5" s="59"/>
      <c r="IUC5" s="59"/>
      <c r="IUD5" s="59"/>
      <c r="IUE5" s="59"/>
      <c r="IUF5" s="59"/>
      <c r="IUG5" s="59"/>
      <c r="IUH5" s="59"/>
      <c r="IUI5" s="59"/>
      <c r="IUJ5" s="59"/>
      <c r="IUK5" s="59"/>
      <c r="IUL5" s="59"/>
      <c r="IUM5" s="59"/>
      <c r="IUN5" s="59"/>
      <c r="IUO5" s="59"/>
      <c r="IUP5" s="59"/>
      <c r="IUQ5" s="59"/>
      <c r="IUR5" s="59"/>
      <c r="IUS5" s="59"/>
      <c r="IUT5" s="59"/>
      <c r="IUU5" s="59"/>
      <c r="IUV5" s="59"/>
      <c r="IUW5" s="59"/>
      <c r="IUX5" s="59"/>
      <c r="IUY5" s="59"/>
      <c r="IUZ5" s="59"/>
      <c r="IVA5" s="59"/>
      <c r="IVB5" s="59"/>
      <c r="IVC5" s="59"/>
      <c r="IVD5" s="59"/>
      <c r="IVE5" s="59"/>
      <c r="IVF5" s="59"/>
      <c r="IVG5" s="59"/>
      <c r="IVH5" s="59"/>
      <c r="IVI5" s="59"/>
      <c r="IVJ5" s="59"/>
      <c r="IVK5" s="59"/>
      <c r="IVL5" s="59"/>
      <c r="IVM5" s="59"/>
      <c r="IVN5" s="59"/>
      <c r="IVO5" s="59"/>
      <c r="IVP5" s="59"/>
      <c r="IVQ5" s="59"/>
      <c r="IVR5" s="59"/>
      <c r="IVS5" s="59"/>
      <c r="IVT5" s="59"/>
      <c r="IVU5" s="59"/>
      <c r="IVV5" s="59"/>
      <c r="IVW5" s="59"/>
      <c r="IVX5" s="59"/>
      <c r="IVY5" s="59"/>
      <c r="IVZ5" s="59"/>
      <c r="IWA5" s="59"/>
      <c r="IWB5" s="59"/>
      <c r="IWC5" s="59"/>
      <c r="IWD5" s="59"/>
      <c r="IWE5" s="59"/>
      <c r="IWF5" s="59"/>
      <c r="IWG5" s="59"/>
      <c r="IWH5" s="59"/>
      <c r="IWI5" s="59"/>
      <c r="IWJ5" s="59"/>
      <c r="IWK5" s="59"/>
      <c r="IWL5" s="59"/>
      <c r="IWM5" s="59"/>
      <c r="IWN5" s="59"/>
      <c r="IWO5" s="59"/>
      <c r="IWP5" s="59"/>
      <c r="IWQ5" s="59"/>
      <c r="IWR5" s="59"/>
      <c r="IWS5" s="59"/>
      <c r="IWT5" s="59"/>
      <c r="IWU5" s="59"/>
      <c r="IWV5" s="59"/>
      <c r="IWW5" s="59"/>
      <c r="IWX5" s="59"/>
      <c r="IWY5" s="59"/>
      <c r="IWZ5" s="59"/>
      <c r="IXA5" s="59"/>
      <c r="IXB5" s="59"/>
      <c r="IXC5" s="59"/>
      <c r="IXD5" s="59"/>
      <c r="IXE5" s="59"/>
      <c r="IXF5" s="59"/>
      <c r="IXG5" s="59"/>
      <c r="IXH5" s="59"/>
      <c r="IXI5" s="59"/>
      <c r="IXJ5" s="59"/>
      <c r="IXK5" s="59"/>
      <c r="IXL5" s="59"/>
      <c r="IXM5" s="59"/>
      <c r="IXN5" s="59"/>
      <c r="IXO5" s="59"/>
      <c r="IXP5" s="59"/>
      <c r="IXQ5" s="59"/>
      <c r="IXR5" s="59"/>
      <c r="IXS5" s="59"/>
      <c r="IXT5" s="59"/>
      <c r="IXU5" s="59"/>
      <c r="IXV5" s="59"/>
      <c r="IXW5" s="59"/>
      <c r="IXX5" s="59"/>
      <c r="IXY5" s="59"/>
      <c r="IXZ5" s="59"/>
      <c r="IYA5" s="59"/>
      <c r="IYB5" s="59"/>
      <c r="IYC5" s="59"/>
      <c r="IYD5" s="59"/>
      <c r="IYE5" s="59"/>
      <c r="IYF5" s="59"/>
      <c r="IYG5" s="59"/>
      <c r="IYH5" s="59"/>
      <c r="IYI5" s="59"/>
      <c r="IYJ5" s="59"/>
      <c r="IYK5" s="59"/>
      <c r="IYL5" s="59"/>
      <c r="IYM5" s="59"/>
      <c r="IYN5" s="59"/>
      <c r="IYO5" s="59"/>
      <c r="IYP5" s="59"/>
      <c r="IYQ5" s="59"/>
      <c r="IYR5" s="59"/>
      <c r="IYS5" s="59"/>
      <c r="IYT5" s="59"/>
      <c r="IYU5" s="59"/>
      <c r="IYV5" s="59"/>
      <c r="IYW5" s="59"/>
      <c r="IYX5" s="59"/>
      <c r="IYY5" s="59"/>
      <c r="IYZ5" s="59"/>
      <c r="IZA5" s="59"/>
      <c r="IZB5" s="59"/>
      <c r="IZC5" s="59"/>
      <c r="IZD5" s="59"/>
      <c r="IZE5" s="59"/>
      <c r="IZF5" s="59"/>
      <c r="IZG5" s="59"/>
      <c r="IZH5" s="59"/>
      <c r="IZI5" s="59"/>
      <c r="IZJ5" s="59"/>
      <c r="IZK5" s="59"/>
      <c r="IZL5" s="59"/>
      <c r="IZM5" s="59"/>
      <c r="IZN5" s="59"/>
      <c r="IZO5" s="59"/>
      <c r="IZP5" s="59"/>
      <c r="IZQ5" s="59"/>
      <c r="IZR5" s="59"/>
      <c r="IZS5" s="59"/>
      <c r="IZT5" s="59"/>
      <c r="IZU5" s="59"/>
      <c r="IZV5" s="59"/>
      <c r="IZW5" s="59"/>
      <c r="IZX5" s="59"/>
      <c r="IZY5" s="59"/>
      <c r="IZZ5" s="59"/>
      <c r="JAA5" s="59"/>
      <c r="JAB5" s="59"/>
      <c r="JAC5" s="59"/>
      <c r="JAD5" s="59"/>
      <c r="JAE5" s="59"/>
      <c r="JAF5" s="59"/>
      <c r="JAG5" s="59"/>
      <c r="JAH5" s="59"/>
      <c r="JAI5" s="59"/>
      <c r="JAJ5" s="59"/>
      <c r="JAK5" s="59"/>
      <c r="JAL5" s="59"/>
      <c r="JAM5" s="59"/>
      <c r="JAN5" s="59"/>
      <c r="JAO5" s="59"/>
      <c r="JAP5" s="59"/>
      <c r="JAQ5" s="59"/>
      <c r="JAR5" s="59"/>
      <c r="JAS5" s="59"/>
      <c r="JAT5" s="59"/>
      <c r="JAU5" s="59"/>
      <c r="JAV5" s="59"/>
      <c r="JAW5" s="59"/>
      <c r="JAX5" s="59"/>
      <c r="JAY5" s="59"/>
      <c r="JAZ5" s="59"/>
      <c r="JBA5" s="59"/>
      <c r="JBB5" s="59"/>
      <c r="JBC5" s="59"/>
      <c r="JBD5" s="59"/>
      <c r="JBE5" s="59"/>
      <c r="JBF5" s="59"/>
      <c r="JBG5" s="59"/>
      <c r="JBH5" s="59"/>
      <c r="JBI5" s="59"/>
      <c r="JBJ5" s="59"/>
      <c r="JBK5" s="59"/>
      <c r="JBL5" s="59"/>
      <c r="JBM5" s="59"/>
      <c r="JBN5" s="59"/>
      <c r="JBO5" s="59"/>
      <c r="JBP5" s="59"/>
      <c r="JBQ5" s="59"/>
      <c r="JBR5" s="59"/>
      <c r="JBS5" s="59"/>
      <c r="JBT5" s="59"/>
      <c r="JBU5" s="59"/>
      <c r="JBV5" s="59"/>
      <c r="JBW5" s="59"/>
      <c r="JBX5" s="59"/>
      <c r="JBY5" s="59"/>
      <c r="JBZ5" s="59"/>
      <c r="JCA5" s="59"/>
      <c r="JCB5" s="59"/>
      <c r="JCC5" s="59"/>
      <c r="JCD5" s="59"/>
      <c r="JCE5" s="59"/>
      <c r="JCF5" s="59"/>
      <c r="JCG5" s="59"/>
      <c r="JCH5" s="59"/>
      <c r="JCI5" s="59"/>
      <c r="JCJ5" s="59"/>
      <c r="JCK5" s="59"/>
      <c r="JCL5" s="59"/>
      <c r="JCM5" s="59"/>
      <c r="JCN5" s="59"/>
      <c r="JCO5" s="59"/>
      <c r="JCP5" s="59"/>
      <c r="JCQ5" s="59"/>
      <c r="JCR5" s="59"/>
      <c r="JCS5" s="59"/>
      <c r="JCT5" s="59"/>
      <c r="JCU5" s="59"/>
      <c r="JCV5" s="59"/>
      <c r="JCW5" s="59"/>
      <c r="JCX5" s="59"/>
      <c r="JCY5" s="59"/>
      <c r="JCZ5" s="59"/>
      <c r="JDA5" s="59"/>
      <c r="JDB5" s="59"/>
      <c r="JDC5" s="59"/>
      <c r="JDD5" s="59"/>
      <c r="JDE5" s="59"/>
      <c r="JDF5" s="59"/>
      <c r="JDG5" s="59"/>
      <c r="JDH5" s="59"/>
      <c r="JDI5" s="59"/>
      <c r="JDJ5" s="59"/>
      <c r="JDK5" s="59"/>
      <c r="JDL5" s="59"/>
      <c r="JDM5" s="59"/>
      <c r="JDN5" s="59"/>
      <c r="JDO5" s="59"/>
      <c r="JDP5" s="59"/>
      <c r="JDQ5" s="59"/>
      <c r="JDR5" s="59"/>
      <c r="JDS5" s="59"/>
      <c r="JDT5" s="59"/>
      <c r="JDU5" s="59"/>
      <c r="JDV5" s="59"/>
      <c r="JDW5" s="59"/>
      <c r="JDX5" s="59"/>
      <c r="JDY5" s="59"/>
      <c r="JDZ5" s="59"/>
      <c r="JEA5" s="59"/>
      <c r="JEB5" s="59"/>
      <c r="JEC5" s="59"/>
      <c r="JED5" s="59"/>
      <c r="JEE5" s="59"/>
      <c r="JEF5" s="59"/>
      <c r="JEG5" s="59"/>
      <c r="JEH5" s="59"/>
      <c r="JEI5" s="59"/>
      <c r="JEJ5" s="59"/>
      <c r="JEK5" s="59"/>
      <c r="JEL5" s="59"/>
      <c r="JEM5" s="59"/>
      <c r="JEN5" s="59"/>
      <c r="JEO5" s="59"/>
      <c r="JEP5" s="59"/>
      <c r="JEQ5" s="59"/>
      <c r="JER5" s="59"/>
      <c r="JES5" s="59"/>
      <c r="JET5" s="59"/>
      <c r="JEU5" s="59"/>
      <c r="JEV5" s="59"/>
      <c r="JEW5" s="59"/>
      <c r="JEX5" s="59"/>
      <c r="JEY5" s="59"/>
      <c r="JEZ5" s="59"/>
      <c r="JFA5" s="59"/>
      <c r="JFB5" s="59"/>
      <c r="JFC5" s="59"/>
      <c r="JFD5" s="59"/>
      <c r="JFE5" s="59"/>
      <c r="JFF5" s="59"/>
      <c r="JFG5" s="59"/>
      <c r="JFH5" s="59"/>
      <c r="JFI5" s="59"/>
      <c r="JFJ5" s="59"/>
      <c r="JFK5" s="59"/>
      <c r="JFL5" s="59"/>
      <c r="JFM5" s="59"/>
      <c r="JFN5" s="59"/>
      <c r="JFO5" s="59"/>
      <c r="JFP5" s="59"/>
      <c r="JFQ5" s="59"/>
      <c r="JFR5" s="59"/>
      <c r="JFS5" s="59"/>
      <c r="JFT5" s="59"/>
      <c r="JFU5" s="59"/>
      <c r="JFV5" s="59"/>
      <c r="JFW5" s="59"/>
      <c r="JFX5" s="59"/>
      <c r="JFY5" s="59"/>
      <c r="JFZ5" s="59"/>
      <c r="JGA5" s="59"/>
      <c r="JGB5" s="59"/>
      <c r="JGC5" s="59"/>
      <c r="JGD5" s="59"/>
      <c r="JGE5" s="59"/>
      <c r="JGF5" s="59"/>
      <c r="JGG5" s="59"/>
      <c r="JGH5" s="59"/>
      <c r="JGI5" s="59"/>
      <c r="JGJ5" s="59"/>
      <c r="JGK5" s="59"/>
      <c r="JGL5" s="59"/>
      <c r="JGM5" s="59"/>
      <c r="JGN5" s="59"/>
      <c r="JGO5" s="59"/>
      <c r="JGP5" s="59"/>
      <c r="JGQ5" s="59"/>
      <c r="JGR5" s="59"/>
      <c r="JGS5" s="59"/>
      <c r="JGT5" s="59"/>
      <c r="JGU5" s="59"/>
      <c r="JGV5" s="59"/>
      <c r="JGW5" s="59"/>
      <c r="JGX5" s="59"/>
      <c r="JGY5" s="59"/>
      <c r="JGZ5" s="59"/>
      <c r="JHA5" s="59"/>
      <c r="JHB5" s="59"/>
      <c r="JHC5" s="59"/>
      <c r="JHD5" s="59"/>
      <c r="JHE5" s="59"/>
      <c r="JHF5" s="59"/>
      <c r="JHG5" s="59"/>
      <c r="JHH5" s="59"/>
      <c r="JHI5" s="59"/>
      <c r="JHJ5" s="59"/>
      <c r="JHK5" s="59"/>
      <c r="JHL5" s="59"/>
      <c r="JHM5" s="59"/>
      <c r="JHN5" s="59"/>
      <c r="JHO5" s="59"/>
      <c r="JHP5" s="59"/>
      <c r="JHQ5" s="59"/>
      <c r="JHR5" s="59"/>
      <c r="JHS5" s="59"/>
      <c r="JHT5" s="59"/>
      <c r="JHU5" s="59"/>
      <c r="JHV5" s="59"/>
      <c r="JHW5" s="59"/>
      <c r="JHX5" s="59"/>
      <c r="JHY5" s="59"/>
      <c r="JHZ5" s="59"/>
      <c r="JIA5" s="59"/>
      <c r="JIB5" s="59"/>
      <c r="JIC5" s="59"/>
      <c r="JID5" s="59"/>
      <c r="JIE5" s="59"/>
      <c r="JIF5" s="59"/>
      <c r="JIG5" s="59"/>
      <c r="JIH5" s="59"/>
      <c r="JII5" s="59"/>
      <c r="JIJ5" s="59"/>
      <c r="JIK5" s="59"/>
      <c r="JIL5" s="59"/>
      <c r="JIM5" s="59"/>
      <c r="JIN5" s="59"/>
      <c r="JIO5" s="59"/>
      <c r="JIP5" s="59"/>
      <c r="JIQ5" s="59"/>
      <c r="JIR5" s="59"/>
      <c r="JIS5" s="59"/>
      <c r="JIT5" s="59"/>
      <c r="JIU5" s="59"/>
      <c r="JIV5" s="59"/>
      <c r="JIW5" s="59"/>
      <c r="JIX5" s="59"/>
      <c r="JIY5" s="59"/>
      <c r="JIZ5" s="59"/>
      <c r="JJA5" s="59"/>
      <c r="JJB5" s="59"/>
      <c r="JJC5" s="59"/>
      <c r="JJD5" s="59"/>
      <c r="JJE5" s="59"/>
      <c r="JJF5" s="59"/>
      <c r="JJG5" s="59"/>
      <c r="JJH5" s="59"/>
      <c r="JJI5" s="59"/>
      <c r="JJJ5" s="59"/>
      <c r="JJK5" s="59"/>
      <c r="JJL5" s="59"/>
      <c r="JJM5" s="59"/>
      <c r="JJN5" s="59"/>
      <c r="JJO5" s="59"/>
      <c r="JJP5" s="59"/>
      <c r="JJQ5" s="59"/>
      <c r="JJR5" s="59"/>
      <c r="JJS5" s="59"/>
      <c r="JJT5" s="59"/>
      <c r="JJU5" s="59"/>
      <c r="JJV5" s="59"/>
      <c r="JJW5" s="59"/>
      <c r="JJX5" s="59"/>
      <c r="JJY5" s="59"/>
      <c r="JJZ5" s="59"/>
      <c r="JKA5" s="59"/>
      <c r="JKB5" s="59"/>
      <c r="JKC5" s="59"/>
      <c r="JKD5" s="59"/>
      <c r="JKE5" s="59"/>
      <c r="JKF5" s="59"/>
      <c r="JKG5" s="59"/>
      <c r="JKH5" s="59"/>
      <c r="JKI5" s="59"/>
      <c r="JKJ5" s="59"/>
      <c r="JKK5" s="59"/>
      <c r="JKL5" s="59"/>
      <c r="JKM5" s="59"/>
      <c r="JKN5" s="59"/>
      <c r="JKO5" s="59"/>
      <c r="JKP5" s="59"/>
      <c r="JKQ5" s="59"/>
      <c r="JKR5" s="59"/>
      <c r="JKS5" s="59"/>
      <c r="JKT5" s="59"/>
      <c r="JKU5" s="59"/>
      <c r="JKV5" s="59"/>
      <c r="JKW5" s="59"/>
      <c r="JKX5" s="59"/>
      <c r="JKY5" s="59"/>
      <c r="JKZ5" s="59"/>
      <c r="JLA5" s="59"/>
      <c r="JLB5" s="59"/>
      <c r="JLC5" s="59"/>
      <c r="JLD5" s="59"/>
      <c r="JLE5" s="59"/>
      <c r="JLF5" s="59"/>
      <c r="JLG5" s="59"/>
      <c r="JLH5" s="59"/>
      <c r="JLI5" s="59"/>
      <c r="JLJ5" s="59"/>
      <c r="JLK5" s="59"/>
      <c r="JLL5" s="59"/>
      <c r="JLM5" s="59"/>
      <c r="JLN5" s="59"/>
      <c r="JLO5" s="59"/>
      <c r="JLP5" s="59"/>
      <c r="JLQ5" s="59"/>
      <c r="JLR5" s="59"/>
      <c r="JLS5" s="59"/>
      <c r="JLT5" s="59"/>
      <c r="JLU5" s="59"/>
      <c r="JLV5" s="59"/>
      <c r="JLW5" s="59"/>
      <c r="JLX5" s="59"/>
      <c r="JLY5" s="59"/>
      <c r="JLZ5" s="59"/>
      <c r="JMA5" s="59"/>
      <c r="JMB5" s="59"/>
      <c r="JMC5" s="59"/>
      <c r="JMD5" s="59"/>
      <c r="JME5" s="59"/>
      <c r="JMF5" s="59"/>
      <c r="JMG5" s="59"/>
      <c r="JMH5" s="59"/>
      <c r="JMI5" s="59"/>
      <c r="JMJ5" s="59"/>
      <c r="JMK5" s="59"/>
      <c r="JML5" s="59"/>
      <c r="JMM5" s="59"/>
      <c r="JMN5" s="59"/>
      <c r="JMO5" s="59"/>
      <c r="JMP5" s="59"/>
      <c r="JMQ5" s="59"/>
      <c r="JMR5" s="59"/>
      <c r="JMS5" s="59"/>
      <c r="JMT5" s="59"/>
      <c r="JMU5" s="59"/>
      <c r="JMV5" s="59"/>
      <c r="JMW5" s="59"/>
      <c r="JMX5" s="59"/>
      <c r="JMY5" s="59"/>
      <c r="JMZ5" s="59"/>
      <c r="JNA5" s="59"/>
      <c r="JNB5" s="59"/>
      <c r="JNC5" s="59"/>
      <c r="JND5" s="59"/>
      <c r="JNE5" s="59"/>
      <c r="JNF5" s="59"/>
      <c r="JNG5" s="59"/>
      <c r="JNH5" s="59"/>
      <c r="JNI5" s="59"/>
      <c r="JNJ5" s="59"/>
      <c r="JNK5" s="59"/>
      <c r="JNL5" s="59"/>
      <c r="JNM5" s="59"/>
      <c r="JNN5" s="59"/>
      <c r="JNO5" s="59"/>
      <c r="JNP5" s="59"/>
      <c r="JNQ5" s="59"/>
      <c r="JNR5" s="59"/>
      <c r="JNS5" s="59"/>
      <c r="JNT5" s="59"/>
      <c r="JNU5" s="59"/>
      <c r="JNV5" s="59"/>
      <c r="JNW5" s="59"/>
      <c r="JNX5" s="59"/>
      <c r="JNY5" s="59"/>
      <c r="JNZ5" s="59"/>
      <c r="JOA5" s="59"/>
      <c r="JOB5" s="59"/>
      <c r="JOC5" s="59"/>
      <c r="JOD5" s="59"/>
      <c r="JOE5" s="59"/>
      <c r="JOF5" s="59"/>
      <c r="JOG5" s="59"/>
      <c r="JOH5" s="59"/>
      <c r="JOI5" s="59"/>
      <c r="JOJ5" s="59"/>
      <c r="JOK5" s="59"/>
      <c r="JOL5" s="59"/>
      <c r="JOM5" s="59"/>
      <c r="JON5" s="59"/>
      <c r="JOO5" s="59"/>
      <c r="JOP5" s="59"/>
      <c r="JOQ5" s="59"/>
      <c r="JOR5" s="59"/>
      <c r="JOS5" s="59"/>
      <c r="JOT5" s="59"/>
      <c r="JOU5" s="59"/>
      <c r="JOV5" s="59"/>
      <c r="JOW5" s="59"/>
      <c r="JOX5" s="59"/>
      <c r="JOY5" s="59"/>
      <c r="JOZ5" s="59"/>
      <c r="JPA5" s="59"/>
      <c r="JPB5" s="59"/>
      <c r="JPC5" s="59"/>
      <c r="JPD5" s="59"/>
      <c r="JPE5" s="59"/>
      <c r="JPF5" s="59"/>
      <c r="JPG5" s="59"/>
      <c r="JPH5" s="59"/>
      <c r="JPI5" s="59"/>
      <c r="JPJ5" s="59"/>
      <c r="JPK5" s="59"/>
      <c r="JPL5" s="59"/>
      <c r="JPM5" s="59"/>
      <c r="JPN5" s="59"/>
      <c r="JPO5" s="59"/>
      <c r="JPP5" s="59"/>
      <c r="JPQ5" s="59"/>
      <c r="JPR5" s="59"/>
      <c r="JPS5" s="59"/>
      <c r="JPT5" s="59"/>
      <c r="JPU5" s="59"/>
      <c r="JPV5" s="59"/>
      <c r="JPW5" s="59"/>
      <c r="JPX5" s="59"/>
      <c r="JPY5" s="59"/>
      <c r="JPZ5" s="59"/>
      <c r="JQA5" s="59"/>
      <c r="JQB5" s="59"/>
      <c r="JQC5" s="59"/>
      <c r="JQD5" s="59"/>
      <c r="JQE5" s="59"/>
      <c r="JQF5" s="59"/>
      <c r="JQG5" s="59"/>
      <c r="JQH5" s="59"/>
      <c r="JQI5" s="59"/>
      <c r="JQJ5" s="59"/>
      <c r="JQK5" s="59"/>
      <c r="JQL5" s="59"/>
      <c r="JQM5" s="59"/>
      <c r="JQN5" s="59"/>
      <c r="JQO5" s="59"/>
      <c r="JQP5" s="59"/>
      <c r="JQQ5" s="59"/>
      <c r="JQR5" s="59"/>
      <c r="JQS5" s="59"/>
      <c r="JQT5" s="59"/>
      <c r="JQU5" s="59"/>
      <c r="JQV5" s="59"/>
      <c r="JQW5" s="59"/>
      <c r="JQX5" s="59"/>
      <c r="JQY5" s="59"/>
      <c r="JQZ5" s="59"/>
      <c r="JRA5" s="59"/>
      <c r="JRB5" s="59"/>
      <c r="JRC5" s="59"/>
      <c r="JRD5" s="59"/>
      <c r="JRE5" s="59"/>
      <c r="JRF5" s="59"/>
      <c r="JRG5" s="59"/>
      <c r="JRH5" s="59"/>
      <c r="JRI5" s="59"/>
      <c r="JRJ5" s="59"/>
      <c r="JRK5" s="59"/>
      <c r="JRL5" s="59"/>
      <c r="JRM5" s="59"/>
      <c r="JRN5" s="59"/>
      <c r="JRO5" s="59"/>
      <c r="JRP5" s="59"/>
      <c r="JRQ5" s="59"/>
      <c r="JRR5" s="59"/>
      <c r="JRS5" s="59"/>
      <c r="JRT5" s="59"/>
      <c r="JRU5" s="59"/>
      <c r="JRV5" s="59"/>
      <c r="JRW5" s="59"/>
      <c r="JRX5" s="59"/>
      <c r="JRY5" s="59"/>
      <c r="JRZ5" s="59"/>
      <c r="JSA5" s="59"/>
      <c r="JSB5" s="59"/>
      <c r="JSC5" s="59"/>
      <c r="JSD5" s="59"/>
      <c r="JSE5" s="59"/>
      <c r="JSF5" s="59"/>
      <c r="JSG5" s="59"/>
      <c r="JSH5" s="59"/>
      <c r="JSI5" s="59"/>
      <c r="JSJ5" s="59"/>
      <c r="JSK5" s="59"/>
      <c r="JSL5" s="59"/>
      <c r="JSM5" s="59"/>
      <c r="JSN5" s="59"/>
      <c r="JSO5" s="59"/>
      <c r="JSP5" s="59"/>
      <c r="JSQ5" s="59"/>
      <c r="JSR5" s="59"/>
      <c r="JSS5" s="59"/>
      <c r="JST5" s="59"/>
      <c r="JSU5" s="59"/>
      <c r="JSV5" s="59"/>
      <c r="JSW5" s="59"/>
      <c r="JSX5" s="59"/>
      <c r="JSY5" s="59"/>
      <c r="JSZ5" s="59"/>
      <c r="JTA5" s="59"/>
      <c r="JTB5" s="59"/>
      <c r="JTC5" s="59"/>
      <c r="JTD5" s="59"/>
      <c r="JTE5" s="59"/>
      <c r="JTF5" s="59"/>
      <c r="JTG5" s="59"/>
      <c r="JTH5" s="59"/>
      <c r="JTI5" s="59"/>
      <c r="JTJ5" s="59"/>
      <c r="JTK5" s="59"/>
      <c r="JTL5" s="59"/>
      <c r="JTM5" s="59"/>
      <c r="JTN5" s="59"/>
      <c r="JTO5" s="59"/>
      <c r="JTP5" s="59"/>
      <c r="JTQ5" s="59"/>
      <c r="JTR5" s="59"/>
      <c r="JTS5" s="59"/>
      <c r="JTT5" s="59"/>
      <c r="JTU5" s="59"/>
      <c r="JTV5" s="59"/>
      <c r="JTW5" s="59"/>
      <c r="JTX5" s="59"/>
      <c r="JTY5" s="59"/>
      <c r="JTZ5" s="59"/>
      <c r="JUA5" s="59"/>
      <c r="JUB5" s="59"/>
      <c r="JUC5" s="59"/>
      <c r="JUD5" s="59"/>
      <c r="JUE5" s="59"/>
      <c r="JUF5" s="59"/>
      <c r="JUG5" s="59"/>
      <c r="JUH5" s="59"/>
      <c r="JUI5" s="59"/>
      <c r="JUJ5" s="59"/>
      <c r="JUK5" s="59"/>
      <c r="JUL5" s="59"/>
      <c r="JUM5" s="59"/>
      <c r="JUN5" s="59"/>
      <c r="JUO5" s="59"/>
      <c r="JUP5" s="59"/>
      <c r="JUQ5" s="59"/>
      <c r="JUR5" s="59"/>
      <c r="JUS5" s="59"/>
      <c r="JUT5" s="59"/>
      <c r="JUU5" s="59"/>
      <c r="JUV5" s="59"/>
      <c r="JUW5" s="59"/>
      <c r="JUX5" s="59"/>
      <c r="JUY5" s="59"/>
      <c r="JUZ5" s="59"/>
      <c r="JVA5" s="59"/>
      <c r="JVB5" s="59"/>
      <c r="JVC5" s="59"/>
      <c r="JVD5" s="59"/>
      <c r="JVE5" s="59"/>
      <c r="JVF5" s="59"/>
      <c r="JVG5" s="59"/>
      <c r="JVH5" s="59"/>
      <c r="JVI5" s="59"/>
      <c r="JVJ5" s="59"/>
      <c r="JVK5" s="59"/>
      <c r="JVL5" s="59"/>
      <c r="JVM5" s="59"/>
      <c r="JVN5" s="59"/>
      <c r="JVO5" s="59"/>
      <c r="JVP5" s="59"/>
      <c r="JVQ5" s="59"/>
      <c r="JVR5" s="59"/>
      <c r="JVS5" s="59"/>
      <c r="JVT5" s="59"/>
      <c r="JVU5" s="59"/>
      <c r="JVV5" s="59"/>
      <c r="JVW5" s="59"/>
      <c r="JVX5" s="59"/>
      <c r="JVY5" s="59"/>
      <c r="JVZ5" s="59"/>
      <c r="JWA5" s="59"/>
      <c r="JWB5" s="59"/>
      <c r="JWC5" s="59"/>
      <c r="JWD5" s="59"/>
      <c r="JWE5" s="59"/>
      <c r="JWF5" s="59"/>
      <c r="JWG5" s="59"/>
      <c r="JWH5" s="59"/>
      <c r="JWI5" s="59"/>
      <c r="JWJ5" s="59"/>
      <c r="JWK5" s="59"/>
      <c r="JWL5" s="59"/>
      <c r="JWM5" s="59"/>
      <c r="JWN5" s="59"/>
      <c r="JWO5" s="59"/>
      <c r="JWP5" s="59"/>
      <c r="JWQ5" s="59"/>
      <c r="JWR5" s="59"/>
      <c r="JWS5" s="59"/>
      <c r="JWT5" s="59"/>
      <c r="JWU5" s="59"/>
      <c r="JWV5" s="59"/>
      <c r="JWW5" s="59"/>
      <c r="JWX5" s="59"/>
      <c r="JWY5" s="59"/>
      <c r="JWZ5" s="59"/>
      <c r="JXA5" s="59"/>
      <c r="JXB5" s="59"/>
      <c r="JXC5" s="59"/>
      <c r="JXD5" s="59"/>
      <c r="JXE5" s="59"/>
      <c r="JXF5" s="59"/>
      <c r="JXG5" s="59"/>
      <c r="JXH5" s="59"/>
      <c r="JXI5" s="59"/>
      <c r="JXJ5" s="59"/>
      <c r="JXK5" s="59"/>
      <c r="JXL5" s="59"/>
      <c r="JXM5" s="59"/>
      <c r="JXN5" s="59"/>
      <c r="JXO5" s="59"/>
      <c r="JXP5" s="59"/>
      <c r="JXQ5" s="59"/>
      <c r="JXR5" s="59"/>
      <c r="JXS5" s="59"/>
      <c r="JXT5" s="59"/>
      <c r="JXU5" s="59"/>
      <c r="JXV5" s="59"/>
      <c r="JXW5" s="59"/>
      <c r="JXX5" s="59"/>
      <c r="JXY5" s="59"/>
      <c r="JXZ5" s="59"/>
      <c r="JYA5" s="59"/>
      <c r="JYB5" s="59"/>
      <c r="JYC5" s="59"/>
      <c r="JYD5" s="59"/>
      <c r="JYE5" s="59"/>
      <c r="JYF5" s="59"/>
      <c r="JYG5" s="59"/>
      <c r="JYH5" s="59"/>
      <c r="JYI5" s="59"/>
      <c r="JYJ5" s="59"/>
      <c r="JYK5" s="59"/>
      <c r="JYL5" s="59"/>
      <c r="JYM5" s="59"/>
      <c r="JYN5" s="59"/>
      <c r="JYO5" s="59"/>
      <c r="JYP5" s="59"/>
      <c r="JYQ5" s="59"/>
      <c r="JYR5" s="59"/>
      <c r="JYS5" s="59"/>
      <c r="JYT5" s="59"/>
      <c r="JYU5" s="59"/>
      <c r="JYV5" s="59"/>
      <c r="JYW5" s="59"/>
      <c r="JYX5" s="59"/>
      <c r="JYY5" s="59"/>
      <c r="JYZ5" s="59"/>
      <c r="JZA5" s="59"/>
      <c r="JZB5" s="59"/>
      <c r="JZC5" s="59"/>
      <c r="JZD5" s="59"/>
      <c r="JZE5" s="59"/>
      <c r="JZF5" s="59"/>
      <c r="JZG5" s="59"/>
      <c r="JZH5" s="59"/>
      <c r="JZI5" s="59"/>
      <c r="JZJ5" s="59"/>
      <c r="JZK5" s="59"/>
      <c r="JZL5" s="59"/>
      <c r="JZM5" s="59"/>
      <c r="JZN5" s="59"/>
      <c r="JZO5" s="59"/>
      <c r="JZP5" s="59"/>
      <c r="JZQ5" s="59"/>
      <c r="JZR5" s="59"/>
      <c r="JZS5" s="59"/>
      <c r="JZT5" s="59"/>
      <c r="JZU5" s="59"/>
      <c r="JZV5" s="59"/>
      <c r="JZW5" s="59"/>
      <c r="JZX5" s="59"/>
      <c r="JZY5" s="59"/>
      <c r="JZZ5" s="59"/>
      <c r="KAA5" s="59"/>
      <c r="KAB5" s="59"/>
      <c r="KAC5" s="59"/>
      <c r="KAD5" s="59"/>
      <c r="KAE5" s="59"/>
      <c r="KAF5" s="59"/>
      <c r="KAG5" s="59"/>
      <c r="KAH5" s="59"/>
      <c r="KAI5" s="59"/>
      <c r="KAJ5" s="59"/>
      <c r="KAK5" s="59"/>
      <c r="KAL5" s="59"/>
      <c r="KAM5" s="59"/>
      <c r="KAN5" s="59"/>
      <c r="KAO5" s="59"/>
      <c r="KAP5" s="59"/>
      <c r="KAQ5" s="59"/>
      <c r="KAR5" s="59"/>
      <c r="KAS5" s="59"/>
      <c r="KAT5" s="59"/>
      <c r="KAU5" s="59"/>
      <c r="KAV5" s="59"/>
      <c r="KAW5" s="59"/>
      <c r="KAX5" s="59"/>
      <c r="KAY5" s="59"/>
      <c r="KAZ5" s="59"/>
      <c r="KBA5" s="59"/>
      <c r="KBB5" s="59"/>
      <c r="KBC5" s="59"/>
      <c r="KBD5" s="59"/>
      <c r="KBE5" s="59"/>
      <c r="KBF5" s="59"/>
      <c r="KBG5" s="59"/>
      <c r="KBH5" s="59"/>
      <c r="KBI5" s="59"/>
      <c r="KBJ5" s="59"/>
      <c r="KBK5" s="59"/>
      <c r="KBL5" s="59"/>
      <c r="KBM5" s="59"/>
      <c r="KBN5" s="59"/>
      <c r="KBO5" s="59"/>
      <c r="KBP5" s="59"/>
      <c r="KBQ5" s="59"/>
      <c r="KBR5" s="59"/>
      <c r="KBS5" s="59"/>
      <c r="KBT5" s="59"/>
      <c r="KBU5" s="59"/>
      <c r="KBV5" s="59"/>
      <c r="KBW5" s="59"/>
      <c r="KBX5" s="59"/>
      <c r="KBY5" s="59"/>
      <c r="KBZ5" s="59"/>
      <c r="KCA5" s="59"/>
      <c r="KCB5" s="59"/>
      <c r="KCC5" s="59"/>
      <c r="KCD5" s="59"/>
      <c r="KCE5" s="59"/>
      <c r="KCF5" s="59"/>
      <c r="KCG5" s="59"/>
      <c r="KCH5" s="59"/>
      <c r="KCI5" s="59"/>
      <c r="KCJ5" s="59"/>
      <c r="KCK5" s="59"/>
      <c r="KCL5" s="59"/>
      <c r="KCM5" s="59"/>
      <c r="KCN5" s="59"/>
      <c r="KCO5" s="59"/>
      <c r="KCP5" s="59"/>
      <c r="KCQ5" s="59"/>
      <c r="KCR5" s="59"/>
      <c r="KCS5" s="59"/>
      <c r="KCT5" s="59"/>
      <c r="KCU5" s="59"/>
      <c r="KCV5" s="59"/>
      <c r="KCW5" s="59"/>
      <c r="KCX5" s="59"/>
      <c r="KCY5" s="59"/>
      <c r="KCZ5" s="59"/>
      <c r="KDA5" s="59"/>
      <c r="KDB5" s="59"/>
      <c r="KDC5" s="59"/>
      <c r="KDD5" s="59"/>
      <c r="KDE5" s="59"/>
      <c r="KDF5" s="59"/>
      <c r="KDG5" s="59"/>
      <c r="KDH5" s="59"/>
      <c r="KDI5" s="59"/>
      <c r="KDJ5" s="59"/>
      <c r="KDK5" s="59"/>
      <c r="KDL5" s="59"/>
      <c r="KDM5" s="59"/>
      <c r="KDN5" s="59"/>
      <c r="KDO5" s="59"/>
      <c r="KDP5" s="59"/>
      <c r="KDQ5" s="59"/>
      <c r="KDR5" s="59"/>
      <c r="KDS5" s="59"/>
      <c r="KDT5" s="59"/>
      <c r="KDU5" s="59"/>
      <c r="KDV5" s="59"/>
      <c r="KDW5" s="59"/>
      <c r="KDX5" s="59"/>
      <c r="KDY5" s="59"/>
      <c r="KDZ5" s="59"/>
      <c r="KEA5" s="59"/>
      <c r="KEB5" s="59"/>
      <c r="KEC5" s="59"/>
      <c r="KED5" s="59"/>
      <c r="KEE5" s="59"/>
      <c r="KEF5" s="59"/>
      <c r="KEG5" s="59"/>
      <c r="KEH5" s="59"/>
      <c r="KEI5" s="59"/>
      <c r="KEJ5" s="59"/>
      <c r="KEK5" s="59"/>
      <c r="KEL5" s="59"/>
      <c r="KEM5" s="59"/>
      <c r="KEN5" s="59"/>
      <c r="KEO5" s="59"/>
      <c r="KEP5" s="59"/>
      <c r="KEQ5" s="59"/>
      <c r="KER5" s="59"/>
      <c r="KES5" s="59"/>
      <c r="KET5" s="59"/>
      <c r="KEU5" s="59"/>
      <c r="KEV5" s="59"/>
      <c r="KEW5" s="59"/>
      <c r="KEX5" s="59"/>
      <c r="KEY5" s="59"/>
      <c r="KEZ5" s="59"/>
      <c r="KFA5" s="59"/>
      <c r="KFB5" s="59"/>
      <c r="KFC5" s="59"/>
      <c r="KFD5" s="59"/>
      <c r="KFE5" s="59"/>
      <c r="KFF5" s="59"/>
      <c r="KFG5" s="59"/>
      <c r="KFH5" s="59"/>
      <c r="KFI5" s="59"/>
      <c r="KFJ5" s="59"/>
      <c r="KFK5" s="59"/>
      <c r="KFL5" s="59"/>
      <c r="KFM5" s="59"/>
      <c r="KFN5" s="59"/>
      <c r="KFO5" s="59"/>
      <c r="KFP5" s="59"/>
      <c r="KFQ5" s="59"/>
      <c r="KFR5" s="59"/>
      <c r="KFS5" s="59"/>
      <c r="KFT5" s="59"/>
      <c r="KFU5" s="59"/>
      <c r="KFV5" s="59"/>
      <c r="KFW5" s="59"/>
      <c r="KFX5" s="59"/>
      <c r="KFY5" s="59"/>
      <c r="KFZ5" s="59"/>
      <c r="KGA5" s="59"/>
      <c r="KGB5" s="59"/>
      <c r="KGC5" s="59"/>
      <c r="KGD5" s="59"/>
      <c r="KGE5" s="59"/>
      <c r="KGF5" s="59"/>
      <c r="KGG5" s="59"/>
      <c r="KGH5" s="59"/>
      <c r="KGI5" s="59"/>
      <c r="KGJ5" s="59"/>
      <c r="KGK5" s="59"/>
      <c r="KGL5" s="59"/>
      <c r="KGM5" s="59"/>
      <c r="KGN5" s="59"/>
      <c r="KGO5" s="59"/>
      <c r="KGP5" s="59"/>
      <c r="KGQ5" s="59"/>
      <c r="KGR5" s="59"/>
      <c r="KGS5" s="59"/>
      <c r="KGT5" s="59"/>
      <c r="KGU5" s="59"/>
      <c r="KGV5" s="59"/>
      <c r="KGW5" s="59"/>
      <c r="KGX5" s="59"/>
      <c r="KGY5" s="59"/>
      <c r="KGZ5" s="59"/>
      <c r="KHA5" s="59"/>
      <c r="KHB5" s="59"/>
      <c r="KHC5" s="59"/>
      <c r="KHD5" s="59"/>
      <c r="KHE5" s="59"/>
      <c r="KHF5" s="59"/>
      <c r="KHG5" s="59"/>
      <c r="KHH5" s="59"/>
      <c r="KHI5" s="59"/>
      <c r="KHJ5" s="59"/>
      <c r="KHK5" s="59"/>
      <c r="KHL5" s="59"/>
      <c r="KHM5" s="59"/>
      <c r="KHN5" s="59"/>
      <c r="KHO5" s="59"/>
      <c r="KHP5" s="59"/>
      <c r="KHQ5" s="59"/>
      <c r="KHR5" s="59"/>
      <c r="KHS5" s="59"/>
      <c r="KHT5" s="59"/>
      <c r="KHU5" s="59"/>
      <c r="KHV5" s="59"/>
      <c r="KHW5" s="59"/>
      <c r="KHX5" s="59"/>
      <c r="KHY5" s="59"/>
      <c r="KHZ5" s="59"/>
      <c r="KIA5" s="59"/>
      <c r="KIB5" s="59"/>
      <c r="KIC5" s="59"/>
      <c r="KID5" s="59"/>
      <c r="KIE5" s="59"/>
      <c r="KIF5" s="59"/>
      <c r="KIG5" s="59"/>
      <c r="KIH5" s="59"/>
      <c r="KII5" s="59"/>
      <c r="KIJ5" s="59"/>
      <c r="KIK5" s="59"/>
      <c r="KIL5" s="59"/>
      <c r="KIM5" s="59"/>
      <c r="KIN5" s="59"/>
      <c r="KIO5" s="59"/>
      <c r="KIP5" s="59"/>
      <c r="KIQ5" s="59"/>
      <c r="KIR5" s="59"/>
      <c r="KIS5" s="59"/>
      <c r="KIT5" s="59"/>
      <c r="KIU5" s="59"/>
      <c r="KIV5" s="59"/>
      <c r="KIW5" s="59"/>
      <c r="KIX5" s="59"/>
      <c r="KIY5" s="59"/>
      <c r="KIZ5" s="59"/>
      <c r="KJA5" s="59"/>
      <c r="KJB5" s="59"/>
      <c r="KJC5" s="59"/>
      <c r="KJD5" s="59"/>
      <c r="KJE5" s="59"/>
      <c r="KJF5" s="59"/>
      <c r="KJG5" s="59"/>
      <c r="KJH5" s="59"/>
      <c r="KJI5" s="59"/>
      <c r="KJJ5" s="59"/>
      <c r="KJK5" s="59"/>
      <c r="KJL5" s="59"/>
      <c r="KJM5" s="59"/>
      <c r="KJN5" s="59"/>
      <c r="KJO5" s="59"/>
      <c r="KJP5" s="59"/>
      <c r="KJQ5" s="59"/>
      <c r="KJR5" s="59"/>
      <c r="KJS5" s="59"/>
      <c r="KJT5" s="59"/>
      <c r="KJU5" s="59"/>
      <c r="KJV5" s="59"/>
      <c r="KJW5" s="59"/>
      <c r="KJX5" s="59"/>
      <c r="KJY5" s="59"/>
      <c r="KJZ5" s="59"/>
      <c r="KKA5" s="59"/>
      <c r="KKB5" s="59"/>
      <c r="KKC5" s="59"/>
      <c r="KKD5" s="59"/>
      <c r="KKE5" s="59"/>
      <c r="KKF5" s="59"/>
      <c r="KKG5" s="59"/>
      <c r="KKH5" s="59"/>
      <c r="KKI5" s="59"/>
      <c r="KKJ5" s="59"/>
      <c r="KKK5" s="59"/>
      <c r="KKL5" s="59"/>
      <c r="KKM5" s="59"/>
      <c r="KKN5" s="59"/>
      <c r="KKO5" s="59"/>
      <c r="KKP5" s="59"/>
      <c r="KKQ5" s="59"/>
      <c r="KKR5" s="59"/>
      <c r="KKS5" s="59"/>
      <c r="KKT5" s="59"/>
      <c r="KKU5" s="59"/>
      <c r="KKV5" s="59"/>
      <c r="KKW5" s="59"/>
      <c r="KKX5" s="59"/>
      <c r="KKY5" s="59"/>
      <c r="KKZ5" s="59"/>
      <c r="KLA5" s="59"/>
      <c r="KLB5" s="59"/>
      <c r="KLC5" s="59"/>
      <c r="KLD5" s="59"/>
      <c r="KLE5" s="59"/>
      <c r="KLF5" s="59"/>
      <c r="KLG5" s="59"/>
      <c r="KLH5" s="59"/>
      <c r="KLI5" s="59"/>
      <c r="KLJ5" s="59"/>
      <c r="KLK5" s="59"/>
      <c r="KLL5" s="59"/>
      <c r="KLM5" s="59"/>
      <c r="KLN5" s="59"/>
      <c r="KLO5" s="59"/>
      <c r="KLP5" s="59"/>
      <c r="KLQ5" s="59"/>
      <c r="KLR5" s="59"/>
      <c r="KLS5" s="59"/>
      <c r="KLT5" s="59"/>
      <c r="KLU5" s="59"/>
      <c r="KLV5" s="59"/>
      <c r="KLW5" s="59"/>
      <c r="KLX5" s="59"/>
      <c r="KLY5" s="59"/>
      <c r="KLZ5" s="59"/>
      <c r="KMA5" s="59"/>
      <c r="KMB5" s="59"/>
      <c r="KMC5" s="59"/>
      <c r="KMD5" s="59"/>
      <c r="KME5" s="59"/>
      <c r="KMF5" s="59"/>
      <c r="KMG5" s="59"/>
      <c r="KMH5" s="59"/>
      <c r="KMI5" s="59"/>
      <c r="KMJ5" s="59"/>
      <c r="KMK5" s="59"/>
      <c r="KML5" s="59"/>
      <c r="KMM5" s="59"/>
      <c r="KMN5" s="59"/>
      <c r="KMO5" s="59"/>
      <c r="KMP5" s="59"/>
      <c r="KMQ5" s="59"/>
      <c r="KMR5" s="59"/>
      <c r="KMS5" s="59"/>
      <c r="KMT5" s="59"/>
      <c r="KMU5" s="59"/>
      <c r="KMV5" s="59"/>
      <c r="KMW5" s="59"/>
      <c r="KMX5" s="59"/>
      <c r="KMY5" s="59"/>
      <c r="KMZ5" s="59"/>
      <c r="KNA5" s="59"/>
      <c r="KNB5" s="59"/>
      <c r="KNC5" s="59"/>
      <c r="KND5" s="59"/>
      <c r="KNE5" s="59"/>
      <c r="KNF5" s="59"/>
      <c r="KNG5" s="59"/>
      <c r="KNH5" s="59"/>
      <c r="KNI5" s="59"/>
      <c r="KNJ5" s="59"/>
      <c r="KNK5" s="59"/>
      <c r="KNL5" s="59"/>
      <c r="KNM5" s="59"/>
      <c r="KNN5" s="59"/>
      <c r="KNO5" s="59"/>
      <c r="KNP5" s="59"/>
      <c r="KNQ5" s="59"/>
      <c r="KNR5" s="59"/>
      <c r="KNS5" s="59"/>
      <c r="KNT5" s="59"/>
      <c r="KNU5" s="59"/>
      <c r="KNV5" s="59"/>
      <c r="KNW5" s="59"/>
      <c r="KNX5" s="59"/>
      <c r="KNY5" s="59"/>
      <c r="KNZ5" s="59"/>
      <c r="KOA5" s="59"/>
      <c r="KOB5" s="59"/>
      <c r="KOC5" s="59"/>
      <c r="KOD5" s="59"/>
      <c r="KOE5" s="59"/>
      <c r="KOF5" s="59"/>
      <c r="KOG5" s="59"/>
      <c r="KOH5" s="59"/>
      <c r="KOI5" s="59"/>
      <c r="KOJ5" s="59"/>
      <c r="KOK5" s="59"/>
      <c r="KOL5" s="59"/>
      <c r="KOM5" s="59"/>
      <c r="KON5" s="59"/>
      <c r="KOO5" s="59"/>
      <c r="KOP5" s="59"/>
      <c r="KOQ5" s="59"/>
      <c r="KOR5" s="59"/>
      <c r="KOS5" s="59"/>
      <c r="KOT5" s="59"/>
      <c r="KOU5" s="59"/>
      <c r="KOV5" s="59"/>
      <c r="KOW5" s="59"/>
      <c r="KOX5" s="59"/>
      <c r="KOY5" s="59"/>
      <c r="KOZ5" s="59"/>
      <c r="KPA5" s="59"/>
      <c r="KPB5" s="59"/>
      <c r="KPC5" s="59"/>
      <c r="KPD5" s="59"/>
      <c r="KPE5" s="59"/>
      <c r="KPF5" s="59"/>
      <c r="KPG5" s="59"/>
      <c r="KPH5" s="59"/>
      <c r="KPI5" s="59"/>
      <c r="KPJ5" s="59"/>
      <c r="KPK5" s="59"/>
      <c r="KPL5" s="59"/>
      <c r="KPM5" s="59"/>
      <c r="KPN5" s="59"/>
      <c r="KPO5" s="59"/>
      <c r="KPP5" s="59"/>
      <c r="KPQ5" s="59"/>
      <c r="KPR5" s="59"/>
      <c r="KPS5" s="59"/>
      <c r="KPT5" s="59"/>
      <c r="KPU5" s="59"/>
      <c r="KPV5" s="59"/>
      <c r="KPW5" s="59"/>
      <c r="KPX5" s="59"/>
      <c r="KPY5" s="59"/>
      <c r="KPZ5" s="59"/>
      <c r="KQA5" s="59"/>
      <c r="KQB5" s="59"/>
      <c r="KQC5" s="59"/>
      <c r="KQD5" s="59"/>
      <c r="KQE5" s="59"/>
      <c r="KQF5" s="59"/>
      <c r="KQG5" s="59"/>
      <c r="KQH5" s="59"/>
      <c r="KQI5" s="59"/>
      <c r="KQJ5" s="59"/>
      <c r="KQK5" s="59"/>
      <c r="KQL5" s="59"/>
      <c r="KQM5" s="59"/>
      <c r="KQN5" s="59"/>
      <c r="KQO5" s="59"/>
      <c r="KQP5" s="59"/>
      <c r="KQQ5" s="59"/>
      <c r="KQR5" s="59"/>
      <c r="KQS5" s="59"/>
      <c r="KQT5" s="59"/>
      <c r="KQU5" s="59"/>
      <c r="KQV5" s="59"/>
      <c r="KQW5" s="59"/>
      <c r="KQX5" s="59"/>
      <c r="KQY5" s="59"/>
      <c r="KQZ5" s="59"/>
      <c r="KRA5" s="59"/>
      <c r="KRB5" s="59"/>
      <c r="KRC5" s="59"/>
      <c r="KRD5" s="59"/>
      <c r="KRE5" s="59"/>
      <c r="KRF5" s="59"/>
      <c r="KRG5" s="59"/>
      <c r="KRH5" s="59"/>
      <c r="KRI5" s="59"/>
      <c r="KRJ5" s="59"/>
      <c r="KRK5" s="59"/>
      <c r="KRL5" s="59"/>
      <c r="KRM5" s="59"/>
      <c r="KRN5" s="59"/>
      <c r="KRO5" s="59"/>
      <c r="KRP5" s="59"/>
      <c r="KRQ5" s="59"/>
      <c r="KRR5" s="59"/>
      <c r="KRS5" s="59"/>
      <c r="KRT5" s="59"/>
      <c r="KRU5" s="59"/>
      <c r="KRV5" s="59"/>
      <c r="KRW5" s="59"/>
      <c r="KRX5" s="59"/>
      <c r="KRY5" s="59"/>
      <c r="KRZ5" s="59"/>
      <c r="KSA5" s="59"/>
      <c r="KSB5" s="59"/>
      <c r="KSC5" s="59"/>
      <c r="KSD5" s="59"/>
      <c r="KSE5" s="59"/>
      <c r="KSF5" s="59"/>
      <c r="KSG5" s="59"/>
      <c r="KSH5" s="59"/>
      <c r="KSI5" s="59"/>
      <c r="KSJ5" s="59"/>
      <c r="KSK5" s="59"/>
      <c r="KSL5" s="59"/>
      <c r="KSM5" s="59"/>
      <c r="KSN5" s="59"/>
      <c r="KSO5" s="59"/>
      <c r="KSP5" s="59"/>
      <c r="KSQ5" s="59"/>
      <c r="KSR5" s="59"/>
      <c r="KSS5" s="59"/>
      <c r="KST5" s="59"/>
      <c r="KSU5" s="59"/>
      <c r="KSV5" s="59"/>
      <c r="KSW5" s="59"/>
      <c r="KSX5" s="59"/>
      <c r="KSY5" s="59"/>
      <c r="KSZ5" s="59"/>
      <c r="KTA5" s="59"/>
      <c r="KTB5" s="59"/>
      <c r="KTC5" s="59"/>
      <c r="KTD5" s="59"/>
      <c r="KTE5" s="59"/>
      <c r="KTF5" s="59"/>
      <c r="KTG5" s="59"/>
      <c r="KTH5" s="59"/>
      <c r="KTI5" s="59"/>
      <c r="KTJ5" s="59"/>
      <c r="KTK5" s="59"/>
      <c r="KTL5" s="59"/>
      <c r="KTM5" s="59"/>
      <c r="KTN5" s="59"/>
      <c r="KTO5" s="59"/>
      <c r="KTP5" s="59"/>
      <c r="KTQ5" s="59"/>
      <c r="KTR5" s="59"/>
      <c r="KTS5" s="59"/>
      <c r="KTT5" s="59"/>
      <c r="KTU5" s="59"/>
      <c r="KTV5" s="59"/>
      <c r="KTW5" s="59"/>
      <c r="KTX5" s="59"/>
      <c r="KTY5" s="59"/>
      <c r="KTZ5" s="59"/>
      <c r="KUA5" s="59"/>
      <c r="KUB5" s="59"/>
      <c r="KUC5" s="59"/>
      <c r="KUD5" s="59"/>
      <c r="KUE5" s="59"/>
      <c r="KUF5" s="59"/>
      <c r="KUG5" s="59"/>
      <c r="KUH5" s="59"/>
      <c r="KUI5" s="59"/>
      <c r="KUJ5" s="59"/>
      <c r="KUK5" s="59"/>
      <c r="KUL5" s="59"/>
      <c r="KUM5" s="59"/>
      <c r="KUN5" s="59"/>
      <c r="KUO5" s="59"/>
      <c r="KUP5" s="59"/>
      <c r="KUQ5" s="59"/>
      <c r="KUR5" s="59"/>
      <c r="KUS5" s="59"/>
      <c r="KUT5" s="59"/>
      <c r="KUU5" s="59"/>
      <c r="KUV5" s="59"/>
      <c r="KUW5" s="59"/>
      <c r="KUX5" s="59"/>
      <c r="KUY5" s="59"/>
      <c r="KUZ5" s="59"/>
      <c r="KVA5" s="59"/>
      <c r="KVB5" s="59"/>
      <c r="KVC5" s="59"/>
      <c r="KVD5" s="59"/>
      <c r="KVE5" s="59"/>
      <c r="KVF5" s="59"/>
      <c r="KVG5" s="59"/>
      <c r="KVH5" s="59"/>
      <c r="KVI5" s="59"/>
      <c r="KVJ5" s="59"/>
      <c r="KVK5" s="59"/>
      <c r="KVL5" s="59"/>
      <c r="KVM5" s="59"/>
      <c r="KVN5" s="59"/>
      <c r="KVO5" s="59"/>
      <c r="KVP5" s="59"/>
      <c r="KVQ5" s="59"/>
      <c r="KVR5" s="59"/>
      <c r="KVS5" s="59"/>
      <c r="KVT5" s="59"/>
      <c r="KVU5" s="59"/>
      <c r="KVV5" s="59"/>
      <c r="KVW5" s="59"/>
      <c r="KVX5" s="59"/>
      <c r="KVY5" s="59"/>
      <c r="KVZ5" s="59"/>
      <c r="KWA5" s="59"/>
      <c r="KWB5" s="59"/>
      <c r="KWC5" s="59"/>
      <c r="KWD5" s="59"/>
      <c r="KWE5" s="59"/>
      <c r="KWF5" s="59"/>
      <c r="KWG5" s="59"/>
      <c r="KWH5" s="59"/>
      <c r="KWI5" s="59"/>
      <c r="KWJ5" s="59"/>
      <c r="KWK5" s="59"/>
      <c r="KWL5" s="59"/>
      <c r="KWM5" s="59"/>
      <c r="KWN5" s="59"/>
      <c r="KWO5" s="59"/>
      <c r="KWP5" s="59"/>
      <c r="KWQ5" s="59"/>
      <c r="KWR5" s="59"/>
      <c r="KWS5" s="59"/>
      <c r="KWT5" s="59"/>
      <c r="KWU5" s="59"/>
      <c r="KWV5" s="59"/>
      <c r="KWW5" s="59"/>
      <c r="KWX5" s="59"/>
      <c r="KWY5" s="59"/>
      <c r="KWZ5" s="59"/>
      <c r="KXA5" s="59"/>
      <c r="KXB5" s="59"/>
      <c r="KXC5" s="59"/>
      <c r="KXD5" s="59"/>
      <c r="KXE5" s="59"/>
      <c r="KXF5" s="59"/>
      <c r="KXG5" s="59"/>
      <c r="KXH5" s="59"/>
      <c r="KXI5" s="59"/>
      <c r="KXJ5" s="59"/>
      <c r="KXK5" s="59"/>
      <c r="KXL5" s="59"/>
      <c r="KXM5" s="59"/>
      <c r="KXN5" s="59"/>
      <c r="KXO5" s="59"/>
      <c r="KXP5" s="59"/>
      <c r="KXQ5" s="59"/>
      <c r="KXR5" s="59"/>
      <c r="KXS5" s="59"/>
      <c r="KXT5" s="59"/>
      <c r="KXU5" s="59"/>
      <c r="KXV5" s="59"/>
      <c r="KXW5" s="59"/>
      <c r="KXX5" s="59"/>
      <c r="KXY5" s="59"/>
      <c r="KXZ5" s="59"/>
      <c r="KYA5" s="59"/>
      <c r="KYB5" s="59"/>
      <c r="KYC5" s="59"/>
      <c r="KYD5" s="59"/>
      <c r="KYE5" s="59"/>
      <c r="KYF5" s="59"/>
      <c r="KYG5" s="59"/>
      <c r="KYH5" s="59"/>
      <c r="KYI5" s="59"/>
      <c r="KYJ5" s="59"/>
      <c r="KYK5" s="59"/>
      <c r="KYL5" s="59"/>
      <c r="KYM5" s="59"/>
      <c r="KYN5" s="59"/>
      <c r="KYO5" s="59"/>
      <c r="KYP5" s="59"/>
      <c r="KYQ5" s="59"/>
      <c r="KYR5" s="59"/>
      <c r="KYS5" s="59"/>
      <c r="KYT5" s="59"/>
      <c r="KYU5" s="59"/>
      <c r="KYV5" s="59"/>
      <c r="KYW5" s="59"/>
      <c r="KYX5" s="59"/>
      <c r="KYY5" s="59"/>
      <c r="KYZ5" s="59"/>
      <c r="KZA5" s="59"/>
      <c r="KZB5" s="59"/>
      <c r="KZC5" s="59"/>
      <c r="KZD5" s="59"/>
      <c r="KZE5" s="59"/>
      <c r="KZF5" s="59"/>
      <c r="KZG5" s="59"/>
      <c r="KZH5" s="59"/>
      <c r="KZI5" s="59"/>
      <c r="KZJ5" s="59"/>
      <c r="KZK5" s="59"/>
      <c r="KZL5" s="59"/>
      <c r="KZM5" s="59"/>
      <c r="KZN5" s="59"/>
      <c r="KZO5" s="59"/>
      <c r="KZP5" s="59"/>
      <c r="KZQ5" s="59"/>
      <c r="KZR5" s="59"/>
      <c r="KZS5" s="59"/>
      <c r="KZT5" s="59"/>
      <c r="KZU5" s="59"/>
      <c r="KZV5" s="59"/>
      <c r="KZW5" s="59"/>
      <c r="KZX5" s="59"/>
      <c r="KZY5" s="59"/>
      <c r="KZZ5" s="59"/>
      <c r="LAA5" s="59"/>
      <c r="LAB5" s="59"/>
      <c r="LAC5" s="59"/>
      <c r="LAD5" s="59"/>
      <c r="LAE5" s="59"/>
      <c r="LAF5" s="59"/>
      <c r="LAG5" s="59"/>
      <c r="LAH5" s="59"/>
      <c r="LAI5" s="59"/>
      <c r="LAJ5" s="59"/>
      <c r="LAK5" s="59"/>
      <c r="LAL5" s="59"/>
      <c r="LAM5" s="59"/>
      <c r="LAN5" s="59"/>
      <c r="LAO5" s="59"/>
      <c r="LAP5" s="59"/>
      <c r="LAQ5" s="59"/>
      <c r="LAR5" s="59"/>
      <c r="LAS5" s="59"/>
      <c r="LAT5" s="59"/>
      <c r="LAU5" s="59"/>
      <c r="LAV5" s="59"/>
      <c r="LAW5" s="59"/>
      <c r="LAX5" s="59"/>
      <c r="LAY5" s="59"/>
      <c r="LAZ5" s="59"/>
      <c r="LBA5" s="59"/>
      <c r="LBB5" s="59"/>
      <c r="LBC5" s="59"/>
      <c r="LBD5" s="59"/>
      <c r="LBE5" s="59"/>
      <c r="LBF5" s="59"/>
      <c r="LBG5" s="59"/>
      <c r="LBH5" s="59"/>
      <c r="LBI5" s="59"/>
      <c r="LBJ5" s="59"/>
      <c r="LBK5" s="59"/>
      <c r="LBL5" s="59"/>
      <c r="LBM5" s="59"/>
      <c r="LBN5" s="59"/>
      <c r="LBO5" s="59"/>
      <c r="LBP5" s="59"/>
      <c r="LBQ5" s="59"/>
      <c r="LBR5" s="59"/>
      <c r="LBS5" s="59"/>
      <c r="LBT5" s="59"/>
      <c r="LBU5" s="59"/>
      <c r="LBV5" s="59"/>
      <c r="LBW5" s="59"/>
      <c r="LBX5" s="59"/>
      <c r="LBY5" s="59"/>
      <c r="LBZ5" s="59"/>
      <c r="LCA5" s="59"/>
      <c r="LCB5" s="59"/>
      <c r="LCC5" s="59"/>
      <c r="LCD5" s="59"/>
      <c r="LCE5" s="59"/>
      <c r="LCF5" s="59"/>
      <c r="LCG5" s="59"/>
      <c r="LCH5" s="59"/>
      <c r="LCI5" s="59"/>
      <c r="LCJ5" s="59"/>
      <c r="LCK5" s="59"/>
      <c r="LCL5" s="59"/>
      <c r="LCM5" s="59"/>
      <c r="LCN5" s="59"/>
      <c r="LCO5" s="59"/>
      <c r="LCP5" s="59"/>
      <c r="LCQ5" s="59"/>
      <c r="LCR5" s="59"/>
      <c r="LCS5" s="59"/>
      <c r="LCT5" s="59"/>
      <c r="LCU5" s="59"/>
      <c r="LCV5" s="59"/>
      <c r="LCW5" s="59"/>
      <c r="LCX5" s="59"/>
      <c r="LCY5" s="59"/>
      <c r="LCZ5" s="59"/>
      <c r="LDA5" s="59"/>
      <c r="LDB5" s="59"/>
      <c r="LDC5" s="59"/>
      <c r="LDD5" s="59"/>
      <c r="LDE5" s="59"/>
      <c r="LDF5" s="59"/>
      <c r="LDG5" s="59"/>
      <c r="LDH5" s="59"/>
      <c r="LDI5" s="59"/>
      <c r="LDJ5" s="59"/>
      <c r="LDK5" s="59"/>
      <c r="LDL5" s="59"/>
      <c r="LDM5" s="59"/>
      <c r="LDN5" s="59"/>
      <c r="LDO5" s="59"/>
      <c r="LDP5" s="59"/>
      <c r="LDQ5" s="59"/>
      <c r="LDR5" s="59"/>
      <c r="LDS5" s="59"/>
      <c r="LDT5" s="59"/>
      <c r="LDU5" s="59"/>
      <c r="LDV5" s="59"/>
      <c r="LDW5" s="59"/>
      <c r="LDX5" s="59"/>
      <c r="LDY5" s="59"/>
      <c r="LDZ5" s="59"/>
      <c r="LEA5" s="59"/>
      <c r="LEB5" s="59"/>
      <c r="LEC5" s="59"/>
      <c r="LED5" s="59"/>
      <c r="LEE5" s="59"/>
      <c r="LEF5" s="59"/>
      <c r="LEG5" s="59"/>
      <c r="LEH5" s="59"/>
      <c r="LEI5" s="59"/>
      <c r="LEJ5" s="59"/>
      <c r="LEK5" s="59"/>
      <c r="LEL5" s="59"/>
      <c r="LEM5" s="59"/>
      <c r="LEN5" s="59"/>
      <c r="LEO5" s="59"/>
      <c r="LEP5" s="59"/>
      <c r="LEQ5" s="59"/>
      <c r="LER5" s="59"/>
      <c r="LES5" s="59"/>
      <c r="LET5" s="59"/>
      <c r="LEU5" s="59"/>
      <c r="LEV5" s="59"/>
      <c r="LEW5" s="59"/>
      <c r="LEX5" s="59"/>
      <c r="LEY5" s="59"/>
      <c r="LEZ5" s="59"/>
      <c r="LFA5" s="59"/>
      <c r="LFB5" s="59"/>
      <c r="LFC5" s="59"/>
      <c r="LFD5" s="59"/>
      <c r="LFE5" s="59"/>
      <c r="LFF5" s="59"/>
      <c r="LFG5" s="59"/>
      <c r="LFH5" s="59"/>
      <c r="LFI5" s="59"/>
      <c r="LFJ5" s="59"/>
      <c r="LFK5" s="59"/>
      <c r="LFL5" s="59"/>
      <c r="LFM5" s="59"/>
      <c r="LFN5" s="59"/>
      <c r="LFO5" s="59"/>
      <c r="LFP5" s="59"/>
      <c r="LFQ5" s="59"/>
      <c r="LFR5" s="59"/>
      <c r="LFS5" s="59"/>
      <c r="LFT5" s="59"/>
      <c r="LFU5" s="59"/>
      <c r="LFV5" s="59"/>
      <c r="LFW5" s="59"/>
      <c r="LFX5" s="59"/>
      <c r="LFY5" s="59"/>
      <c r="LFZ5" s="59"/>
      <c r="LGA5" s="59"/>
      <c r="LGB5" s="59"/>
      <c r="LGC5" s="59"/>
      <c r="LGD5" s="59"/>
      <c r="LGE5" s="59"/>
      <c r="LGF5" s="59"/>
      <c r="LGG5" s="59"/>
      <c r="LGH5" s="59"/>
      <c r="LGI5" s="59"/>
      <c r="LGJ5" s="59"/>
      <c r="LGK5" s="59"/>
      <c r="LGL5" s="59"/>
      <c r="LGM5" s="59"/>
      <c r="LGN5" s="59"/>
      <c r="LGO5" s="59"/>
      <c r="LGP5" s="59"/>
      <c r="LGQ5" s="59"/>
      <c r="LGR5" s="59"/>
      <c r="LGS5" s="59"/>
      <c r="LGT5" s="59"/>
      <c r="LGU5" s="59"/>
      <c r="LGV5" s="59"/>
      <c r="LGW5" s="59"/>
      <c r="LGX5" s="59"/>
      <c r="LGY5" s="59"/>
      <c r="LGZ5" s="59"/>
      <c r="LHA5" s="59"/>
      <c r="LHB5" s="59"/>
      <c r="LHC5" s="59"/>
      <c r="LHD5" s="59"/>
      <c r="LHE5" s="59"/>
      <c r="LHF5" s="59"/>
      <c r="LHG5" s="59"/>
      <c r="LHH5" s="59"/>
      <c r="LHI5" s="59"/>
      <c r="LHJ5" s="59"/>
      <c r="LHK5" s="59"/>
      <c r="LHL5" s="59"/>
      <c r="LHM5" s="59"/>
      <c r="LHN5" s="59"/>
      <c r="LHO5" s="59"/>
      <c r="LHP5" s="59"/>
      <c r="LHQ5" s="59"/>
      <c r="LHR5" s="59"/>
      <c r="LHS5" s="59"/>
      <c r="LHT5" s="59"/>
      <c r="LHU5" s="59"/>
      <c r="LHV5" s="59"/>
      <c r="LHW5" s="59"/>
      <c r="LHX5" s="59"/>
      <c r="LHY5" s="59"/>
      <c r="LHZ5" s="59"/>
      <c r="LIA5" s="59"/>
      <c r="LIB5" s="59"/>
      <c r="LIC5" s="59"/>
      <c r="LID5" s="59"/>
      <c r="LIE5" s="59"/>
      <c r="LIF5" s="59"/>
      <c r="LIG5" s="59"/>
      <c r="LIH5" s="59"/>
      <c r="LII5" s="59"/>
      <c r="LIJ5" s="59"/>
      <c r="LIK5" s="59"/>
      <c r="LIL5" s="59"/>
      <c r="LIM5" s="59"/>
      <c r="LIN5" s="59"/>
      <c r="LIO5" s="59"/>
      <c r="LIP5" s="59"/>
      <c r="LIQ5" s="59"/>
      <c r="LIR5" s="59"/>
      <c r="LIS5" s="59"/>
      <c r="LIT5" s="59"/>
      <c r="LIU5" s="59"/>
      <c r="LIV5" s="59"/>
      <c r="LIW5" s="59"/>
      <c r="LIX5" s="59"/>
      <c r="LIY5" s="59"/>
      <c r="LIZ5" s="59"/>
      <c r="LJA5" s="59"/>
      <c r="LJB5" s="59"/>
      <c r="LJC5" s="59"/>
      <c r="LJD5" s="59"/>
      <c r="LJE5" s="59"/>
      <c r="LJF5" s="59"/>
      <c r="LJG5" s="59"/>
      <c r="LJH5" s="59"/>
      <c r="LJI5" s="59"/>
      <c r="LJJ5" s="59"/>
      <c r="LJK5" s="59"/>
      <c r="LJL5" s="59"/>
      <c r="LJM5" s="59"/>
      <c r="LJN5" s="59"/>
      <c r="LJO5" s="59"/>
      <c r="LJP5" s="59"/>
      <c r="LJQ5" s="59"/>
      <c r="LJR5" s="59"/>
      <c r="LJS5" s="59"/>
      <c r="LJT5" s="59"/>
      <c r="LJU5" s="59"/>
      <c r="LJV5" s="59"/>
      <c r="LJW5" s="59"/>
      <c r="LJX5" s="59"/>
      <c r="LJY5" s="59"/>
      <c r="LJZ5" s="59"/>
      <c r="LKA5" s="59"/>
      <c r="LKB5" s="59"/>
      <c r="LKC5" s="59"/>
      <c r="LKD5" s="59"/>
      <c r="LKE5" s="59"/>
      <c r="LKF5" s="59"/>
      <c r="LKG5" s="59"/>
      <c r="LKH5" s="59"/>
      <c r="LKI5" s="59"/>
      <c r="LKJ5" s="59"/>
      <c r="LKK5" s="59"/>
      <c r="LKL5" s="59"/>
      <c r="LKM5" s="59"/>
      <c r="LKN5" s="59"/>
      <c r="LKO5" s="59"/>
      <c r="LKP5" s="59"/>
      <c r="LKQ5" s="59"/>
      <c r="LKR5" s="59"/>
      <c r="LKS5" s="59"/>
      <c r="LKT5" s="59"/>
      <c r="LKU5" s="59"/>
      <c r="LKV5" s="59"/>
      <c r="LKW5" s="59"/>
      <c r="LKX5" s="59"/>
      <c r="LKY5" s="59"/>
      <c r="LKZ5" s="59"/>
      <c r="LLA5" s="59"/>
      <c r="LLB5" s="59"/>
      <c r="LLC5" s="59"/>
      <c r="LLD5" s="59"/>
      <c r="LLE5" s="59"/>
      <c r="LLF5" s="59"/>
      <c r="LLG5" s="59"/>
      <c r="LLH5" s="59"/>
      <c r="LLI5" s="59"/>
      <c r="LLJ5" s="59"/>
      <c r="LLK5" s="59"/>
      <c r="LLL5" s="59"/>
      <c r="LLM5" s="59"/>
      <c r="LLN5" s="59"/>
      <c r="LLO5" s="59"/>
      <c r="LLP5" s="59"/>
      <c r="LLQ5" s="59"/>
      <c r="LLR5" s="59"/>
      <c r="LLS5" s="59"/>
      <c r="LLT5" s="59"/>
      <c r="LLU5" s="59"/>
      <c r="LLV5" s="59"/>
      <c r="LLW5" s="59"/>
      <c r="LLX5" s="59"/>
      <c r="LLY5" s="59"/>
      <c r="LLZ5" s="59"/>
      <c r="LMA5" s="59"/>
      <c r="LMB5" s="59"/>
      <c r="LMC5" s="59"/>
      <c r="LMD5" s="59"/>
      <c r="LME5" s="59"/>
      <c r="LMF5" s="59"/>
      <c r="LMG5" s="59"/>
      <c r="LMH5" s="59"/>
      <c r="LMI5" s="59"/>
      <c r="LMJ5" s="59"/>
      <c r="LMK5" s="59"/>
      <c r="LML5" s="59"/>
      <c r="LMM5" s="59"/>
      <c r="LMN5" s="59"/>
      <c r="LMO5" s="59"/>
      <c r="LMP5" s="59"/>
      <c r="LMQ5" s="59"/>
      <c r="LMR5" s="59"/>
      <c r="LMS5" s="59"/>
      <c r="LMT5" s="59"/>
      <c r="LMU5" s="59"/>
      <c r="LMV5" s="59"/>
      <c r="LMW5" s="59"/>
      <c r="LMX5" s="59"/>
      <c r="LMY5" s="59"/>
      <c r="LMZ5" s="59"/>
      <c r="LNA5" s="59"/>
      <c r="LNB5" s="59"/>
      <c r="LNC5" s="59"/>
      <c r="LND5" s="59"/>
      <c r="LNE5" s="59"/>
      <c r="LNF5" s="59"/>
      <c r="LNG5" s="59"/>
      <c r="LNH5" s="59"/>
      <c r="LNI5" s="59"/>
      <c r="LNJ5" s="59"/>
      <c r="LNK5" s="59"/>
      <c r="LNL5" s="59"/>
      <c r="LNM5" s="59"/>
      <c r="LNN5" s="59"/>
      <c r="LNO5" s="59"/>
      <c r="LNP5" s="59"/>
      <c r="LNQ5" s="59"/>
      <c r="LNR5" s="59"/>
      <c r="LNS5" s="59"/>
      <c r="LNT5" s="59"/>
      <c r="LNU5" s="59"/>
      <c r="LNV5" s="59"/>
      <c r="LNW5" s="59"/>
      <c r="LNX5" s="59"/>
      <c r="LNY5" s="59"/>
      <c r="LNZ5" s="59"/>
      <c r="LOA5" s="59"/>
      <c r="LOB5" s="59"/>
      <c r="LOC5" s="59"/>
      <c r="LOD5" s="59"/>
      <c r="LOE5" s="59"/>
      <c r="LOF5" s="59"/>
      <c r="LOG5" s="59"/>
      <c r="LOH5" s="59"/>
      <c r="LOI5" s="59"/>
      <c r="LOJ5" s="59"/>
      <c r="LOK5" s="59"/>
      <c r="LOL5" s="59"/>
      <c r="LOM5" s="59"/>
      <c r="LON5" s="59"/>
      <c r="LOO5" s="59"/>
      <c r="LOP5" s="59"/>
      <c r="LOQ5" s="59"/>
      <c r="LOR5" s="59"/>
      <c r="LOS5" s="59"/>
      <c r="LOT5" s="59"/>
      <c r="LOU5" s="59"/>
      <c r="LOV5" s="59"/>
      <c r="LOW5" s="59"/>
      <c r="LOX5" s="59"/>
      <c r="LOY5" s="59"/>
      <c r="LOZ5" s="59"/>
      <c r="LPA5" s="59"/>
      <c r="LPB5" s="59"/>
      <c r="LPC5" s="59"/>
      <c r="LPD5" s="59"/>
      <c r="LPE5" s="59"/>
      <c r="LPF5" s="59"/>
      <c r="LPG5" s="59"/>
      <c r="LPH5" s="59"/>
      <c r="LPI5" s="59"/>
      <c r="LPJ5" s="59"/>
      <c r="LPK5" s="59"/>
      <c r="LPL5" s="59"/>
      <c r="LPM5" s="59"/>
      <c r="LPN5" s="59"/>
      <c r="LPO5" s="59"/>
      <c r="LPP5" s="59"/>
      <c r="LPQ5" s="59"/>
      <c r="LPR5" s="59"/>
      <c r="LPS5" s="59"/>
      <c r="LPT5" s="59"/>
      <c r="LPU5" s="59"/>
      <c r="LPV5" s="59"/>
      <c r="LPW5" s="59"/>
      <c r="LPX5" s="59"/>
      <c r="LPY5" s="59"/>
      <c r="LPZ5" s="59"/>
      <c r="LQA5" s="59"/>
      <c r="LQB5" s="59"/>
      <c r="LQC5" s="59"/>
      <c r="LQD5" s="59"/>
      <c r="LQE5" s="59"/>
      <c r="LQF5" s="59"/>
      <c r="LQG5" s="59"/>
      <c r="LQH5" s="59"/>
      <c r="LQI5" s="59"/>
      <c r="LQJ5" s="59"/>
      <c r="LQK5" s="59"/>
      <c r="LQL5" s="59"/>
      <c r="LQM5" s="59"/>
      <c r="LQN5" s="59"/>
      <c r="LQO5" s="59"/>
      <c r="LQP5" s="59"/>
      <c r="LQQ5" s="59"/>
      <c r="LQR5" s="59"/>
      <c r="LQS5" s="59"/>
      <c r="LQT5" s="59"/>
      <c r="LQU5" s="59"/>
      <c r="LQV5" s="59"/>
      <c r="LQW5" s="59"/>
      <c r="LQX5" s="59"/>
      <c r="LQY5" s="59"/>
      <c r="LQZ5" s="59"/>
      <c r="LRA5" s="59"/>
      <c r="LRB5" s="59"/>
      <c r="LRC5" s="59"/>
      <c r="LRD5" s="59"/>
      <c r="LRE5" s="59"/>
      <c r="LRF5" s="59"/>
      <c r="LRG5" s="59"/>
      <c r="LRH5" s="59"/>
      <c r="LRI5" s="59"/>
      <c r="LRJ5" s="59"/>
      <c r="LRK5" s="59"/>
      <c r="LRL5" s="59"/>
      <c r="LRM5" s="59"/>
      <c r="LRN5" s="59"/>
      <c r="LRO5" s="59"/>
      <c r="LRP5" s="59"/>
      <c r="LRQ5" s="59"/>
      <c r="LRR5" s="59"/>
      <c r="LRS5" s="59"/>
      <c r="LRT5" s="59"/>
      <c r="LRU5" s="59"/>
      <c r="LRV5" s="59"/>
      <c r="LRW5" s="59"/>
      <c r="LRX5" s="59"/>
      <c r="LRY5" s="59"/>
      <c r="LRZ5" s="59"/>
      <c r="LSA5" s="59"/>
      <c r="LSB5" s="59"/>
      <c r="LSC5" s="59"/>
      <c r="LSD5" s="59"/>
      <c r="LSE5" s="59"/>
      <c r="LSF5" s="59"/>
      <c r="LSG5" s="59"/>
      <c r="LSH5" s="59"/>
      <c r="LSI5" s="59"/>
      <c r="LSJ5" s="59"/>
      <c r="LSK5" s="59"/>
      <c r="LSL5" s="59"/>
      <c r="LSM5" s="59"/>
      <c r="LSN5" s="59"/>
      <c r="LSO5" s="59"/>
      <c r="LSP5" s="59"/>
      <c r="LSQ5" s="59"/>
      <c r="LSR5" s="59"/>
      <c r="LSS5" s="59"/>
      <c r="LST5" s="59"/>
      <c r="LSU5" s="59"/>
      <c r="LSV5" s="59"/>
      <c r="LSW5" s="59"/>
      <c r="LSX5" s="59"/>
      <c r="LSY5" s="59"/>
      <c r="LSZ5" s="59"/>
      <c r="LTA5" s="59"/>
      <c r="LTB5" s="59"/>
      <c r="LTC5" s="59"/>
      <c r="LTD5" s="59"/>
      <c r="LTE5" s="59"/>
      <c r="LTF5" s="59"/>
      <c r="LTG5" s="59"/>
      <c r="LTH5" s="59"/>
      <c r="LTI5" s="59"/>
      <c r="LTJ5" s="59"/>
      <c r="LTK5" s="59"/>
      <c r="LTL5" s="59"/>
      <c r="LTM5" s="59"/>
      <c r="LTN5" s="59"/>
      <c r="LTO5" s="59"/>
      <c r="LTP5" s="59"/>
      <c r="LTQ5" s="59"/>
      <c r="LTR5" s="59"/>
      <c r="LTS5" s="59"/>
      <c r="LTT5" s="59"/>
      <c r="LTU5" s="59"/>
      <c r="LTV5" s="59"/>
      <c r="LTW5" s="59"/>
      <c r="LTX5" s="59"/>
      <c r="LTY5" s="59"/>
      <c r="LTZ5" s="59"/>
      <c r="LUA5" s="59"/>
      <c r="LUB5" s="59"/>
      <c r="LUC5" s="59"/>
      <c r="LUD5" s="59"/>
      <c r="LUE5" s="59"/>
      <c r="LUF5" s="59"/>
      <c r="LUG5" s="59"/>
      <c r="LUH5" s="59"/>
      <c r="LUI5" s="59"/>
      <c r="LUJ5" s="59"/>
      <c r="LUK5" s="59"/>
      <c r="LUL5" s="59"/>
      <c r="LUM5" s="59"/>
      <c r="LUN5" s="59"/>
      <c r="LUO5" s="59"/>
      <c r="LUP5" s="59"/>
      <c r="LUQ5" s="59"/>
      <c r="LUR5" s="59"/>
      <c r="LUS5" s="59"/>
      <c r="LUT5" s="59"/>
      <c r="LUU5" s="59"/>
      <c r="LUV5" s="59"/>
      <c r="LUW5" s="59"/>
      <c r="LUX5" s="59"/>
      <c r="LUY5" s="59"/>
      <c r="LUZ5" s="59"/>
      <c r="LVA5" s="59"/>
      <c r="LVB5" s="59"/>
      <c r="LVC5" s="59"/>
      <c r="LVD5" s="59"/>
      <c r="LVE5" s="59"/>
      <c r="LVF5" s="59"/>
      <c r="LVG5" s="59"/>
      <c r="LVH5" s="59"/>
      <c r="LVI5" s="59"/>
      <c r="LVJ5" s="59"/>
      <c r="LVK5" s="59"/>
      <c r="LVL5" s="59"/>
      <c r="LVM5" s="59"/>
      <c r="LVN5" s="59"/>
      <c r="LVO5" s="59"/>
      <c r="LVP5" s="59"/>
      <c r="LVQ5" s="59"/>
      <c r="LVR5" s="59"/>
      <c r="LVS5" s="59"/>
      <c r="LVT5" s="59"/>
      <c r="LVU5" s="59"/>
      <c r="LVV5" s="59"/>
      <c r="LVW5" s="59"/>
      <c r="LVX5" s="59"/>
      <c r="LVY5" s="59"/>
      <c r="LVZ5" s="59"/>
      <c r="LWA5" s="59"/>
      <c r="LWB5" s="59"/>
      <c r="LWC5" s="59"/>
      <c r="LWD5" s="59"/>
      <c r="LWE5" s="59"/>
      <c r="LWF5" s="59"/>
      <c r="LWG5" s="59"/>
      <c r="LWH5" s="59"/>
      <c r="LWI5" s="59"/>
      <c r="LWJ5" s="59"/>
      <c r="LWK5" s="59"/>
      <c r="LWL5" s="59"/>
      <c r="LWM5" s="59"/>
      <c r="LWN5" s="59"/>
      <c r="LWO5" s="59"/>
      <c r="LWP5" s="59"/>
      <c r="LWQ5" s="59"/>
      <c r="LWR5" s="59"/>
      <c r="LWS5" s="59"/>
      <c r="LWT5" s="59"/>
      <c r="LWU5" s="59"/>
      <c r="LWV5" s="59"/>
      <c r="LWW5" s="59"/>
      <c r="LWX5" s="59"/>
      <c r="LWY5" s="59"/>
      <c r="LWZ5" s="59"/>
      <c r="LXA5" s="59"/>
      <c r="LXB5" s="59"/>
      <c r="LXC5" s="59"/>
      <c r="LXD5" s="59"/>
      <c r="LXE5" s="59"/>
      <c r="LXF5" s="59"/>
      <c r="LXG5" s="59"/>
      <c r="LXH5" s="59"/>
      <c r="LXI5" s="59"/>
      <c r="LXJ5" s="59"/>
      <c r="LXK5" s="59"/>
      <c r="LXL5" s="59"/>
      <c r="LXM5" s="59"/>
      <c r="LXN5" s="59"/>
      <c r="LXO5" s="59"/>
      <c r="LXP5" s="59"/>
      <c r="LXQ5" s="59"/>
      <c r="LXR5" s="59"/>
      <c r="LXS5" s="59"/>
      <c r="LXT5" s="59"/>
      <c r="LXU5" s="59"/>
      <c r="LXV5" s="59"/>
      <c r="LXW5" s="59"/>
      <c r="LXX5" s="59"/>
      <c r="LXY5" s="59"/>
      <c r="LXZ5" s="59"/>
      <c r="LYA5" s="59"/>
      <c r="LYB5" s="59"/>
      <c r="LYC5" s="59"/>
      <c r="LYD5" s="59"/>
      <c r="LYE5" s="59"/>
      <c r="LYF5" s="59"/>
      <c r="LYG5" s="59"/>
      <c r="LYH5" s="59"/>
      <c r="LYI5" s="59"/>
      <c r="LYJ5" s="59"/>
      <c r="LYK5" s="59"/>
      <c r="LYL5" s="59"/>
      <c r="LYM5" s="59"/>
      <c r="LYN5" s="59"/>
      <c r="LYO5" s="59"/>
      <c r="LYP5" s="59"/>
      <c r="LYQ5" s="59"/>
      <c r="LYR5" s="59"/>
      <c r="LYS5" s="59"/>
      <c r="LYT5" s="59"/>
      <c r="LYU5" s="59"/>
      <c r="LYV5" s="59"/>
      <c r="LYW5" s="59"/>
      <c r="LYX5" s="59"/>
      <c r="LYY5" s="59"/>
      <c r="LYZ5" s="59"/>
      <c r="LZA5" s="59"/>
      <c r="LZB5" s="59"/>
      <c r="LZC5" s="59"/>
      <c r="LZD5" s="59"/>
      <c r="LZE5" s="59"/>
      <c r="LZF5" s="59"/>
      <c r="LZG5" s="59"/>
      <c r="LZH5" s="59"/>
      <c r="LZI5" s="59"/>
      <c r="LZJ5" s="59"/>
      <c r="LZK5" s="59"/>
      <c r="LZL5" s="59"/>
      <c r="LZM5" s="59"/>
      <c r="LZN5" s="59"/>
      <c r="LZO5" s="59"/>
      <c r="LZP5" s="59"/>
      <c r="LZQ5" s="59"/>
      <c r="LZR5" s="59"/>
      <c r="LZS5" s="59"/>
      <c r="LZT5" s="59"/>
      <c r="LZU5" s="59"/>
      <c r="LZV5" s="59"/>
      <c r="LZW5" s="59"/>
      <c r="LZX5" s="59"/>
      <c r="LZY5" s="59"/>
      <c r="LZZ5" s="59"/>
      <c r="MAA5" s="59"/>
      <c r="MAB5" s="59"/>
      <c r="MAC5" s="59"/>
      <c r="MAD5" s="59"/>
      <c r="MAE5" s="59"/>
      <c r="MAF5" s="59"/>
      <c r="MAG5" s="59"/>
      <c r="MAH5" s="59"/>
      <c r="MAI5" s="59"/>
      <c r="MAJ5" s="59"/>
      <c r="MAK5" s="59"/>
      <c r="MAL5" s="59"/>
      <c r="MAM5" s="59"/>
      <c r="MAN5" s="59"/>
      <c r="MAO5" s="59"/>
      <c r="MAP5" s="59"/>
      <c r="MAQ5" s="59"/>
      <c r="MAR5" s="59"/>
      <c r="MAS5" s="59"/>
      <c r="MAT5" s="59"/>
      <c r="MAU5" s="59"/>
      <c r="MAV5" s="59"/>
      <c r="MAW5" s="59"/>
      <c r="MAX5" s="59"/>
      <c r="MAY5" s="59"/>
      <c r="MAZ5" s="59"/>
      <c r="MBA5" s="59"/>
      <c r="MBB5" s="59"/>
      <c r="MBC5" s="59"/>
      <c r="MBD5" s="59"/>
      <c r="MBE5" s="59"/>
      <c r="MBF5" s="59"/>
      <c r="MBG5" s="59"/>
      <c r="MBH5" s="59"/>
      <c r="MBI5" s="59"/>
      <c r="MBJ5" s="59"/>
      <c r="MBK5" s="59"/>
      <c r="MBL5" s="59"/>
      <c r="MBM5" s="59"/>
      <c r="MBN5" s="59"/>
      <c r="MBO5" s="59"/>
      <c r="MBP5" s="59"/>
      <c r="MBQ5" s="59"/>
      <c r="MBR5" s="59"/>
      <c r="MBS5" s="59"/>
      <c r="MBT5" s="59"/>
      <c r="MBU5" s="59"/>
      <c r="MBV5" s="59"/>
      <c r="MBW5" s="59"/>
      <c r="MBX5" s="59"/>
      <c r="MBY5" s="59"/>
      <c r="MBZ5" s="59"/>
      <c r="MCA5" s="59"/>
      <c r="MCB5" s="59"/>
      <c r="MCC5" s="59"/>
      <c r="MCD5" s="59"/>
      <c r="MCE5" s="59"/>
      <c r="MCF5" s="59"/>
      <c r="MCG5" s="59"/>
      <c r="MCH5" s="59"/>
      <c r="MCI5" s="59"/>
      <c r="MCJ5" s="59"/>
      <c r="MCK5" s="59"/>
      <c r="MCL5" s="59"/>
      <c r="MCM5" s="59"/>
      <c r="MCN5" s="59"/>
      <c r="MCO5" s="59"/>
      <c r="MCP5" s="59"/>
      <c r="MCQ5" s="59"/>
      <c r="MCR5" s="59"/>
      <c r="MCS5" s="59"/>
      <c r="MCT5" s="59"/>
      <c r="MCU5" s="59"/>
      <c r="MCV5" s="59"/>
      <c r="MCW5" s="59"/>
      <c r="MCX5" s="59"/>
      <c r="MCY5" s="59"/>
      <c r="MCZ5" s="59"/>
      <c r="MDA5" s="59"/>
      <c r="MDB5" s="59"/>
      <c r="MDC5" s="59"/>
      <c r="MDD5" s="59"/>
      <c r="MDE5" s="59"/>
      <c r="MDF5" s="59"/>
      <c r="MDG5" s="59"/>
      <c r="MDH5" s="59"/>
      <c r="MDI5" s="59"/>
      <c r="MDJ5" s="59"/>
      <c r="MDK5" s="59"/>
      <c r="MDL5" s="59"/>
      <c r="MDM5" s="59"/>
      <c r="MDN5" s="59"/>
      <c r="MDO5" s="59"/>
      <c r="MDP5" s="59"/>
      <c r="MDQ5" s="59"/>
      <c r="MDR5" s="59"/>
      <c r="MDS5" s="59"/>
      <c r="MDT5" s="59"/>
      <c r="MDU5" s="59"/>
      <c r="MDV5" s="59"/>
      <c r="MDW5" s="59"/>
      <c r="MDX5" s="59"/>
      <c r="MDY5" s="59"/>
      <c r="MDZ5" s="59"/>
      <c r="MEA5" s="59"/>
      <c r="MEB5" s="59"/>
      <c r="MEC5" s="59"/>
      <c r="MED5" s="59"/>
      <c r="MEE5" s="59"/>
      <c r="MEF5" s="59"/>
      <c r="MEG5" s="59"/>
      <c r="MEH5" s="59"/>
      <c r="MEI5" s="59"/>
      <c r="MEJ5" s="59"/>
      <c r="MEK5" s="59"/>
      <c r="MEL5" s="59"/>
      <c r="MEM5" s="59"/>
      <c r="MEN5" s="59"/>
      <c r="MEO5" s="59"/>
      <c r="MEP5" s="59"/>
      <c r="MEQ5" s="59"/>
      <c r="MER5" s="59"/>
      <c r="MES5" s="59"/>
      <c r="MET5" s="59"/>
      <c r="MEU5" s="59"/>
      <c r="MEV5" s="59"/>
      <c r="MEW5" s="59"/>
      <c r="MEX5" s="59"/>
      <c r="MEY5" s="59"/>
      <c r="MEZ5" s="59"/>
      <c r="MFA5" s="59"/>
      <c r="MFB5" s="59"/>
      <c r="MFC5" s="59"/>
      <c r="MFD5" s="59"/>
      <c r="MFE5" s="59"/>
      <c r="MFF5" s="59"/>
      <c r="MFG5" s="59"/>
      <c r="MFH5" s="59"/>
      <c r="MFI5" s="59"/>
      <c r="MFJ5" s="59"/>
      <c r="MFK5" s="59"/>
      <c r="MFL5" s="59"/>
      <c r="MFM5" s="59"/>
      <c r="MFN5" s="59"/>
      <c r="MFO5" s="59"/>
      <c r="MFP5" s="59"/>
      <c r="MFQ5" s="59"/>
      <c r="MFR5" s="59"/>
      <c r="MFS5" s="59"/>
      <c r="MFT5" s="59"/>
      <c r="MFU5" s="59"/>
      <c r="MFV5" s="59"/>
      <c r="MFW5" s="59"/>
      <c r="MFX5" s="59"/>
      <c r="MFY5" s="59"/>
      <c r="MFZ5" s="59"/>
      <c r="MGA5" s="59"/>
      <c r="MGB5" s="59"/>
      <c r="MGC5" s="59"/>
      <c r="MGD5" s="59"/>
      <c r="MGE5" s="59"/>
      <c r="MGF5" s="59"/>
      <c r="MGG5" s="59"/>
      <c r="MGH5" s="59"/>
      <c r="MGI5" s="59"/>
      <c r="MGJ5" s="59"/>
      <c r="MGK5" s="59"/>
      <c r="MGL5" s="59"/>
      <c r="MGM5" s="59"/>
      <c r="MGN5" s="59"/>
      <c r="MGO5" s="59"/>
      <c r="MGP5" s="59"/>
      <c r="MGQ5" s="59"/>
      <c r="MGR5" s="59"/>
      <c r="MGS5" s="59"/>
      <c r="MGT5" s="59"/>
      <c r="MGU5" s="59"/>
      <c r="MGV5" s="59"/>
      <c r="MGW5" s="59"/>
      <c r="MGX5" s="59"/>
      <c r="MGY5" s="59"/>
      <c r="MGZ5" s="59"/>
      <c r="MHA5" s="59"/>
      <c r="MHB5" s="59"/>
      <c r="MHC5" s="59"/>
      <c r="MHD5" s="59"/>
      <c r="MHE5" s="59"/>
      <c r="MHF5" s="59"/>
      <c r="MHG5" s="59"/>
      <c r="MHH5" s="59"/>
      <c r="MHI5" s="59"/>
      <c r="MHJ5" s="59"/>
      <c r="MHK5" s="59"/>
      <c r="MHL5" s="59"/>
      <c r="MHM5" s="59"/>
      <c r="MHN5" s="59"/>
      <c r="MHO5" s="59"/>
      <c r="MHP5" s="59"/>
      <c r="MHQ5" s="59"/>
      <c r="MHR5" s="59"/>
      <c r="MHS5" s="59"/>
      <c r="MHT5" s="59"/>
      <c r="MHU5" s="59"/>
      <c r="MHV5" s="59"/>
      <c r="MHW5" s="59"/>
      <c r="MHX5" s="59"/>
      <c r="MHY5" s="59"/>
      <c r="MHZ5" s="59"/>
      <c r="MIA5" s="59"/>
      <c r="MIB5" s="59"/>
      <c r="MIC5" s="59"/>
      <c r="MID5" s="59"/>
      <c r="MIE5" s="59"/>
      <c r="MIF5" s="59"/>
      <c r="MIG5" s="59"/>
      <c r="MIH5" s="59"/>
      <c r="MII5" s="59"/>
      <c r="MIJ5" s="59"/>
      <c r="MIK5" s="59"/>
      <c r="MIL5" s="59"/>
      <c r="MIM5" s="59"/>
      <c r="MIN5" s="59"/>
      <c r="MIO5" s="59"/>
      <c r="MIP5" s="59"/>
      <c r="MIQ5" s="59"/>
      <c r="MIR5" s="59"/>
      <c r="MIS5" s="59"/>
      <c r="MIT5" s="59"/>
      <c r="MIU5" s="59"/>
      <c r="MIV5" s="59"/>
      <c r="MIW5" s="59"/>
      <c r="MIX5" s="59"/>
      <c r="MIY5" s="59"/>
      <c r="MIZ5" s="59"/>
      <c r="MJA5" s="59"/>
      <c r="MJB5" s="59"/>
      <c r="MJC5" s="59"/>
      <c r="MJD5" s="59"/>
      <c r="MJE5" s="59"/>
      <c r="MJF5" s="59"/>
      <c r="MJG5" s="59"/>
      <c r="MJH5" s="59"/>
      <c r="MJI5" s="59"/>
      <c r="MJJ5" s="59"/>
      <c r="MJK5" s="59"/>
      <c r="MJL5" s="59"/>
      <c r="MJM5" s="59"/>
      <c r="MJN5" s="59"/>
      <c r="MJO5" s="59"/>
      <c r="MJP5" s="59"/>
      <c r="MJQ5" s="59"/>
      <c r="MJR5" s="59"/>
      <c r="MJS5" s="59"/>
      <c r="MJT5" s="59"/>
      <c r="MJU5" s="59"/>
      <c r="MJV5" s="59"/>
      <c r="MJW5" s="59"/>
      <c r="MJX5" s="59"/>
      <c r="MJY5" s="59"/>
      <c r="MJZ5" s="59"/>
      <c r="MKA5" s="59"/>
      <c r="MKB5" s="59"/>
      <c r="MKC5" s="59"/>
      <c r="MKD5" s="59"/>
      <c r="MKE5" s="59"/>
      <c r="MKF5" s="59"/>
      <c r="MKG5" s="59"/>
      <c r="MKH5" s="59"/>
      <c r="MKI5" s="59"/>
      <c r="MKJ5" s="59"/>
      <c r="MKK5" s="59"/>
      <c r="MKL5" s="59"/>
      <c r="MKM5" s="59"/>
      <c r="MKN5" s="59"/>
      <c r="MKO5" s="59"/>
      <c r="MKP5" s="59"/>
      <c r="MKQ5" s="59"/>
      <c r="MKR5" s="59"/>
      <c r="MKS5" s="59"/>
      <c r="MKT5" s="59"/>
      <c r="MKU5" s="59"/>
      <c r="MKV5" s="59"/>
      <c r="MKW5" s="59"/>
      <c r="MKX5" s="59"/>
      <c r="MKY5" s="59"/>
      <c r="MKZ5" s="59"/>
      <c r="MLA5" s="59"/>
      <c r="MLB5" s="59"/>
      <c r="MLC5" s="59"/>
      <c r="MLD5" s="59"/>
      <c r="MLE5" s="59"/>
      <c r="MLF5" s="59"/>
      <c r="MLG5" s="59"/>
      <c r="MLH5" s="59"/>
      <c r="MLI5" s="59"/>
      <c r="MLJ5" s="59"/>
      <c r="MLK5" s="59"/>
      <c r="MLL5" s="59"/>
      <c r="MLM5" s="59"/>
      <c r="MLN5" s="59"/>
      <c r="MLO5" s="59"/>
      <c r="MLP5" s="59"/>
      <c r="MLQ5" s="59"/>
      <c r="MLR5" s="59"/>
      <c r="MLS5" s="59"/>
      <c r="MLT5" s="59"/>
      <c r="MLU5" s="59"/>
      <c r="MLV5" s="59"/>
      <c r="MLW5" s="59"/>
      <c r="MLX5" s="59"/>
      <c r="MLY5" s="59"/>
      <c r="MLZ5" s="59"/>
      <c r="MMA5" s="59"/>
      <c r="MMB5" s="59"/>
      <c r="MMC5" s="59"/>
      <c r="MMD5" s="59"/>
      <c r="MME5" s="59"/>
      <c r="MMF5" s="59"/>
      <c r="MMG5" s="59"/>
      <c r="MMH5" s="59"/>
      <c r="MMI5" s="59"/>
      <c r="MMJ5" s="59"/>
      <c r="MMK5" s="59"/>
      <c r="MML5" s="59"/>
      <c r="MMM5" s="59"/>
      <c r="MMN5" s="59"/>
      <c r="MMO5" s="59"/>
      <c r="MMP5" s="59"/>
      <c r="MMQ5" s="59"/>
      <c r="MMR5" s="59"/>
      <c r="MMS5" s="59"/>
      <c r="MMT5" s="59"/>
      <c r="MMU5" s="59"/>
      <c r="MMV5" s="59"/>
      <c r="MMW5" s="59"/>
      <c r="MMX5" s="59"/>
      <c r="MMY5" s="59"/>
      <c r="MMZ5" s="59"/>
      <c r="MNA5" s="59"/>
      <c r="MNB5" s="59"/>
      <c r="MNC5" s="59"/>
      <c r="MND5" s="59"/>
      <c r="MNE5" s="59"/>
      <c r="MNF5" s="59"/>
      <c r="MNG5" s="59"/>
      <c r="MNH5" s="59"/>
      <c r="MNI5" s="59"/>
      <c r="MNJ5" s="59"/>
      <c r="MNK5" s="59"/>
      <c r="MNL5" s="59"/>
      <c r="MNM5" s="59"/>
      <c r="MNN5" s="59"/>
      <c r="MNO5" s="59"/>
      <c r="MNP5" s="59"/>
      <c r="MNQ5" s="59"/>
      <c r="MNR5" s="59"/>
      <c r="MNS5" s="59"/>
      <c r="MNT5" s="59"/>
      <c r="MNU5" s="59"/>
      <c r="MNV5" s="59"/>
      <c r="MNW5" s="59"/>
      <c r="MNX5" s="59"/>
      <c r="MNY5" s="59"/>
      <c r="MNZ5" s="59"/>
      <c r="MOA5" s="59"/>
      <c r="MOB5" s="59"/>
      <c r="MOC5" s="59"/>
      <c r="MOD5" s="59"/>
      <c r="MOE5" s="59"/>
      <c r="MOF5" s="59"/>
      <c r="MOG5" s="59"/>
      <c r="MOH5" s="59"/>
      <c r="MOI5" s="59"/>
      <c r="MOJ5" s="59"/>
      <c r="MOK5" s="59"/>
      <c r="MOL5" s="59"/>
      <c r="MOM5" s="59"/>
      <c r="MON5" s="59"/>
      <c r="MOO5" s="59"/>
      <c r="MOP5" s="59"/>
      <c r="MOQ5" s="59"/>
      <c r="MOR5" s="59"/>
      <c r="MOS5" s="59"/>
      <c r="MOT5" s="59"/>
      <c r="MOU5" s="59"/>
      <c r="MOV5" s="59"/>
      <c r="MOW5" s="59"/>
      <c r="MOX5" s="59"/>
      <c r="MOY5" s="59"/>
      <c r="MOZ5" s="59"/>
      <c r="MPA5" s="59"/>
      <c r="MPB5" s="59"/>
      <c r="MPC5" s="59"/>
      <c r="MPD5" s="59"/>
      <c r="MPE5" s="59"/>
      <c r="MPF5" s="59"/>
      <c r="MPG5" s="59"/>
      <c r="MPH5" s="59"/>
      <c r="MPI5" s="59"/>
      <c r="MPJ5" s="59"/>
      <c r="MPK5" s="59"/>
      <c r="MPL5" s="59"/>
      <c r="MPM5" s="59"/>
      <c r="MPN5" s="59"/>
      <c r="MPO5" s="59"/>
      <c r="MPP5" s="59"/>
      <c r="MPQ5" s="59"/>
      <c r="MPR5" s="59"/>
      <c r="MPS5" s="59"/>
      <c r="MPT5" s="59"/>
      <c r="MPU5" s="59"/>
      <c r="MPV5" s="59"/>
      <c r="MPW5" s="59"/>
      <c r="MPX5" s="59"/>
      <c r="MPY5" s="59"/>
      <c r="MPZ5" s="59"/>
      <c r="MQA5" s="59"/>
      <c r="MQB5" s="59"/>
      <c r="MQC5" s="59"/>
      <c r="MQD5" s="59"/>
      <c r="MQE5" s="59"/>
      <c r="MQF5" s="59"/>
      <c r="MQG5" s="59"/>
      <c r="MQH5" s="59"/>
      <c r="MQI5" s="59"/>
      <c r="MQJ5" s="59"/>
      <c r="MQK5" s="59"/>
      <c r="MQL5" s="59"/>
      <c r="MQM5" s="59"/>
      <c r="MQN5" s="59"/>
      <c r="MQO5" s="59"/>
      <c r="MQP5" s="59"/>
      <c r="MQQ5" s="59"/>
      <c r="MQR5" s="59"/>
      <c r="MQS5" s="59"/>
      <c r="MQT5" s="59"/>
      <c r="MQU5" s="59"/>
      <c r="MQV5" s="59"/>
      <c r="MQW5" s="59"/>
      <c r="MQX5" s="59"/>
      <c r="MQY5" s="59"/>
      <c r="MQZ5" s="59"/>
      <c r="MRA5" s="59"/>
      <c r="MRB5" s="59"/>
      <c r="MRC5" s="59"/>
      <c r="MRD5" s="59"/>
      <c r="MRE5" s="59"/>
      <c r="MRF5" s="59"/>
      <c r="MRG5" s="59"/>
      <c r="MRH5" s="59"/>
      <c r="MRI5" s="59"/>
      <c r="MRJ5" s="59"/>
      <c r="MRK5" s="59"/>
      <c r="MRL5" s="59"/>
      <c r="MRM5" s="59"/>
      <c r="MRN5" s="59"/>
      <c r="MRO5" s="59"/>
      <c r="MRP5" s="59"/>
      <c r="MRQ5" s="59"/>
      <c r="MRR5" s="59"/>
      <c r="MRS5" s="59"/>
      <c r="MRT5" s="59"/>
      <c r="MRU5" s="59"/>
      <c r="MRV5" s="59"/>
      <c r="MRW5" s="59"/>
      <c r="MRX5" s="59"/>
      <c r="MRY5" s="59"/>
      <c r="MRZ5" s="59"/>
      <c r="MSA5" s="59"/>
      <c r="MSB5" s="59"/>
      <c r="MSC5" s="59"/>
      <c r="MSD5" s="59"/>
      <c r="MSE5" s="59"/>
      <c r="MSF5" s="59"/>
      <c r="MSG5" s="59"/>
      <c r="MSH5" s="59"/>
      <c r="MSI5" s="59"/>
      <c r="MSJ5" s="59"/>
      <c r="MSK5" s="59"/>
      <c r="MSL5" s="59"/>
      <c r="MSM5" s="59"/>
      <c r="MSN5" s="59"/>
      <c r="MSO5" s="59"/>
      <c r="MSP5" s="59"/>
      <c r="MSQ5" s="59"/>
      <c r="MSR5" s="59"/>
      <c r="MSS5" s="59"/>
      <c r="MST5" s="59"/>
      <c r="MSU5" s="59"/>
      <c r="MSV5" s="59"/>
      <c r="MSW5" s="59"/>
      <c r="MSX5" s="59"/>
      <c r="MSY5" s="59"/>
      <c r="MSZ5" s="59"/>
      <c r="MTA5" s="59"/>
      <c r="MTB5" s="59"/>
      <c r="MTC5" s="59"/>
      <c r="MTD5" s="59"/>
      <c r="MTE5" s="59"/>
      <c r="MTF5" s="59"/>
      <c r="MTG5" s="59"/>
      <c r="MTH5" s="59"/>
      <c r="MTI5" s="59"/>
      <c r="MTJ5" s="59"/>
      <c r="MTK5" s="59"/>
      <c r="MTL5" s="59"/>
      <c r="MTM5" s="59"/>
      <c r="MTN5" s="59"/>
      <c r="MTO5" s="59"/>
      <c r="MTP5" s="59"/>
      <c r="MTQ5" s="59"/>
      <c r="MTR5" s="59"/>
      <c r="MTS5" s="59"/>
      <c r="MTT5" s="59"/>
      <c r="MTU5" s="59"/>
      <c r="MTV5" s="59"/>
      <c r="MTW5" s="59"/>
      <c r="MTX5" s="59"/>
      <c r="MTY5" s="59"/>
      <c r="MTZ5" s="59"/>
      <c r="MUA5" s="59"/>
      <c r="MUB5" s="59"/>
      <c r="MUC5" s="59"/>
      <c r="MUD5" s="59"/>
      <c r="MUE5" s="59"/>
      <c r="MUF5" s="59"/>
      <c r="MUG5" s="59"/>
      <c r="MUH5" s="59"/>
      <c r="MUI5" s="59"/>
      <c r="MUJ5" s="59"/>
      <c r="MUK5" s="59"/>
      <c r="MUL5" s="59"/>
      <c r="MUM5" s="59"/>
      <c r="MUN5" s="59"/>
      <c r="MUO5" s="59"/>
      <c r="MUP5" s="59"/>
      <c r="MUQ5" s="59"/>
      <c r="MUR5" s="59"/>
      <c r="MUS5" s="59"/>
      <c r="MUT5" s="59"/>
      <c r="MUU5" s="59"/>
      <c r="MUV5" s="59"/>
      <c r="MUW5" s="59"/>
      <c r="MUX5" s="59"/>
      <c r="MUY5" s="59"/>
      <c r="MUZ5" s="59"/>
      <c r="MVA5" s="59"/>
      <c r="MVB5" s="59"/>
      <c r="MVC5" s="59"/>
      <c r="MVD5" s="59"/>
      <c r="MVE5" s="59"/>
      <c r="MVF5" s="59"/>
      <c r="MVG5" s="59"/>
      <c r="MVH5" s="59"/>
      <c r="MVI5" s="59"/>
      <c r="MVJ5" s="59"/>
      <c r="MVK5" s="59"/>
      <c r="MVL5" s="59"/>
      <c r="MVM5" s="59"/>
      <c r="MVN5" s="59"/>
      <c r="MVO5" s="59"/>
      <c r="MVP5" s="59"/>
      <c r="MVQ5" s="59"/>
      <c r="MVR5" s="59"/>
      <c r="MVS5" s="59"/>
      <c r="MVT5" s="59"/>
      <c r="MVU5" s="59"/>
      <c r="MVV5" s="59"/>
      <c r="MVW5" s="59"/>
      <c r="MVX5" s="59"/>
      <c r="MVY5" s="59"/>
      <c r="MVZ5" s="59"/>
      <c r="MWA5" s="59"/>
      <c r="MWB5" s="59"/>
      <c r="MWC5" s="59"/>
      <c r="MWD5" s="59"/>
      <c r="MWE5" s="59"/>
      <c r="MWF5" s="59"/>
      <c r="MWG5" s="59"/>
      <c r="MWH5" s="59"/>
      <c r="MWI5" s="59"/>
      <c r="MWJ5" s="59"/>
      <c r="MWK5" s="59"/>
      <c r="MWL5" s="59"/>
      <c r="MWM5" s="59"/>
      <c r="MWN5" s="59"/>
      <c r="MWO5" s="59"/>
      <c r="MWP5" s="59"/>
      <c r="MWQ5" s="59"/>
      <c r="MWR5" s="59"/>
      <c r="MWS5" s="59"/>
      <c r="MWT5" s="59"/>
      <c r="MWU5" s="59"/>
      <c r="MWV5" s="59"/>
      <c r="MWW5" s="59"/>
      <c r="MWX5" s="59"/>
      <c r="MWY5" s="59"/>
      <c r="MWZ5" s="59"/>
      <c r="MXA5" s="59"/>
      <c r="MXB5" s="59"/>
      <c r="MXC5" s="59"/>
      <c r="MXD5" s="59"/>
      <c r="MXE5" s="59"/>
      <c r="MXF5" s="59"/>
      <c r="MXG5" s="59"/>
      <c r="MXH5" s="59"/>
      <c r="MXI5" s="59"/>
      <c r="MXJ5" s="59"/>
      <c r="MXK5" s="59"/>
      <c r="MXL5" s="59"/>
      <c r="MXM5" s="59"/>
      <c r="MXN5" s="59"/>
      <c r="MXO5" s="59"/>
      <c r="MXP5" s="59"/>
      <c r="MXQ5" s="59"/>
      <c r="MXR5" s="59"/>
      <c r="MXS5" s="59"/>
      <c r="MXT5" s="59"/>
      <c r="MXU5" s="59"/>
      <c r="MXV5" s="59"/>
      <c r="MXW5" s="59"/>
      <c r="MXX5" s="59"/>
      <c r="MXY5" s="59"/>
      <c r="MXZ5" s="59"/>
      <c r="MYA5" s="59"/>
      <c r="MYB5" s="59"/>
      <c r="MYC5" s="59"/>
      <c r="MYD5" s="59"/>
      <c r="MYE5" s="59"/>
      <c r="MYF5" s="59"/>
      <c r="MYG5" s="59"/>
      <c r="MYH5" s="59"/>
      <c r="MYI5" s="59"/>
      <c r="MYJ5" s="59"/>
      <c r="MYK5" s="59"/>
      <c r="MYL5" s="59"/>
      <c r="MYM5" s="59"/>
      <c r="MYN5" s="59"/>
      <c r="MYO5" s="59"/>
      <c r="MYP5" s="59"/>
      <c r="MYQ5" s="59"/>
      <c r="MYR5" s="59"/>
      <c r="MYS5" s="59"/>
      <c r="MYT5" s="59"/>
      <c r="MYU5" s="59"/>
      <c r="MYV5" s="59"/>
      <c r="MYW5" s="59"/>
      <c r="MYX5" s="59"/>
      <c r="MYY5" s="59"/>
      <c r="MYZ5" s="59"/>
      <c r="MZA5" s="59"/>
      <c r="MZB5" s="59"/>
      <c r="MZC5" s="59"/>
      <c r="MZD5" s="59"/>
      <c r="MZE5" s="59"/>
      <c r="MZF5" s="59"/>
      <c r="MZG5" s="59"/>
      <c r="MZH5" s="59"/>
      <c r="MZI5" s="59"/>
      <c r="MZJ5" s="59"/>
      <c r="MZK5" s="59"/>
      <c r="MZL5" s="59"/>
      <c r="MZM5" s="59"/>
      <c r="MZN5" s="59"/>
      <c r="MZO5" s="59"/>
      <c r="MZP5" s="59"/>
      <c r="MZQ5" s="59"/>
      <c r="MZR5" s="59"/>
      <c r="MZS5" s="59"/>
      <c r="MZT5" s="59"/>
      <c r="MZU5" s="59"/>
      <c r="MZV5" s="59"/>
      <c r="MZW5" s="59"/>
      <c r="MZX5" s="59"/>
      <c r="MZY5" s="59"/>
      <c r="MZZ5" s="59"/>
      <c r="NAA5" s="59"/>
      <c r="NAB5" s="59"/>
      <c r="NAC5" s="59"/>
      <c r="NAD5" s="59"/>
      <c r="NAE5" s="59"/>
      <c r="NAF5" s="59"/>
      <c r="NAG5" s="59"/>
      <c r="NAH5" s="59"/>
      <c r="NAI5" s="59"/>
      <c r="NAJ5" s="59"/>
      <c r="NAK5" s="59"/>
      <c r="NAL5" s="59"/>
      <c r="NAM5" s="59"/>
      <c r="NAN5" s="59"/>
      <c r="NAO5" s="59"/>
      <c r="NAP5" s="59"/>
      <c r="NAQ5" s="59"/>
      <c r="NAR5" s="59"/>
      <c r="NAS5" s="59"/>
      <c r="NAT5" s="59"/>
      <c r="NAU5" s="59"/>
      <c r="NAV5" s="59"/>
      <c r="NAW5" s="59"/>
      <c r="NAX5" s="59"/>
      <c r="NAY5" s="59"/>
      <c r="NAZ5" s="59"/>
      <c r="NBA5" s="59"/>
      <c r="NBB5" s="59"/>
      <c r="NBC5" s="59"/>
      <c r="NBD5" s="59"/>
      <c r="NBE5" s="59"/>
      <c r="NBF5" s="59"/>
      <c r="NBG5" s="59"/>
      <c r="NBH5" s="59"/>
      <c r="NBI5" s="59"/>
      <c r="NBJ5" s="59"/>
      <c r="NBK5" s="59"/>
      <c r="NBL5" s="59"/>
      <c r="NBM5" s="59"/>
      <c r="NBN5" s="59"/>
      <c r="NBO5" s="59"/>
      <c r="NBP5" s="59"/>
      <c r="NBQ5" s="59"/>
      <c r="NBR5" s="59"/>
      <c r="NBS5" s="59"/>
      <c r="NBT5" s="59"/>
      <c r="NBU5" s="59"/>
      <c r="NBV5" s="59"/>
      <c r="NBW5" s="59"/>
      <c r="NBX5" s="59"/>
      <c r="NBY5" s="59"/>
      <c r="NBZ5" s="59"/>
      <c r="NCA5" s="59"/>
      <c r="NCB5" s="59"/>
      <c r="NCC5" s="59"/>
      <c r="NCD5" s="59"/>
      <c r="NCE5" s="59"/>
      <c r="NCF5" s="59"/>
      <c r="NCG5" s="59"/>
      <c r="NCH5" s="59"/>
      <c r="NCI5" s="59"/>
      <c r="NCJ5" s="59"/>
      <c r="NCK5" s="59"/>
      <c r="NCL5" s="59"/>
      <c r="NCM5" s="59"/>
      <c r="NCN5" s="59"/>
      <c r="NCO5" s="59"/>
      <c r="NCP5" s="59"/>
      <c r="NCQ5" s="59"/>
      <c r="NCR5" s="59"/>
      <c r="NCS5" s="59"/>
      <c r="NCT5" s="59"/>
      <c r="NCU5" s="59"/>
      <c r="NCV5" s="59"/>
      <c r="NCW5" s="59"/>
      <c r="NCX5" s="59"/>
      <c r="NCY5" s="59"/>
      <c r="NCZ5" s="59"/>
      <c r="NDA5" s="59"/>
      <c r="NDB5" s="59"/>
      <c r="NDC5" s="59"/>
      <c r="NDD5" s="59"/>
      <c r="NDE5" s="59"/>
      <c r="NDF5" s="59"/>
      <c r="NDG5" s="59"/>
      <c r="NDH5" s="59"/>
      <c r="NDI5" s="59"/>
      <c r="NDJ5" s="59"/>
      <c r="NDK5" s="59"/>
      <c r="NDL5" s="59"/>
      <c r="NDM5" s="59"/>
      <c r="NDN5" s="59"/>
      <c r="NDO5" s="59"/>
      <c r="NDP5" s="59"/>
      <c r="NDQ5" s="59"/>
      <c r="NDR5" s="59"/>
      <c r="NDS5" s="59"/>
      <c r="NDT5" s="59"/>
      <c r="NDU5" s="59"/>
      <c r="NDV5" s="59"/>
      <c r="NDW5" s="59"/>
      <c r="NDX5" s="59"/>
      <c r="NDY5" s="59"/>
      <c r="NDZ5" s="59"/>
      <c r="NEA5" s="59"/>
      <c r="NEB5" s="59"/>
      <c r="NEC5" s="59"/>
      <c r="NED5" s="59"/>
      <c r="NEE5" s="59"/>
      <c r="NEF5" s="59"/>
      <c r="NEG5" s="59"/>
      <c r="NEH5" s="59"/>
      <c r="NEI5" s="59"/>
      <c r="NEJ5" s="59"/>
      <c r="NEK5" s="59"/>
      <c r="NEL5" s="59"/>
      <c r="NEM5" s="59"/>
      <c r="NEN5" s="59"/>
      <c r="NEO5" s="59"/>
      <c r="NEP5" s="59"/>
      <c r="NEQ5" s="59"/>
      <c r="NER5" s="59"/>
      <c r="NES5" s="59"/>
      <c r="NET5" s="59"/>
      <c r="NEU5" s="59"/>
      <c r="NEV5" s="59"/>
      <c r="NEW5" s="59"/>
      <c r="NEX5" s="59"/>
      <c r="NEY5" s="59"/>
      <c r="NEZ5" s="59"/>
      <c r="NFA5" s="59"/>
      <c r="NFB5" s="59"/>
      <c r="NFC5" s="59"/>
      <c r="NFD5" s="59"/>
      <c r="NFE5" s="59"/>
      <c r="NFF5" s="59"/>
      <c r="NFG5" s="59"/>
      <c r="NFH5" s="59"/>
      <c r="NFI5" s="59"/>
      <c r="NFJ5" s="59"/>
      <c r="NFK5" s="59"/>
      <c r="NFL5" s="59"/>
      <c r="NFM5" s="59"/>
      <c r="NFN5" s="59"/>
      <c r="NFO5" s="59"/>
      <c r="NFP5" s="59"/>
      <c r="NFQ5" s="59"/>
      <c r="NFR5" s="59"/>
      <c r="NFS5" s="59"/>
      <c r="NFT5" s="59"/>
      <c r="NFU5" s="59"/>
      <c r="NFV5" s="59"/>
      <c r="NFW5" s="59"/>
      <c r="NFX5" s="59"/>
      <c r="NFY5" s="59"/>
      <c r="NFZ5" s="59"/>
      <c r="NGA5" s="59"/>
      <c r="NGB5" s="59"/>
      <c r="NGC5" s="59"/>
      <c r="NGD5" s="59"/>
      <c r="NGE5" s="59"/>
      <c r="NGF5" s="59"/>
      <c r="NGG5" s="59"/>
      <c r="NGH5" s="59"/>
      <c r="NGI5" s="59"/>
      <c r="NGJ5" s="59"/>
      <c r="NGK5" s="59"/>
      <c r="NGL5" s="59"/>
      <c r="NGM5" s="59"/>
      <c r="NGN5" s="59"/>
      <c r="NGO5" s="59"/>
      <c r="NGP5" s="59"/>
      <c r="NGQ5" s="59"/>
      <c r="NGR5" s="59"/>
      <c r="NGS5" s="59"/>
      <c r="NGT5" s="59"/>
      <c r="NGU5" s="59"/>
      <c r="NGV5" s="59"/>
      <c r="NGW5" s="59"/>
      <c r="NGX5" s="59"/>
      <c r="NGY5" s="59"/>
      <c r="NGZ5" s="59"/>
      <c r="NHA5" s="59"/>
      <c r="NHB5" s="59"/>
      <c r="NHC5" s="59"/>
      <c r="NHD5" s="59"/>
      <c r="NHE5" s="59"/>
      <c r="NHF5" s="59"/>
      <c r="NHG5" s="59"/>
      <c r="NHH5" s="59"/>
      <c r="NHI5" s="59"/>
      <c r="NHJ5" s="59"/>
      <c r="NHK5" s="59"/>
      <c r="NHL5" s="59"/>
      <c r="NHM5" s="59"/>
      <c r="NHN5" s="59"/>
      <c r="NHO5" s="59"/>
      <c r="NHP5" s="59"/>
      <c r="NHQ5" s="59"/>
      <c r="NHR5" s="59"/>
      <c r="NHS5" s="59"/>
      <c r="NHT5" s="59"/>
      <c r="NHU5" s="59"/>
      <c r="NHV5" s="59"/>
      <c r="NHW5" s="59"/>
      <c r="NHX5" s="59"/>
      <c r="NHY5" s="59"/>
      <c r="NHZ5" s="59"/>
      <c r="NIA5" s="59"/>
      <c r="NIB5" s="59"/>
      <c r="NIC5" s="59"/>
      <c r="NID5" s="59"/>
      <c r="NIE5" s="59"/>
      <c r="NIF5" s="59"/>
      <c r="NIG5" s="59"/>
      <c r="NIH5" s="59"/>
      <c r="NII5" s="59"/>
      <c r="NIJ5" s="59"/>
      <c r="NIK5" s="59"/>
      <c r="NIL5" s="59"/>
      <c r="NIM5" s="59"/>
      <c r="NIN5" s="59"/>
      <c r="NIO5" s="59"/>
      <c r="NIP5" s="59"/>
      <c r="NIQ5" s="59"/>
      <c r="NIR5" s="59"/>
      <c r="NIS5" s="59"/>
      <c r="NIT5" s="59"/>
      <c r="NIU5" s="59"/>
      <c r="NIV5" s="59"/>
      <c r="NIW5" s="59"/>
      <c r="NIX5" s="59"/>
      <c r="NIY5" s="59"/>
      <c r="NIZ5" s="59"/>
      <c r="NJA5" s="59"/>
      <c r="NJB5" s="59"/>
      <c r="NJC5" s="59"/>
      <c r="NJD5" s="59"/>
      <c r="NJE5" s="59"/>
      <c r="NJF5" s="59"/>
      <c r="NJG5" s="59"/>
      <c r="NJH5" s="59"/>
      <c r="NJI5" s="59"/>
      <c r="NJJ5" s="59"/>
      <c r="NJK5" s="59"/>
      <c r="NJL5" s="59"/>
      <c r="NJM5" s="59"/>
      <c r="NJN5" s="59"/>
      <c r="NJO5" s="59"/>
      <c r="NJP5" s="59"/>
      <c r="NJQ5" s="59"/>
      <c r="NJR5" s="59"/>
      <c r="NJS5" s="59"/>
      <c r="NJT5" s="59"/>
      <c r="NJU5" s="59"/>
      <c r="NJV5" s="59"/>
      <c r="NJW5" s="59"/>
      <c r="NJX5" s="59"/>
      <c r="NJY5" s="59"/>
      <c r="NJZ5" s="59"/>
      <c r="NKA5" s="59"/>
      <c r="NKB5" s="59"/>
      <c r="NKC5" s="59"/>
      <c r="NKD5" s="59"/>
      <c r="NKE5" s="59"/>
      <c r="NKF5" s="59"/>
      <c r="NKG5" s="59"/>
      <c r="NKH5" s="59"/>
      <c r="NKI5" s="59"/>
      <c r="NKJ5" s="59"/>
      <c r="NKK5" s="59"/>
      <c r="NKL5" s="59"/>
      <c r="NKM5" s="59"/>
      <c r="NKN5" s="59"/>
      <c r="NKO5" s="59"/>
      <c r="NKP5" s="59"/>
      <c r="NKQ5" s="59"/>
      <c r="NKR5" s="59"/>
      <c r="NKS5" s="59"/>
      <c r="NKT5" s="59"/>
      <c r="NKU5" s="59"/>
      <c r="NKV5" s="59"/>
      <c r="NKW5" s="59"/>
      <c r="NKX5" s="59"/>
      <c r="NKY5" s="59"/>
      <c r="NKZ5" s="59"/>
      <c r="NLA5" s="59"/>
      <c r="NLB5" s="59"/>
      <c r="NLC5" s="59"/>
      <c r="NLD5" s="59"/>
      <c r="NLE5" s="59"/>
      <c r="NLF5" s="59"/>
      <c r="NLG5" s="59"/>
      <c r="NLH5" s="59"/>
      <c r="NLI5" s="59"/>
      <c r="NLJ5" s="59"/>
      <c r="NLK5" s="59"/>
      <c r="NLL5" s="59"/>
      <c r="NLM5" s="59"/>
      <c r="NLN5" s="59"/>
      <c r="NLO5" s="59"/>
      <c r="NLP5" s="59"/>
      <c r="NLQ5" s="59"/>
      <c r="NLR5" s="59"/>
      <c r="NLS5" s="59"/>
      <c r="NLT5" s="59"/>
      <c r="NLU5" s="59"/>
      <c r="NLV5" s="59"/>
      <c r="NLW5" s="59"/>
      <c r="NLX5" s="59"/>
      <c r="NLY5" s="59"/>
      <c r="NLZ5" s="59"/>
      <c r="NMA5" s="59"/>
      <c r="NMB5" s="59"/>
      <c r="NMC5" s="59"/>
      <c r="NMD5" s="59"/>
      <c r="NME5" s="59"/>
      <c r="NMF5" s="59"/>
      <c r="NMG5" s="59"/>
      <c r="NMH5" s="59"/>
      <c r="NMI5" s="59"/>
      <c r="NMJ5" s="59"/>
      <c r="NMK5" s="59"/>
      <c r="NML5" s="59"/>
      <c r="NMM5" s="59"/>
      <c r="NMN5" s="59"/>
      <c r="NMO5" s="59"/>
      <c r="NMP5" s="59"/>
      <c r="NMQ5" s="59"/>
      <c r="NMR5" s="59"/>
      <c r="NMS5" s="59"/>
      <c r="NMT5" s="59"/>
      <c r="NMU5" s="59"/>
      <c r="NMV5" s="59"/>
      <c r="NMW5" s="59"/>
      <c r="NMX5" s="59"/>
      <c r="NMY5" s="59"/>
      <c r="NMZ5" s="59"/>
      <c r="NNA5" s="59"/>
      <c r="NNB5" s="59"/>
      <c r="NNC5" s="59"/>
      <c r="NND5" s="59"/>
      <c r="NNE5" s="59"/>
      <c r="NNF5" s="59"/>
      <c r="NNG5" s="59"/>
      <c r="NNH5" s="59"/>
      <c r="NNI5" s="59"/>
      <c r="NNJ5" s="59"/>
      <c r="NNK5" s="59"/>
      <c r="NNL5" s="59"/>
      <c r="NNM5" s="59"/>
      <c r="NNN5" s="59"/>
      <c r="NNO5" s="59"/>
      <c r="NNP5" s="59"/>
      <c r="NNQ5" s="59"/>
      <c r="NNR5" s="59"/>
      <c r="NNS5" s="59"/>
      <c r="NNT5" s="59"/>
      <c r="NNU5" s="59"/>
      <c r="NNV5" s="59"/>
      <c r="NNW5" s="59"/>
      <c r="NNX5" s="59"/>
      <c r="NNY5" s="59"/>
      <c r="NNZ5" s="59"/>
      <c r="NOA5" s="59"/>
      <c r="NOB5" s="59"/>
      <c r="NOC5" s="59"/>
      <c r="NOD5" s="59"/>
      <c r="NOE5" s="59"/>
      <c r="NOF5" s="59"/>
      <c r="NOG5" s="59"/>
      <c r="NOH5" s="59"/>
      <c r="NOI5" s="59"/>
      <c r="NOJ5" s="59"/>
      <c r="NOK5" s="59"/>
      <c r="NOL5" s="59"/>
      <c r="NOM5" s="59"/>
      <c r="NON5" s="59"/>
      <c r="NOO5" s="59"/>
      <c r="NOP5" s="59"/>
      <c r="NOQ5" s="59"/>
      <c r="NOR5" s="59"/>
      <c r="NOS5" s="59"/>
      <c r="NOT5" s="59"/>
      <c r="NOU5" s="59"/>
      <c r="NOV5" s="59"/>
      <c r="NOW5" s="59"/>
      <c r="NOX5" s="59"/>
      <c r="NOY5" s="59"/>
      <c r="NOZ5" s="59"/>
      <c r="NPA5" s="59"/>
      <c r="NPB5" s="59"/>
      <c r="NPC5" s="59"/>
      <c r="NPD5" s="59"/>
      <c r="NPE5" s="59"/>
      <c r="NPF5" s="59"/>
      <c r="NPG5" s="59"/>
      <c r="NPH5" s="59"/>
      <c r="NPI5" s="59"/>
      <c r="NPJ5" s="59"/>
      <c r="NPK5" s="59"/>
      <c r="NPL5" s="59"/>
      <c r="NPM5" s="59"/>
      <c r="NPN5" s="59"/>
      <c r="NPO5" s="59"/>
      <c r="NPP5" s="59"/>
      <c r="NPQ5" s="59"/>
      <c r="NPR5" s="59"/>
      <c r="NPS5" s="59"/>
      <c r="NPT5" s="59"/>
      <c r="NPU5" s="59"/>
      <c r="NPV5" s="59"/>
      <c r="NPW5" s="59"/>
      <c r="NPX5" s="59"/>
      <c r="NPY5" s="59"/>
      <c r="NPZ5" s="59"/>
      <c r="NQA5" s="59"/>
      <c r="NQB5" s="59"/>
      <c r="NQC5" s="59"/>
      <c r="NQD5" s="59"/>
      <c r="NQE5" s="59"/>
      <c r="NQF5" s="59"/>
      <c r="NQG5" s="59"/>
      <c r="NQH5" s="59"/>
      <c r="NQI5" s="59"/>
      <c r="NQJ5" s="59"/>
      <c r="NQK5" s="59"/>
      <c r="NQL5" s="59"/>
      <c r="NQM5" s="59"/>
      <c r="NQN5" s="59"/>
      <c r="NQO5" s="59"/>
      <c r="NQP5" s="59"/>
      <c r="NQQ5" s="59"/>
      <c r="NQR5" s="59"/>
      <c r="NQS5" s="59"/>
      <c r="NQT5" s="59"/>
      <c r="NQU5" s="59"/>
      <c r="NQV5" s="59"/>
      <c r="NQW5" s="59"/>
      <c r="NQX5" s="59"/>
      <c r="NQY5" s="59"/>
      <c r="NQZ5" s="59"/>
      <c r="NRA5" s="59"/>
      <c r="NRB5" s="59"/>
      <c r="NRC5" s="59"/>
      <c r="NRD5" s="59"/>
      <c r="NRE5" s="59"/>
      <c r="NRF5" s="59"/>
      <c r="NRG5" s="59"/>
      <c r="NRH5" s="59"/>
      <c r="NRI5" s="59"/>
      <c r="NRJ5" s="59"/>
      <c r="NRK5" s="59"/>
      <c r="NRL5" s="59"/>
      <c r="NRM5" s="59"/>
      <c r="NRN5" s="59"/>
      <c r="NRO5" s="59"/>
      <c r="NRP5" s="59"/>
      <c r="NRQ5" s="59"/>
      <c r="NRR5" s="59"/>
      <c r="NRS5" s="59"/>
      <c r="NRT5" s="59"/>
      <c r="NRU5" s="59"/>
      <c r="NRV5" s="59"/>
      <c r="NRW5" s="59"/>
      <c r="NRX5" s="59"/>
      <c r="NRY5" s="59"/>
      <c r="NRZ5" s="59"/>
      <c r="NSA5" s="59"/>
      <c r="NSB5" s="59"/>
      <c r="NSC5" s="59"/>
      <c r="NSD5" s="59"/>
      <c r="NSE5" s="59"/>
      <c r="NSF5" s="59"/>
      <c r="NSG5" s="59"/>
      <c r="NSH5" s="59"/>
      <c r="NSI5" s="59"/>
      <c r="NSJ5" s="59"/>
      <c r="NSK5" s="59"/>
      <c r="NSL5" s="59"/>
      <c r="NSM5" s="59"/>
      <c r="NSN5" s="59"/>
      <c r="NSO5" s="59"/>
      <c r="NSP5" s="59"/>
      <c r="NSQ5" s="59"/>
      <c r="NSR5" s="59"/>
      <c r="NSS5" s="59"/>
      <c r="NST5" s="59"/>
      <c r="NSU5" s="59"/>
      <c r="NSV5" s="59"/>
      <c r="NSW5" s="59"/>
      <c r="NSX5" s="59"/>
      <c r="NSY5" s="59"/>
      <c r="NSZ5" s="59"/>
      <c r="NTA5" s="59"/>
      <c r="NTB5" s="59"/>
      <c r="NTC5" s="59"/>
      <c r="NTD5" s="59"/>
      <c r="NTE5" s="59"/>
      <c r="NTF5" s="59"/>
      <c r="NTG5" s="59"/>
      <c r="NTH5" s="59"/>
      <c r="NTI5" s="59"/>
      <c r="NTJ5" s="59"/>
      <c r="NTK5" s="59"/>
      <c r="NTL5" s="59"/>
      <c r="NTM5" s="59"/>
      <c r="NTN5" s="59"/>
      <c r="NTO5" s="59"/>
      <c r="NTP5" s="59"/>
      <c r="NTQ5" s="59"/>
      <c r="NTR5" s="59"/>
      <c r="NTS5" s="59"/>
      <c r="NTT5" s="59"/>
      <c r="NTU5" s="59"/>
      <c r="NTV5" s="59"/>
      <c r="NTW5" s="59"/>
      <c r="NTX5" s="59"/>
      <c r="NTY5" s="59"/>
      <c r="NTZ5" s="59"/>
      <c r="NUA5" s="59"/>
      <c r="NUB5" s="59"/>
      <c r="NUC5" s="59"/>
      <c r="NUD5" s="59"/>
      <c r="NUE5" s="59"/>
      <c r="NUF5" s="59"/>
      <c r="NUG5" s="59"/>
      <c r="NUH5" s="59"/>
      <c r="NUI5" s="59"/>
      <c r="NUJ5" s="59"/>
      <c r="NUK5" s="59"/>
      <c r="NUL5" s="59"/>
      <c r="NUM5" s="59"/>
      <c r="NUN5" s="59"/>
      <c r="NUO5" s="59"/>
      <c r="NUP5" s="59"/>
      <c r="NUQ5" s="59"/>
      <c r="NUR5" s="59"/>
      <c r="NUS5" s="59"/>
      <c r="NUT5" s="59"/>
      <c r="NUU5" s="59"/>
      <c r="NUV5" s="59"/>
      <c r="NUW5" s="59"/>
      <c r="NUX5" s="59"/>
      <c r="NUY5" s="59"/>
      <c r="NUZ5" s="59"/>
      <c r="NVA5" s="59"/>
      <c r="NVB5" s="59"/>
      <c r="NVC5" s="59"/>
      <c r="NVD5" s="59"/>
      <c r="NVE5" s="59"/>
      <c r="NVF5" s="59"/>
      <c r="NVG5" s="59"/>
      <c r="NVH5" s="59"/>
      <c r="NVI5" s="59"/>
      <c r="NVJ5" s="59"/>
      <c r="NVK5" s="59"/>
      <c r="NVL5" s="59"/>
      <c r="NVM5" s="59"/>
      <c r="NVN5" s="59"/>
      <c r="NVO5" s="59"/>
      <c r="NVP5" s="59"/>
      <c r="NVQ5" s="59"/>
      <c r="NVR5" s="59"/>
      <c r="NVS5" s="59"/>
      <c r="NVT5" s="59"/>
      <c r="NVU5" s="59"/>
      <c r="NVV5" s="59"/>
      <c r="NVW5" s="59"/>
      <c r="NVX5" s="59"/>
      <c r="NVY5" s="59"/>
      <c r="NVZ5" s="59"/>
      <c r="NWA5" s="59"/>
      <c r="NWB5" s="59"/>
      <c r="NWC5" s="59"/>
      <c r="NWD5" s="59"/>
      <c r="NWE5" s="59"/>
      <c r="NWF5" s="59"/>
      <c r="NWG5" s="59"/>
      <c r="NWH5" s="59"/>
      <c r="NWI5" s="59"/>
      <c r="NWJ5" s="59"/>
      <c r="NWK5" s="59"/>
      <c r="NWL5" s="59"/>
      <c r="NWM5" s="59"/>
      <c r="NWN5" s="59"/>
      <c r="NWO5" s="59"/>
      <c r="NWP5" s="59"/>
      <c r="NWQ5" s="59"/>
      <c r="NWR5" s="59"/>
      <c r="NWS5" s="59"/>
      <c r="NWT5" s="59"/>
      <c r="NWU5" s="59"/>
      <c r="NWV5" s="59"/>
      <c r="NWW5" s="59"/>
      <c r="NWX5" s="59"/>
      <c r="NWY5" s="59"/>
      <c r="NWZ5" s="59"/>
      <c r="NXA5" s="59"/>
      <c r="NXB5" s="59"/>
      <c r="NXC5" s="59"/>
      <c r="NXD5" s="59"/>
      <c r="NXE5" s="59"/>
      <c r="NXF5" s="59"/>
      <c r="NXG5" s="59"/>
      <c r="NXH5" s="59"/>
      <c r="NXI5" s="59"/>
      <c r="NXJ5" s="59"/>
      <c r="NXK5" s="59"/>
      <c r="NXL5" s="59"/>
      <c r="NXM5" s="59"/>
      <c r="NXN5" s="59"/>
      <c r="NXO5" s="59"/>
      <c r="NXP5" s="59"/>
      <c r="NXQ5" s="59"/>
      <c r="NXR5" s="59"/>
      <c r="NXS5" s="59"/>
      <c r="NXT5" s="59"/>
      <c r="NXU5" s="59"/>
      <c r="NXV5" s="59"/>
      <c r="NXW5" s="59"/>
      <c r="NXX5" s="59"/>
      <c r="NXY5" s="59"/>
      <c r="NXZ5" s="59"/>
      <c r="NYA5" s="59"/>
      <c r="NYB5" s="59"/>
      <c r="NYC5" s="59"/>
      <c r="NYD5" s="59"/>
      <c r="NYE5" s="59"/>
      <c r="NYF5" s="59"/>
      <c r="NYG5" s="59"/>
      <c r="NYH5" s="59"/>
      <c r="NYI5" s="59"/>
      <c r="NYJ5" s="59"/>
      <c r="NYK5" s="59"/>
      <c r="NYL5" s="59"/>
      <c r="NYM5" s="59"/>
      <c r="NYN5" s="59"/>
      <c r="NYO5" s="59"/>
      <c r="NYP5" s="59"/>
      <c r="NYQ5" s="59"/>
      <c r="NYR5" s="59"/>
      <c r="NYS5" s="59"/>
      <c r="NYT5" s="59"/>
      <c r="NYU5" s="59"/>
      <c r="NYV5" s="59"/>
      <c r="NYW5" s="59"/>
      <c r="NYX5" s="59"/>
      <c r="NYY5" s="59"/>
      <c r="NYZ5" s="59"/>
      <c r="NZA5" s="59"/>
      <c r="NZB5" s="59"/>
      <c r="NZC5" s="59"/>
      <c r="NZD5" s="59"/>
      <c r="NZE5" s="59"/>
      <c r="NZF5" s="59"/>
      <c r="NZG5" s="59"/>
      <c r="NZH5" s="59"/>
      <c r="NZI5" s="59"/>
      <c r="NZJ5" s="59"/>
      <c r="NZK5" s="59"/>
      <c r="NZL5" s="59"/>
      <c r="NZM5" s="59"/>
      <c r="NZN5" s="59"/>
      <c r="NZO5" s="59"/>
      <c r="NZP5" s="59"/>
      <c r="NZQ5" s="59"/>
      <c r="NZR5" s="59"/>
      <c r="NZS5" s="59"/>
      <c r="NZT5" s="59"/>
      <c r="NZU5" s="59"/>
      <c r="NZV5" s="59"/>
      <c r="NZW5" s="59"/>
      <c r="NZX5" s="59"/>
      <c r="NZY5" s="59"/>
      <c r="NZZ5" s="59"/>
      <c r="OAA5" s="59"/>
      <c r="OAB5" s="59"/>
      <c r="OAC5" s="59"/>
      <c r="OAD5" s="59"/>
      <c r="OAE5" s="59"/>
      <c r="OAF5" s="59"/>
      <c r="OAG5" s="59"/>
      <c r="OAH5" s="59"/>
      <c r="OAI5" s="59"/>
      <c r="OAJ5" s="59"/>
      <c r="OAK5" s="59"/>
      <c r="OAL5" s="59"/>
      <c r="OAM5" s="59"/>
      <c r="OAN5" s="59"/>
      <c r="OAO5" s="59"/>
      <c r="OAP5" s="59"/>
      <c r="OAQ5" s="59"/>
      <c r="OAR5" s="59"/>
      <c r="OAS5" s="59"/>
      <c r="OAT5" s="59"/>
      <c r="OAU5" s="59"/>
      <c r="OAV5" s="59"/>
      <c r="OAW5" s="59"/>
      <c r="OAX5" s="59"/>
      <c r="OAY5" s="59"/>
      <c r="OAZ5" s="59"/>
      <c r="OBA5" s="59"/>
      <c r="OBB5" s="59"/>
      <c r="OBC5" s="59"/>
      <c r="OBD5" s="59"/>
      <c r="OBE5" s="59"/>
      <c r="OBF5" s="59"/>
      <c r="OBG5" s="59"/>
      <c r="OBH5" s="59"/>
      <c r="OBI5" s="59"/>
      <c r="OBJ5" s="59"/>
      <c r="OBK5" s="59"/>
      <c r="OBL5" s="59"/>
      <c r="OBM5" s="59"/>
      <c r="OBN5" s="59"/>
      <c r="OBO5" s="59"/>
      <c r="OBP5" s="59"/>
      <c r="OBQ5" s="59"/>
      <c r="OBR5" s="59"/>
      <c r="OBS5" s="59"/>
      <c r="OBT5" s="59"/>
      <c r="OBU5" s="59"/>
      <c r="OBV5" s="59"/>
      <c r="OBW5" s="59"/>
      <c r="OBX5" s="59"/>
      <c r="OBY5" s="59"/>
      <c r="OBZ5" s="59"/>
      <c r="OCA5" s="59"/>
      <c r="OCB5" s="59"/>
      <c r="OCC5" s="59"/>
      <c r="OCD5" s="59"/>
      <c r="OCE5" s="59"/>
      <c r="OCF5" s="59"/>
      <c r="OCG5" s="59"/>
      <c r="OCH5" s="59"/>
      <c r="OCI5" s="59"/>
      <c r="OCJ5" s="59"/>
      <c r="OCK5" s="59"/>
      <c r="OCL5" s="59"/>
      <c r="OCM5" s="59"/>
      <c r="OCN5" s="59"/>
      <c r="OCO5" s="59"/>
      <c r="OCP5" s="59"/>
      <c r="OCQ5" s="59"/>
      <c r="OCR5" s="59"/>
      <c r="OCS5" s="59"/>
      <c r="OCT5" s="59"/>
      <c r="OCU5" s="59"/>
      <c r="OCV5" s="59"/>
      <c r="OCW5" s="59"/>
      <c r="OCX5" s="59"/>
      <c r="OCY5" s="59"/>
      <c r="OCZ5" s="59"/>
      <c r="ODA5" s="59"/>
      <c r="ODB5" s="59"/>
      <c r="ODC5" s="59"/>
      <c r="ODD5" s="59"/>
      <c r="ODE5" s="59"/>
      <c r="ODF5" s="59"/>
      <c r="ODG5" s="59"/>
      <c r="ODH5" s="59"/>
      <c r="ODI5" s="59"/>
      <c r="ODJ5" s="59"/>
      <c r="ODK5" s="59"/>
      <c r="ODL5" s="59"/>
      <c r="ODM5" s="59"/>
      <c r="ODN5" s="59"/>
      <c r="ODO5" s="59"/>
      <c r="ODP5" s="59"/>
      <c r="ODQ5" s="59"/>
      <c r="ODR5" s="59"/>
      <c r="ODS5" s="59"/>
      <c r="ODT5" s="59"/>
      <c r="ODU5" s="59"/>
      <c r="ODV5" s="59"/>
      <c r="ODW5" s="59"/>
      <c r="ODX5" s="59"/>
      <c r="ODY5" s="59"/>
      <c r="ODZ5" s="59"/>
      <c r="OEA5" s="59"/>
      <c r="OEB5" s="59"/>
      <c r="OEC5" s="59"/>
      <c r="OED5" s="59"/>
      <c r="OEE5" s="59"/>
      <c r="OEF5" s="59"/>
      <c r="OEG5" s="59"/>
      <c r="OEH5" s="59"/>
      <c r="OEI5" s="59"/>
      <c r="OEJ5" s="59"/>
      <c r="OEK5" s="59"/>
      <c r="OEL5" s="59"/>
      <c r="OEM5" s="59"/>
      <c r="OEN5" s="59"/>
      <c r="OEO5" s="59"/>
      <c r="OEP5" s="59"/>
      <c r="OEQ5" s="59"/>
      <c r="OER5" s="59"/>
      <c r="OES5" s="59"/>
      <c r="OET5" s="59"/>
      <c r="OEU5" s="59"/>
      <c r="OEV5" s="59"/>
      <c r="OEW5" s="59"/>
      <c r="OEX5" s="59"/>
      <c r="OEY5" s="59"/>
      <c r="OEZ5" s="59"/>
      <c r="OFA5" s="59"/>
      <c r="OFB5" s="59"/>
      <c r="OFC5" s="59"/>
      <c r="OFD5" s="59"/>
      <c r="OFE5" s="59"/>
      <c r="OFF5" s="59"/>
      <c r="OFG5" s="59"/>
      <c r="OFH5" s="59"/>
      <c r="OFI5" s="59"/>
      <c r="OFJ5" s="59"/>
      <c r="OFK5" s="59"/>
      <c r="OFL5" s="59"/>
      <c r="OFM5" s="59"/>
      <c r="OFN5" s="59"/>
      <c r="OFO5" s="59"/>
      <c r="OFP5" s="59"/>
      <c r="OFQ5" s="59"/>
      <c r="OFR5" s="59"/>
      <c r="OFS5" s="59"/>
      <c r="OFT5" s="59"/>
      <c r="OFU5" s="59"/>
      <c r="OFV5" s="59"/>
      <c r="OFW5" s="59"/>
      <c r="OFX5" s="59"/>
      <c r="OFY5" s="59"/>
      <c r="OFZ5" s="59"/>
      <c r="OGA5" s="59"/>
      <c r="OGB5" s="59"/>
      <c r="OGC5" s="59"/>
      <c r="OGD5" s="59"/>
      <c r="OGE5" s="59"/>
      <c r="OGF5" s="59"/>
      <c r="OGG5" s="59"/>
      <c r="OGH5" s="59"/>
      <c r="OGI5" s="59"/>
      <c r="OGJ5" s="59"/>
      <c r="OGK5" s="59"/>
      <c r="OGL5" s="59"/>
      <c r="OGM5" s="59"/>
      <c r="OGN5" s="59"/>
      <c r="OGO5" s="59"/>
      <c r="OGP5" s="59"/>
      <c r="OGQ5" s="59"/>
      <c r="OGR5" s="59"/>
      <c r="OGS5" s="59"/>
      <c r="OGT5" s="59"/>
      <c r="OGU5" s="59"/>
      <c r="OGV5" s="59"/>
      <c r="OGW5" s="59"/>
      <c r="OGX5" s="59"/>
      <c r="OGY5" s="59"/>
      <c r="OGZ5" s="59"/>
      <c r="OHA5" s="59"/>
      <c r="OHB5" s="59"/>
      <c r="OHC5" s="59"/>
      <c r="OHD5" s="59"/>
      <c r="OHE5" s="59"/>
      <c r="OHF5" s="59"/>
      <c r="OHG5" s="59"/>
      <c r="OHH5" s="59"/>
      <c r="OHI5" s="59"/>
      <c r="OHJ5" s="59"/>
      <c r="OHK5" s="59"/>
      <c r="OHL5" s="59"/>
      <c r="OHM5" s="59"/>
      <c r="OHN5" s="59"/>
      <c r="OHO5" s="59"/>
      <c r="OHP5" s="59"/>
      <c r="OHQ5" s="59"/>
      <c r="OHR5" s="59"/>
      <c r="OHS5" s="59"/>
      <c r="OHT5" s="59"/>
      <c r="OHU5" s="59"/>
      <c r="OHV5" s="59"/>
      <c r="OHW5" s="59"/>
      <c r="OHX5" s="59"/>
      <c r="OHY5" s="59"/>
      <c r="OHZ5" s="59"/>
      <c r="OIA5" s="59"/>
      <c r="OIB5" s="59"/>
      <c r="OIC5" s="59"/>
      <c r="OID5" s="59"/>
      <c r="OIE5" s="59"/>
      <c r="OIF5" s="59"/>
      <c r="OIG5" s="59"/>
      <c r="OIH5" s="59"/>
      <c r="OII5" s="59"/>
      <c r="OIJ5" s="59"/>
      <c r="OIK5" s="59"/>
      <c r="OIL5" s="59"/>
      <c r="OIM5" s="59"/>
      <c r="OIN5" s="59"/>
      <c r="OIO5" s="59"/>
      <c r="OIP5" s="59"/>
      <c r="OIQ5" s="59"/>
      <c r="OIR5" s="59"/>
      <c r="OIS5" s="59"/>
      <c r="OIT5" s="59"/>
      <c r="OIU5" s="59"/>
      <c r="OIV5" s="59"/>
      <c r="OIW5" s="59"/>
      <c r="OIX5" s="59"/>
      <c r="OIY5" s="59"/>
      <c r="OIZ5" s="59"/>
      <c r="OJA5" s="59"/>
      <c r="OJB5" s="59"/>
      <c r="OJC5" s="59"/>
      <c r="OJD5" s="59"/>
      <c r="OJE5" s="59"/>
      <c r="OJF5" s="59"/>
      <c r="OJG5" s="59"/>
      <c r="OJH5" s="59"/>
      <c r="OJI5" s="59"/>
      <c r="OJJ5" s="59"/>
      <c r="OJK5" s="59"/>
      <c r="OJL5" s="59"/>
      <c r="OJM5" s="59"/>
      <c r="OJN5" s="59"/>
      <c r="OJO5" s="59"/>
      <c r="OJP5" s="59"/>
      <c r="OJQ5" s="59"/>
      <c r="OJR5" s="59"/>
      <c r="OJS5" s="59"/>
      <c r="OJT5" s="59"/>
      <c r="OJU5" s="59"/>
      <c r="OJV5" s="59"/>
      <c r="OJW5" s="59"/>
      <c r="OJX5" s="59"/>
      <c r="OJY5" s="59"/>
      <c r="OJZ5" s="59"/>
      <c r="OKA5" s="59"/>
      <c r="OKB5" s="59"/>
      <c r="OKC5" s="59"/>
      <c r="OKD5" s="59"/>
      <c r="OKE5" s="59"/>
      <c r="OKF5" s="59"/>
      <c r="OKG5" s="59"/>
      <c r="OKH5" s="59"/>
      <c r="OKI5" s="59"/>
      <c r="OKJ5" s="59"/>
      <c r="OKK5" s="59"/>
      <c r="OKL5" s="59"/>
      <c r="OKM5" s="59"/>
      <c r="OKN5" s="59"/>
      <c r="OKO5" s="59"/>
      <c r="OKP5" s="59"/>
      <c r="OKQ5" s="59"/>
      <c r="OKR5" s="59"/>
      <c r="OKS5" s="59"/>
      <c r="OKT5" s="59"/>
      <c r="OKU5" s="59"/>
      <c r="OKV5" s="59"/>
      <c r="OKW5" s="59"/>
      <c r="OKX5" s="59"/>
      <c r="OKY5" s="59"/>
      <c r="OKZ5" s="59"/>
      <c r="OLA5" s="59"/>
      <c r="OLB5" s="59"/>
      <c r="OLC5" s="59"/>
      <c r="OLD5" s="59"/>
      <c r="OLE5" s="59"/>
      <c r="OLF5" s="59"/>
      <c r="OLG5" s="59"/>
      <c r="OLH5" s="59"/>
      <c r="OLI5" s="59"/>
      <c r="OLJ5" s="59"/>
      <c r="OLK5" s="59"/>
      <c r="OLL5" s="59"/>
      <c r="OLM5" s="59"/>
      <c r="OLN5" s="59"/>
      <c r="OLO5" s="59"/>
      <c r="OLP5" s="59"/>
      <c r="OLQ5" s="59"/>
      <c r="OLR5" s="59"/>
      <c r="OLS5" s="59"/>
      <c r="OLT5" s="59"/>
      <c r="OLU5" s="59"/>
      <c r="OLV5" s="59"/>
      <c r="OLW5" s="59"/>
      <c r="OLX5" s="59"/>
      <c r="OLY5" s="59"/>
      <c r="OLZ5" s="59"/>
      <c r="OMA5" s="59"/>
      <c r="OMB5" s="59"/>
      <c r="OMC5" s="59"/>
      <c r="OMD5" s="59"/>
      <c r="OME5" s="59"/>
      <c r="OMF5" s="59"/>
      <c r="OMG5" s="59"/>
      <c r="OMH5" s="59"/>
      <c r="OMI5" s="59"/>
      <c r="OMJ5" s="59"/>
      <c r="OMK5" s="59"/>
      <c r="OML5" s="59"/>
      <c r="OMM5" s="59"/>
      <c r="OMN5" s="59"/>
      <c r="OMO5" s="59"/>
      <c r="OMP5" s="59"/>
      <c r="OMQ5" s="59"/>
      <c r="OMR5" s="59"/>
      <c r="OMS5" s="59"/>
      <c r="OMT5" s="59"/>
      <c r="OMU5" s="59"/>
      <c r="OMV5" s="59"/>
      <c r="OMW5" s="59"/>
      <c r="OMX5" s="59"/>
      <c r="OMY5" s="59"/>
      <c r="OMZ5" s="59"/>
      <c r="ONA5" s="59"/>
      <c r="ONB5" s="59"/>
      <c r="ONC5" s="59"/>
      <c r="OND5" s="59"/>
      <c r="ONE5" s="59"/>
      <c r="ONF5" s="59"/>
      <c r="ONG5" s="59"/>
      <c r="ONH5" s="59"/>
      <c r="ONI5" s="59"/>
      <c r="ONJ5" s="59"/>
      <c r="ONK5" s="59"/>
      <c r="ONL5" s="59"/>
      <c r="ONM5" s="59"/>
      <c r="ONN5" s="59"/>
      <c r="ONO5" s="59"/>
      <c r="ONP5" s="59"/>
      <c r="ONQ5" s="59"/>
      <c r="ONR5" s="59"/>
      <c r="ONS5" s="59"/>
      <c r="ONT5" s="59"/>
      <c r="ONU5" s="59"/>
      <c r="ONV5" s="59"/>
      <c r="ONW5" s="59"/>
      <c r="ONX5" s="59"/>
      <c r="ONY5" s="59"/>
      <c r="ONZ5" s="59"/>
      <c r="OOA5" s="59"/>
      <c r="OOB5" s="59"/>
      <c r="OOC5" s="59"/>
      <c r="OOD5" s="59"/>
      <c r="OOE5" s="59"/>
      <c r="OOF5" s="59"/>
      <c r="OOG5" s="59"/>
      <c r="OOH5" s="59"/>
      <c r="OOI5" s="59"/>
      <c r="OOJ5" s="59"/>
      <c r="OOK5" s="59"/>
      <c r="OOL5" s="59"/>
      <c r="OOM5" s="59"/>
      <c r="OON5" s="59"/>
      <c r="OOO5" s="59"/>
      <c r="OOP5" s="59"/>
      <c r="OOQ5" s="59"/>
      <c r="OOR5" s="59"/>
      <c r="OOS5" s="59"/>
      <c r="OOT5" s="59"/>
      <c r="OOU5" s="59"/>
      <c r="OOV5" s="59"/>
      <c r="OOW5" s="59"/>
      <c r="OOX5" s="59"/>
      <c r="OOY5" s="59"/>
      <c r="OOZ5" s="59"/>
      <c r="OPA5" s="59"/>
      <c r="OPB5" s="59"/>
      <c r="OPC5" s="59"/>
      <c r="OPD5" s="59"/>
      <c r="OPE5" s="59"/>
      <c r="OPF5" s="59"/>
      <c r="OPG5" s="59"/>
      <c r="OPH5" s="59"/>
      <c r="OPI5" s="59"/>
      <c r="OPJ5" s="59"/>
      <c r="OPK5" s="59"/>
      <c r="OPL5" s="59"/>
      <c r="OPM5" s="59"/>
      <c r="OPN5" s="59"/>
      <c r="OPO5" s="59"/>
      <c r="OPP5" s="59"/>
      <c r="OPQ5" s="59"/>
      <c r="OPR5" s="59"/>
      <c r="OPS5" s="59"/>
      <c r="OPT5" s="59"/>
      <c r="OPU5" s="59"/>
      <c r="OPV5" s="59"/>
      <c r="OPW5" s="59"/>
      <c r="OPX5" s="59"/>
      <c r="OPY5" s="59"/>
      <c r="OPZ5" s="59"/>
      <c r="OQA5" s="59"/>
      <c r="OQB5" s="59"/>
      <c r="OQC5" s="59"/>
      <c r="OQD5" s="59"/>
      <c r="OQE5" s="59"/>
      <c r="OQF5" s="59"/>
      <c r="OQG5" s="59"/>
      <c r="OQH5" s="59"/>
      <c r="OQI5" s="59"/>
      <c r="OQJ5" s="59"/>
      <c r="OQK5" s="59"/>
      <c r="OQL5" s="59"/>
      <c r="OQM5" s="59"/>
      <c r="OQN5" s="59"/>
      <c r="OQO5" s="59"/>
      <c r="OQP5" s="59"/>
      <c r="OQQ5" s="59"/>
      <c r="OQR5" s="59"/>
      <c r="OQS5" s="59"/>
      <c r="OQT5" s="59"/>
      <c r="OQU5" s="59"/>
      <c r="OQV5" s="59"/>
      <c r="OQW5" s="59"/>
      <c r="OQX5" s="59"/>
      <c r="OQY5" s="59"/>
      <c r="OQZ5" s="59"/>
      <c r="ORA5" s="59"/>
      <c r="ORB5" s="59"/>
      <c r="ORC5" s="59"/>
      <c r="ORD5" s="59"/>
      <c r="ORE5" s="59"/>
      <c r="ORF5" s="59"/>
      <c r="ORG5" s="59"/>
      <c r="ORH5" s="59"/>
      <c r="ORI5" s="59"/>
      <c r="ORJ5" s="59"/>
      <c r="ORK5" s="59"/>
      <c r="ORL5" s="59"/>
      <c r="ORM5" s="59"/>
      <c r="ORN5" s="59"/>
      <c r="ORO5" s="59"/>
      <c r="ORP5" s="59"/>
      <c r="ORQ5" s="59"/>
      <c r="ORR5" s="59"/>
      <c r="ORS5" s="59"/>
      <c r="ORT5" s="59"/>
      <c r="ORU5" s="59"/>
      <c r="ORV5" s="59"/>
      <c r="ORW5" s="59"/>
      <c r="ORX5" s="59"/>
      <c r="ORY5" s="59"/>
      <c r="ORZ5" s="59"/>
      <c r="OSA5" s="59"/>
      <c r="OSB5" s="59"/>
      <c r="OSC5" s="59"/>
      <c r="OSD5" s="59"/>
      <c r="OSE5" s="59"/>
      <c r="OSF5" s="59"/>
      <c r="OSG5" s="59"/>
      <c r="OSH5" s="59"/>
      <c r="OSI5" s="59"/>
      <c r="OSJ5" s="59"/>
      <c r="OSK5" s="59"/>
      <c r="OSL5" s="59"/>
      <c r="OSM5" s="59"/>
      <c r="OSN5" s="59"/>
      <c r="OSO5" s="59"/>
      <c r="OSP5" s="59"/>
      <c r="OSQ5" s="59"/>
      <c r="OSR5" s="59"/>
      <c r="OSS5" s="59"/>
      <c r="OST5" s="59"/>
      <c r="OSU5" s="59"/>
      <c r="OSV5" s="59"/>
      <c r="OSW5" s="59"/>
      <c r="OSX5" s="59"/>
      <c r="OSY5" s="59"/>
      <c r="OSZ5" s="59"/>
      <c r="OTA5" s="59"/>
      <c r="OTB5" s="59"/>
      <c r="OTC5" s="59"/>
      <c r="OTD5" s="59"/>
      <c r="OTE5" s="59"/>
      <c r="OTF5" s="59"/>
      <c r="OTG5" s="59"/>
      <c r="OTH5" s="59"/>
      <c r="OTI5" s="59"/>
      <c r="OTJ5" s="59"/>
      <c r="OTK5" s="59"/>
      <c r="OTL5" s="59"/>
      <c r="OTM5" s="59"/>
      <c r="OTN5" s="59"/>
      <c r="OTO5" s="59"/>
      <c r="OTP5" s="59"/>
      <c r="OTQ5" s="59"/>
      <c r="OTR5" s="59"/>
      <c r="OTS5" s="59"/>
      <c r="OTT5" s="59"/>
      <c r="OTU5" s="59"/>
      <c r="OTV5" s="59"/>
      <c r="OTW5" s="59"/>
      <c r="OTX5" s="59"/>
      <c r="OTY5" s="59"/>
      <c r="OTZ5" s="59"/>
      <c r="OUA5" s="59"/>
      <c r="OUB5" s="59"/>
      <c r="OUC5" s="59"/>
      <c r="OUD5" s="59"/>
      <c r="OUE5" s="59"/>
      <c r="OUF5" s="59"/>
      <c r="OUG5" s="59"/>
      <c r="OUH5" s="59"/>
      <c r="OUI5" s="59"/>
      <c r="OUJ5" s="59"/>
      <c r="OUK5" s="59"/>
      <c r="OUL5" s="59"/>
      <c r="OUM5" s="59"/>
      <c r="OUN5" s="59"/>
      <c r="OUO5" s="59"/>
      <c r="OUP5" s="59"/>
      <c r="OUQ5" s="59"/>
      <c r="OUR5" s="59"/>
      <c r="OUS5" s="59"/>
      <c r="OUT5" s="59"/>
      <c r="OUU5" s="59"/>
      <c r="OUV5" s="59"/>
      <c r="OUW5" s="59"/>
      <c r="OUX5" s="59"/>
      <c r="OUY5" s="59"/>
      <c r="OUZ5" s="59"/>
      <c r="OVA5" s="59"/>
      <c r="OVB5" s="59"/>
      <c r="OVC5" s="59"/>
      <c r="OVD5" s="59"/>
      <c r="OVE5" s="59"/>
      <c r="OVF5" s="59"/>
      <c r="OVG5" s="59"/>
      <c r="OVH5" s="59"/>
      <c r="OVI5" s="59"/>
      <c r="OVJ5" s="59"/>
      <c r="OVK5" s="59"/>
      <c r="OVL5" s="59"/>
      <c r="OVM5" s="59"/>
      <c r="OVN5" s="59"/>
      <c r="OVO5" s="59"/>
      <c r="OVP5" s="59"/>
      <c r="OVQ5" s="59"/>
      <c r="OVR5" s="59"/>
      <c r="OVS5" s="59"/>
      <c r="OVT5" s="59"/>
      <c r="OVU5" s="59"/>
      <c r="OVV5" s="59"/>
      <c r="OVW5" s="59"/>
      <c r="OVX5" s="59"/>
      <c r="OVY5" s="59"/>
      <c r="OVZ5" s="59"/>
      <c r="OWA5" s="59"/>
      <c r="OWB5" s="59"/>
      <c r="OWC5" s="59"/>
      <c r="OWD5" s="59"/>
      <c r="OWE5" s="59"/>
      <c r="OWF5" s="59"/>
      <c r="OWG5" s="59"/>
      <c r="OWH5" s="59"/>
      <c r="OWI5" s="59"/>
      <c r="OWJ5" s="59"/>
      <c r="OWK5" s="59"/>
      <c r="OWL5" s="59"/>
      <c r="OWM5" s="59"/>
      <c r="OWN5" s="59"/>
      <c r="OWO5" s="59"/>
      <c r="OWP5" s="59"/>
      <c r="OWQ5" s="59"/>
      <c r="OWR5" s="59"/>
      <c r="OWS5" s="59"/>
      <c r="OWT5" s="59"/>
      <c r="OWU5" s="59"/>
      <c r="OWV5" s="59"/>
      <c r="OWW5" s="59"/>
      <c r="OWX5" s="59"/>
      <c r="OWY5" s="59"/>
      <c r="OWZ5" s="59"/>
      <c r="OXA5" s="59"/>
      <c r="OXB5" s="59"/>
      <c r="OXC5" s="59"/>
      <c r="OXD5" s="59"/>
      <c r="OXE5" s="59"/>
      <c r="OXF5" s="59"/>
      <c r="OXG5" s="59"/>
      <c r="OXH5" s="59"/>
      <c r="OXI5" s="59"/>
      <c r="OXJ5" s="59"/>
      <c r="OXK5" s="59"/>
      <c r="OXL5" s="59"/>
      <c r="OXM5" s="59"/>
      <c r="OXN5" s="59"/>
      <c r="OXO5" s="59"/>
      <c r="OXP5" s="59"/>
      <c r="OXQ5" s="59"/>
      <c r="OXR5" s="59"/>
      <c r="OXS5" s="59"/>
      <c r="OXT5" s="59"/>
      <c r="OXU5" s="59"/>
      <c r="OXV5" s="59"/>
      <c r="OXW5" s="59"/>
      <c r="OXX5" s="59"/>
      <c r="OXY5" s="59"/>
      <c r="OXZ5" s="59"/>
      <c r="OYA5" s="59"/>
      <c r="OYB5" s="59"/>
      <c r="OYC5" s="59"/>
      <c r="OYD5" s="59"/>
      <c r="OYE5" s="59"/>
      <c r="OYF5" s="59"/>
      <c r="OYG5" s="59"/>
      <c r="OYH5" s="59"/>
      <c r="OYI5" s="59"/>
      <c r="OYJ5" s="59"/>
      <c r="OYK5" s="59"/>
      <c r="OYL5" s="59"/>
      <c r="OYM5" s="59"/>
      <c r="OYN5" s="59"/>
      <c r="OYO5" s="59"/>
      <c r="OYP5" s="59"/>
      <c r="OYQ5" s="59"/>
      <c r="OYR5" s="59"/>
      <c r="OYS5" s="59"/>
      <c r="OYT5" s="59"/>
      <c r="OYU5" s="59"/>
      <c r="OYV5" s="59"/>
      <c r="OYW5" s="59"/>
      <c r="OYX5" s="59"/>
      <c r="OYY5" s="59"/>
      <c r="OYZ5" s="59"/>
      <c r="OZA5" s="59"/>
      <c r="OZB5" s="59"/>
      <c r="OZC5" s="59"/>
      <c r="OZD5" s="59"/>
      <c r="OZE5" s="59"/>
      <c r="OZF5" s="59"/>
      <c r="OZG5" s="59"/>
      <c r="OZH5" s="59"/>
      <c r="OZI5" s="59"/>
      <c r="OZJ5" s="59"/>
      <c r="OZK5" s="59"/>
      <c r="OZL5" s="59"/>
      <c r="OZM5" s="59"/>
      <c r="OZN5" s="59"/>
      <c r="OZO5" s="59"/>
      <c r="OZP5" s="59"/>
      <c r="OZQ5" s="59"/>
      <c r="OZR5" s="59"/>
      <c r="OZS5" s="59"/>
      <c r="OZT5" s="59"/>
      <c r="OZU5" s="59"/>
      <c r="OZV5" s="59"/>
      <c r="OZW5" s="59"/>
      <c r="OZX5" s="59"/>
      <c r="OZY5" s="59"/>
      <c r="OZZ5" s="59"/>
      <c r="PAA5" s="59"/>
      <c r="PAB5" s="59"/>
      <c r="PAC5" s="59"/>
      <c r="PAD5" s="59"/>
      <c r="PAE5" s="59"/>
      <c r="PAF5" s="59"/>
      <c r="PAG5" s="59"/>
      <c r="PAH5" s="59"/>
      <c r="PAI5" s="59"/>
      <c r="PAJ5" s="59"/>
      <c r="PAK5" s="59"/>
      <c r="PAL5" s="59"/>
      <c r="PAM5" s="59"/>
      <c r="PAN5" s="59"/>
      <c r="PAO5" s="59"/>
      <c r="PAP5" s="59"/>
      <c r="PAQ5" s="59"/>
      <c r="PAR5" s="59"/>
      <c r="PAS5" s="59"/>
      <c r="PAT5" s="59"/>
      <c r="PAU5" s="59"/>
      <c r="PAV5" s="59"/>
      <c r="PAW5" s="59"/>
      <c r="PAX5" s="59"/>
      <c r="PAY5" s="59"/>
      <c r="PAZ5" s="59"/>
      <c r="PBA5" s="59"/>
      <c r="PBB5" s="59"/>
      <c r="PBC5" s="59"/>
      <c r="PBD5" s="59"/>
      <c r="PBE5" s="59"/>
      <c r="PBF5" s="59"/>
      <c r="PBG5" s="59"/>
      <c r="PBH5" s="59"/>
      <c r="PBI5" s="59"/>
      <c r="PBJ5" s="59"/>
      <c r="PBK5" s="59"/>
      <c r="PBL5" s="59"/>
      <c r="PBM5" s="59"/>
      <c r="PBN5" s="59"/>
      <c r="PBO5" s="59"/>
      <c r="PBP5" s="59"/>
      <c r="PBQ5" s="59"/>
      <c r="PBR5" s="59"/>
      <c r="PBS5" s="59"/>
      <c r="PBT5" s="59"/>
      <c r="PBU5" s="59"/>
      <c r="PBV5" s="59"/>
      <c r="PBW5" s="59"/>
      <c r="PBX5" s="59"/>
      <c r="PBY5" s="59"/>
      <c r="PBZ5" s="59"/>
      <c r="PCA5" s="59"/>
      <c r="PCB5" s="59"/>
      <c r="PCC5" s="59"/>
      <c r="PCD5" s="59"/>
      <c r="PCE5" s="59"/>
      <c r="PCF5" s="59"/>
      <c r="PCG5" s="59"/>
      <c r="PCH5" s="59"/>
      <c r="PCI5" s="59"/>
      <c r="PCJ5" s="59"/>
      <c r="PCK5" s="59"/>
      <c r="PCL5" s="59"/>
      <c r="PCM5" s="59"/>
      <c r="PCN5" s="59"/>
      <c r="PCO5" s="59"/>
      <c r="PCP5" s="59"/>
      <c r="PCQ5" s="59"/>
      <c r="PCR5" s="59"/>
      <c r="PCS5" s="59"/>
      <c r="PCT5" s="59"/>
      <c r="PCU5" s="59"/>
      <c r="PCV5" s="59"/>
      <c r="PCW5" s="59"/>
      <c r="PCX5" s="59"/>
      <c r="PCY5" s="59"/>
      <c r="PCZ5" s="59"/>
      <c r="PDA5" s="59"/>
      <c r="PDB5" s="59"/>
      <c r="PDC5" s="59"/>
      <c r="PDD5" s="59"/>
      <c r="PDE5" s="59"/>
      <c r="PDF5" s="59"/>
      <c r="PDG5" s="59"/>
      <c r="PDH5" s="59"/>
      <c r="PDI5" s="59"/>
      <c r="PDJ5" s="59"/>
      <c r="PDK5" s="59"/>
      <c r="PDL5" s="59"/>
      <c r="PDM5" s="59"/>
      <c r="PDN5" s="59"/>
      <c r="PDO5" s="59"/>
      <c r="PDP5" s="59"/>
      <c r="PDQ5" s="59"/>
      <c r="PDR5" s="59"/>
      <c r="PDS5" s="59"/>
      <c r="PDT5" s="59"/>
      <c r="PDU5" s="59"/>
      <c r="PDV5" s="59"/>
      <c r="PDW5" s="59"/>
      <c r="PDX5" s="59"/>
      <c r="PDY5" s="59"/>
      <c r="PDZ5" s="59"/>
      <c r="PEA5" s="59"/>
      <c r="PEB5" s="59"/>
      <c r="PEC5" s="59"/>
      <c r="PED5" s="59"/>
      <c r="PEE5" s="59"/>
      <c r="PEF5" s="59"/>
      <c r="PEG5" s="59"/>
      <c r="PEH5" s="59"/>
      <c r="PEI5" s="59"/>
      <c r="PEJ5" s="59"/>
      <c r="PEK5" s="59"/>
      <c r="PEL5" s="59"/>
      <c r="PEM5" s="59"/>
      <c r="PEN5" s="59"/>
      <c r="PEO5" s="59"/>
      <c r="PEP5" s="59"/>
      <c r="PEQ5" s="59"/>
      <c r="PER5" s="59"/>
      <c r="PES5" s="59"/>
      <c r="PET5" s="59"/>
      <c r="PEU5" s="59"/>
      <c r="PEV5" s="59"/>
      <c r="PEW5" s="59"/>
      <c r="PEX5" s="59"/>
      <c r="PEY5" s="59"/>
      <c r="PEZ5" s="59"/>
      <c r="PFA5" s="59"/>
      <c r="PFB5" s="59"/>
      <c r="PFC5" s="59"/>
      <c r="PFD5" s="59"/>
      <c r="PFE5" s="59"/>
      <c r="PFF5" s="59"/>
      <c r="PFG5" s="59"/>
      <c r="PFH5" s="59"/>
      <c r="PFI5" s="59"/>
      <c r="PFJ5" s="59"/>
      <c r="PFK5" s="59"/>
      <c r="PFL5" s="59"/>
      <c r="PFM5" s="59"/>
      <c r="PFN5" s="59"/>
      <c r="PFO5" s="59"/>
      <c r="PFP5" s="59"/>
      <c r="PFQ5" s="59"/>
      <c r="PFR5" s="59"/>
      <c r="PFS5" s="59"/>
      <c r="PFT5" s="59"/>
      <c r="PFU5" s="59"/>
      <c r="PFV5" s="59"/>
      <c r="PFW5" s="59"/>
      <c r="PFX5" s="59"/>
      <c r="PFY5" s="59"/>
      <c r="PFZ5" s="59"/>
      <c r="PGA5" s="59"/>
      <c r="PGB5" s="59"/>
      <c r="PGC5" s="59"/>
      <c r="PGD5" s="59"/>
      <c r="PGE5" s="59"/>
      <c r="PGF5" s="59"/>
      <c r="PGG5" s="59"/>
      <c r="PGH5" s="59"/>
      <c r="PGI5" s="59"/>
      <c r="PGJ5" s="59"/>
      <c r="PGK5" s="59"/>
      <c r="PGL5" s="59"/>
      <c r="PGM5" s="59"/>
      <c r="PGN5" s="59"/>
      <c r="PGO5" s="59"/>
      <c r="PGP5" s="59"/>
      <c r="PGQ5" s="59"/>
      <c r="PGR5" s="59"/>
      <c r="PGS5" s="59"/>
      <c r="PGT5" s="59"/>
      <c r="PGU5" s="59"/>
      <c r="PGV5" s="59"/>
      <c r="PGW5" s="59"/>
      <c r="PGX5" s="59"/>
      <c r="PGY5" s="59"/>
      <c r="PGZ5" s="59"/>
      <c r="PHA5" s="59"/>
      <c r="PHB5" s="59"/>
      <c r="PHC5" s="59"/>
      <c r="PHD5" s="59"/>
      <c r="PHE5" s="59"/>
      <c r="PHF5" s="59"/>
      <c r="PHG5" s="59"/>
      <c r="PHH5" s="59"/>
      <c r="PHI5" s="59"/>
      <c r="PHJ5" s="59"/>
      <c r="PHK5" s="59"/>
      <c r="PHL5" s="59"/>
      <c r="PHM5" s="59"/>
      <c r="PHN5" s="59"/>
      <c r="PHO5" s="59"/>
      <c r="PHP5" s="59"/>
      <c r="PHQ5" s="59"/>
      <c r="PHR5" s="59"/>
      <c r="PHS5" s="59"/>
      <c r="PHT5" s="59"/>
      <c r="PHU5" s="59"/>
      <c r="PHV5" s="59"/>
      <c r="PHW5" s="59"/>
      <c r="PHX5" s="59"/>
      <c r="PHY5" s="59"/>
      <c r="PHZ5" s="59"/>
      <c r="PIA5" s="59"/>
      <c r="PIB5" s="59"/>
      <c r="PIC5" s="59"/>
      <c r="PID5" s="59"/>
      <c r="PIE5" s="59"/>
      <c r="PIF5" s="59"/>
      <c r="PIG5" s="59"/>
      <c r="PIH5" s="59"/>
      <c r="PII5" s="59"/>
      <c r="PIJ5" s="59"/>
      <c r="PIK5" s="59"/>
      <c r="PIL5" s="59"/>
      <c r="PIM5" s="59"/>
      <c r="PIN5" s="59"/>
      <c r="PIO5" s="59"/>
      <c r="PIP5" s="59"/>
      <c r="PIQ5" s="59"/>
      <c r="PIR5" s="59"/>
      <c r="PIS5" s="59"/>
      <c r="PIT5" s="59"/>
      <c r="PIU5" s="59"/>
      <c r="PIV5" s="59"/>
      <c r="PIW5" s="59"/>
      <c r="PIX5" s="59"/>
      <c r="PIY5" s="59"/>
      <c r="PIZ5" s="59"/>
      <c r="PJA5" s="59"/>
      <c r="PJB5" s="59"/>
      <c r="PJC5" s="59"/>
      <c r="PJD5" s="59"/>
      <c r="PJE5" s="59"/>
      <c r="PJF5" s="59"/>
      <c r="PJG5" s="59"/>
      <c r="PJH5" s="59"/>
      <c r="PJI5" s="59"/>
      <c r="PJJ5" s="59"/>
      <c r="PJK5" s="59"/>
      <c r="PJL5" s="59"/>
      <c r="PJM5" s="59"/>
      <c r="PJN5" s="59"/>
      <c r="PJO5" s="59"/>
      <c r="PJP5" s="59"/>
      <c r="PJQ5" s="59"/>
      <c r="PJR5" s="59"/>
      <c r="PJS5" s="59"/>
      <c r="PJT5" s="59"/>
      <c r="PJU5" s="59"/>
      <c r="PJV5" s="59"/>
      <c r="PJW5" s="59"/>
      <c r="PJX5" s="59"/>
      <c r="PJY5" s="59"/>
      <c r="PJZ5" s="59"/>
      <c r="PKA5" s="59"/>
      <c r="PKB5" s="59"/>
      <c r="PKC5" s="59"/>
      <c r="PKD5" s="59"/>
      <c r="PKE5" s="59"/>
      <c r="PKF5" s="59"/>
      <c r="PKG5" s="59"/>
      <c r="PKH5" s="59"/>
      <c r="PKI5" s="59"/>
      <c r="PKJ5" s="59"/>
      <c r="PKK5" s="59"/>
      <c r="PKL5" s="59"/>
      <c r="PKM5" s="59"/>
      <c r="PKN5" s="59"/>
      <c r="PKO5" s="59"/>
      <c r="PKP5" s="59"/>
      <c r="PKQ5" s="59"/>
      <c r="PKR5" s="59"/>
      <c r="PKS5" s="59"/>
      <c r="PKT5" s="59"/>
      <c r="PKU5" s="59"/>
      <c r="PKV5" s="59"/>
      <c r="PKW5" s="59"/>
      <c r="PKX5" s="59"/>
      <c r="PKY5" s="59"/>
      <c r="PKZ5" s="59"/>
      <c r="PLA5" s="59"/>
      <c r="PLB5" s="59"/>
      <c r="PLC5" s="59"/>
      <c r="PLD5" s="59"/>
      <c r="PLE5" s="59"/>
      <c r="PLF5" s="59"/>
      <c r="PLG5" s="59"/>
      <c r="PLH5" s="59"/>
      <c r="PLI5" s="59"/>
      <c r="PLJ5" s="59"/>
      <c r="PLK5" s="59"/>
      <c r="PLL5" s="59"/>
      <c r="PLM5" s="59"/>
      <c r="PLN5" s="59"/>
      <c r="PLO5" s="59"/>
      <c r="PLP5" s="59"/>
      <c r="PLQ5" s="59"/>
      <c r="PLR5" s="59"/>
      <c r="PLS5" s="59"/>
      <c r="PLT5" s="59"/>
      <c r="PLU5" s="59"/>
      <c r="PLV5" s="59"/>
      <c r="PLW5" s="59"/>
      <c r="PLX5" s="59"/>
      <c r="PLY5" s="59"/>
      <c r="PLZ5" s="59"/>
      <c r="PMA5" s="59"/>
      <c r="PMB5" s="59"/>
      <c r="PMC5" s="59"/>
      <c r="PMD5" s="59"/>
      <c r="PME5" s="59"/>
      <c r="PMF5" s="59"/>
      <c r="PMG5" s="59"/>
      <c r="PMH5" s="59"/>
      <c r="PMI5" s="59"/>
      <c r="PMJ5" s="59"/>
      <c r="PMK5" s="59"/>
      <c r="PML5" s="59"/>
      <c r="PMM5" s="59"/>
      <c r="PMN5" s="59"/>
      <c r="PMO5" s="59"/>
      <c r="PMP5" s="59"/>
      <c r="PMQ5" s="59"/>
      <c r="PMR5" s="59"/>
      <c r="PMS5" s="59"/>
      <c r="PMT5" s="59"/>
      <c r="PMU5" s="59"/>
      <c r="PMV5" s="59"/>
      <c r="PMW5" s="59"/>
      <c r="PMX5" s="59"/>
      <c r="PMY5" s="59"/>
      <c r="PMZ5" s="59"/>
      <c r="PNA5" s="59"/>
      <c r="PNB5" s="59"/>
      <c r="PNC5" s="59"/>
      <c r="PND5" s="59"/>
      <c r="PNE5" s="59"/>
      <c r="PNF5" s="59"/>
      <c r="PNG5" s="59"/>
      <c r="PNH5" s="59"/>
      <c r="PNI5" s="59"/>
      <c r="PNJ5" s="59"/>
      <c r="PNK5" s="59"/>
      <c r="PNL5" s="59"/>
      <c r="PNM5" s="59"/>
      <c r="PNN5" s="59"/>
      <c r="PNO5" s="59"/>
      <c r="PNP5" s="59"/>
      <c r="PNQ5" s="59"/>
      <c r="PNR5" s="59"/>
      <c r="PNS5" s="59"/>
      <c r="PNT5" s="59"/>
      <c r="PNU5" s="59"/>
      <c r="PNV5" s="59"/>
      <c r="PNW5" s="59"/>
      <c r="PNX5" s="59"/>
      <c r="PNY5" s="59"/>
      <c r="PNZ5" s="59"/>
      <c r="POA5" s="59"/>
      <c r="POB5" s="59"/>
      <c r="POC5" s="59"/>
      <c r="POD5" s="59"/>
      <c r="POE5" s="59"/>
      <c r="POF5" s="59"/>
      <c r="POG5" s="59"/>
      <c r="POH5" s="59"/>
      <c r="POI5" s="59"/>
      <c r="POJ5" s="59"/>
      <c r="POK5" s="59"/>
      <c r="POL5" s="59"/>
      <c r="POM5" s="59"/>
      <c r="PON5" s="59"/>
      <c r="POO5" s="59"/>
      <c r="POP5" s="59"/>
      <c r="POQ5" s="59"/>
      <c r="POR5" s="59"/>
      <c r="POS5" s="59"/>
      <c r="POT5" s="59"/>
      <c r="POU5" s="59"/>
      <c r="POV5" s="59"/>
      <c r="POW5" s="59"/>
      <c r="POX5" s="59"/>
      <c r="POY5" s="59"/>
      <c r="POZ5" s="59"/>
      <c r="PPA5" s="59"/>
      <c r="PPB5" s="59"/>
      <c r="PPC5" s="59"/>
      <c r="PPD5" s="59"/>
      <c r="PPE5" s="59"/>
      <c r="PPF5" s="59"/>
      <c r="PPG5" s="59"/>
      <c r="PPH5" s="59"/>
      <c r="PPI5" s="59"/>
      <c r="PPJ5" s="59"/>
      <c r="PPK5" s="59"/>
      <c r="PPL5" s="59"/>
      <c r="PPM5" s="59"/>
      <c r="PPN5" s="59"/>
      <c r="PPO5" s="59"/>
      <c r="PPP5" s="59"/>
      <c r="PPQ5" s="59"/>
      <c r="PPR5" s="59"/>
      <c r="PPS5" s="59"/>
      <c r="PPT5" s="59"/>
      <c r="PPU5" s="59"/>
      <c r="PPV5" s="59"/>
      <c r="PPW5" s="59"/>
      <c r="PPX5" s="59"/>
      <c r="PPY5" s="59"/>
      <c r="PPZ5" s="59"/>
      <c r="PQA5" s="59"/>
      <c r="PQB5" s="59"/>
      <c r="PQC5" s="59"/>
      <c r="PQD5" s="59"/>
      <c r="PQE5" s="59"/>
      <c r="PQF5" s="59"/>
      <c r="PQG5" s="59"/>
      <c r="PQH5" s="59"/>
      <c r="PQI5" s="59"/>
      <c r="PQJ5" s="59"/>
      <c r="PQK5" s="59"/>
      <c r="PQL5" s="59"/>
      <c r="PQM5" s="59"/>
      <c r="PQN5" s="59"/>
      <c r="PQO5" s="59"/>
      <c r="PQP5" s="59"/>
      <c r="PQQ5" s="59"/>
      <c r="PQR5" s="59"/>
      <c r="PQS5" s="59"/>
      <c r="PQT5" s="59"/>
      <c r="PQU5" s="59"/>
      <c r="PQV5" s="59"/>
      <c r="PQW5" s="59"/>
      <c r="PQX5" s="59"/>
      <c r="PQY5" s="59"/>
      <c r="PQZ5" s="59"/>
      <c r="PRA5" s="59"/>
      <c r="PRB5" s="59"/>
      <c r="PRC5" s="59"/>
      <c r="PRD5" s="59"/>
      <c r="PRE5" s="59"/>
      <c r="PRF5" s="59"/>
      <c r="PRG5" s="59"/>
      <c r="PRH5" s="59"/>
      <c r="PRI5" s="59"/>
      <c r="PRJ5" s="59"/>
      <c r="PRK5" s="59"/>
      <c r="PRL5" s="59"/>
      <c r="PRM5" s="59"/>
      <c r="PRN5" s="59"/>
      <c r="PRO5" s="59"/>
      <c r="PRP5" s="59"/>
      <c r="PRQ5" s="59"/>
      <c r="PRR5" s="59"/>
      <c r="PRS5" s="59"/>
      <c r="PRT5" s="59"/>
      <c r="PRU5" s="59"/>
      <c r="PRV5" s="59"/>
      <c r="PRW5" s="59"/>
      <c r="PRX5" s="59"/>
      <c r="PRY5" s="59"/>
      <c r="PRZ5" s="59"/>
      <c r="PSA5" s="59"/>
      <c r="PSB5" s="59"/>
      <c r="PSC5" s="59"/>
      <c r="PSD5" s="59"/>
      <c r="PSE5" s="59"/>
      <c r="PSF5" s="59"/>
      <c r="PSG5" s="59"/>
      <c r="PSH5" s="59"/>
      <c r="PSI5" s="59"/>
      <c r="PSJ5" s="59"/>
      <c r="PSK5" s="59"/>
      <c r="PSL5" s="59"/>
      <c r="PSM5" s="59"/>
      <c r="PSN5" s="59"/>
      <c r="PSO5" s="59"/>
      <c r="PSP5" s="59"/>
      <c r="PSQ5" s="59"/>
      <c r="PSR5" s="59"/>
      <c r="PSS5" s="59"/>
      <c r="PST5" s="59"/>
      <c r="PSU5" s="59"/>
      <c r="PSV5" s="59"/>
      <c r="PSW5" s="59"/>
      <c r="PSX5" s="59"/>
      <c r="PSY5" s="59"/>
      <c r="PSZ5" s="59"/>
      <c r="PTA5" s="59"/>
      <c r="PTB5" s="59"/>
      <c r="PTC5" s="59"/>
      <c r="PTD5" s="59"/>
      <c r="PTE5" s="59"/>
      <c r="PTF5" s="59"/>
      <c r="PTG5" s="59"/>
      <c r="PTH5" s="59"/>
      <c r="PTI5" s="59"/>
      <c r="PTJ5" s="59"/>
      <c r="PTK5" s="59"/>
      <c r="PTL5" s="59"/>
      <c r="PTM5" s="59"/>
      <c r="PTN5" s="59"/>
      <c r="PTO5" s="59"/>
      <c r="PTP5" s="59"/>
      <c r="PTQ5" s="59"/>
      <c r="PTR5" s="59"/>
      <c r="PTS5" s="59"/>
      <c r="PTT5" s="59"/>
      <c r="PTU5" s="59"/>
      <c r="PTV5" s="59"/>
      <c r="PTW5" s="59"/>
      <c r="PTX5" s="59"/>
      <c r="PTY5" s="59"/>
      <c r="PTZ5" s="59"/>
      <c r="PUA5" s="59"/>
      <c r="PUB5" s="59"/>
      <c r="PUC5" s="59"/>
      <c r="PUD5" s="59"/>
      <c r="PUE5" s="59"/>
      <c r="PUF5" s="59"/>
      <c r="PUG5" s="59"/>
      <c r="PUH5" s="59"/>
      <c r="PUI5" s="59"/>
      <c r="PUJ5" s="59"/>
      <c r="PUK5" s="59"/>
      <c r="PUL5" s="59"/>
      <c r="PUM5" s="59"/>
      <c r="PUN5" s="59"/>
      <c r="PUO5" s="59"/>
      <c r="PUP5" s="59"/>
      <c r="PUQ5" s="59"/>
      <c r="PUR5" s="59"/>
      <c r="PUS5" s="59"/>
      <c r="PUT5" s="59"/>
      <c r="PUU5" s="59"/>
      <c r="PUV5" s="59"/>
      <c r="PUW5" s="59"/>
      <c r="PUX5" s="59"/>
      <c r="PUY5" s="59"/>
      <c r="PUZ5" s="59"/>
      <c r="PVA5" s="59"/>
      <c r="PVB5" s="59"/>
      <c r="PVC5" s="59"/>
      <c r="PVD5" s="59"/>
      <c r="PVE5" s="59"/>
      <c r="PVF5" s="59"/>
      <c r="PVG5" s="59"/>
      <c r="PVH5" s="59"/>
      <c r="PVI5" s="59"/>
      <c r="PVJ5" s="59"/>
      <c r="PVK5" s="59"/>
      <c r="PVL5" s="59"/>
      <c r="PVM5" s="59"/>
      <c r="PVN5" s="59"/>
      <c r="PVO5" s="59"/>
      <c r="PVP5" s="59"/>
      <c r="PVQ5" s="59"/>
      <c r="PVR5" s="59"/>
      <c r="PVS5" s="59"/>
      <c r="PVT5" s="59"/>
      <c r="PVU5" s="59"/>
      <c r="PVV5" s="59"/>
      <c r="PVW5" s="59"/>
      <c r="PVX5" s="59"/>
      <c r="PVY5" s="59"/>
      <c r="PVZ5" s="59"/>
      <c r="PWA5" s="59"/>
      <c r="PWB5" s="59"/>
      <c r="PWC5" s="59"/>
      <c r="PWD5" s="59"/>
      <c r="PWE5" s="59"/>
      <c r="PWF5" s="59"/>
      <c r="PWG5" s="59"/>
      <c r="PWH5" s="59"/>
      <c r="PWI5" s="59"/>
      <c r="PWJ5" s="59"/>
      <c r="PWK5" s="59"/>
      <c r="PWL5" s="59"/>
      <c r="PWM5" s="59"/>
      <c r="PWN5" s="59"/>
      <c r="PWO5" s="59"/>
      <c r="PWP5" s="59"/>
      <c r="PWQ5" s="59"/>
      <c r="PWR5" s="59"/>
      <c r="PWS5" s="59"/>
      <c r="PWT5" s="59"/>
      <c r="PWU5" s="59"/>
      <c r="PWV5" s="59"/>
      <c r="PWW5" s="59"/>
      <c r="PWX5" s="59"/>
      <c r="PWY5" s="59"/>
      <c r="PWZ5" s="59"/>
      <c r="PXA5" s="59"/>
      <c r="PXB5" s="59"/>
      <c r="PXC5" s="59"/>
      <c r="PXD5" s="59"/>
      <c r="PXE5" s="59"/>
      <c r="PXF5" s="59"/>
      <c r="PXG5" s="59"/>
      <c r="PXH5" s="59"/>
      <c r="PXI5" s="59"/>
      <c r="PXJ5" s="59"/>
      <c r="PXK5" s="59"/>
      <c r="PXL5" s="59"/>
      <c r="PXM5" s="59"/>
      <c r="PXN5" s="59"/>
      <c r="PXO5" s="59"/>
      <c r="PXP5" s="59"/>
      <c r="PXQ5" s="59"/>
      <c r="PXR5" s="59"/>
      <c r="PXS5" s="59"/>
      <c r="PXT5" s="59"/>
      <c r="PXU5" s="59"/>
      <c r="PXV5" s="59"/>
      <c r="PXW5" s="59"/>
      <c r="PXX5" s="59"/>
      <c r="PXY5" s="59"/>
      <c r="PXZ5" s="59"/>
      <c r="PYA5" s="59"/>
      <c r="PYB5" s="59"/>
      <c r="PYC5" s="59"/>
      <c r="PYD5" s="59"/>
      <c r="PYE5" s="59"/>
      <c r="PYF5" s="59"/>
      <c r="PYG5" s="59"/>
      <c r="PYH5" s="59"/>
      <c r="PYI5" s="59"/>
      <c r="PYJ5" s="59"/>
      <c r="PYK5" s="59"/>
      <c r="PYL5" s="59"/>
      <c r="PYM5" s="59"/>
      <c r="PYN5" s="59"/>
      <c r="PYO5" s="59"/>
      <c r="PYP5" s="59"/>
      <c r="PYQ5" s="59"/>
      <c r="PYR5" s="59"/>
      <c r="PYS5" s="59"/>
      <c r="PYT5" s="59"/>
      <c r="PYU5" s="59"/>
      <c r="PYV5" s="59"/>
      <c r="PYW5" s="59"/>
      <c r="PYX5" s="59"/>
      <c r="PYY5" s="59"/>
      <c r="PYZ5" s="59"/>
      <c r="PZA5" s="59"/>
      <c r="PZB5" s="59"/>
      <c r="PZC5" s="59"/>
      <c r="PZD5" s="59"/>
      <c r="PZE5" s="59"/>
      <c r="PZF5" s="59"/>
      <c r="PZG5" s="59"/>
      <c r="PZH5" s="59"/>
      <c r="PZI5" s="59"/>
      <c r="PZJ5" s="59"/>
      <c r="PZK5" s="59"/>
      <c r="PZL5" s="59"/>
      <c r="PZM5" s="59"/>
      <c r="PZN5" s="59"/>
      <c r="PZO5" s="59"/>
      <c r="PZP5" s="59"/>
      <c r="PZQ5" s="59"/>
      <c r="PZR5" s="59"/>
      <c r="PZS5" s="59"/>
      <c r="PZT5" s="59"/>
      <c r="PZU5" s="59"/>
      <c r="PZV5" s="59"/>
      <c r="PZW5" s="59"/>
      <c r="PZX5" s="59"/>
      <c r="PZY5" s="59"/>
      <c r="PZZ5" s="59"/>
      <c r="QAA5" s="59"/>
      <c r="QAB5" s="59"/>
      <c r="QAC5" s="59"/>
      <c r="QAD5" s="59"/>
      <c r="QAE5" s="59"/>
      <c r="QAF5" s="59"/>
      <c r="QAG5" s="59"/>
      <c r="QAH5" s="59"/>
      <c r="QAI5" s="59"/>
      <c r="QAJ5" s="59"/>
      <c r="QAK5" s="59"/>
      <c r="QAL5" s="59"/>
      <c r="QAM5" s="59"/>
      <c r="QAN5" s="59"/>
      <c r="QAO5" s="59"/>
      <c r="QAP5" s="59"/>
      <c r="QAQ5" s="59"/>
      <c r="QAR5" s="59"/>
      <c r="QAS5" s="59"/>
      <c r="QAT5" s="59"/>
      <c r="QAU5" s="59"/>
      <c r="QAV5" s="59"/>
      <c r="QAW5" s="59"/>
      <c r="QAX5" s="59"/>
      <c r="QAY5" s="59"/>
      <c r="QAZ5" s="59"/>
      <c r="QBA5" s="59"/>
      <c r="QBB5" s="59"/>
      <c r="QBC5" s="59"/>
      <c r="QBD5" s="59"/>
      <c r="QBE5" s="59"/>
      <c r="QBF5" s="59"/>
      <c r="QBG5" s="59"/>
      <c r="QBH5" s="59"/>
      <c r="QBI5" s="59"/>
      <c r="QBJ5" s="59"/>
      <c r="QBK5" s="59"/>
      <c r="QBL5" s="59"/>
      <c r="QBM5" s="59"/>
      <c r="QBN5" s="59"/>
      <c r="QBO5" s="59"/>
      <c r="QBP5" s="59"/>
      <c r="QBQ5" s="59"/>
      <c r="QBR5" s="59"/>
      <c r="QBS5" s="59"/>
      <c r="QBT5" s="59"/>
      <c r="QBU5" s="59"/>
      <c r="QBV5" s="59"/>
      <c r="QBW5" s="59"/>
      <c r="QBX5" s="59"/>
      <c r="QBY5" s="59"/>
      <c r="QBZ5" s="59"/>
      <c r="QCA5" s="59"/>
      <c r="QCB5" s="59"/>
      <c r="QCC5" s="59"/>
      <c r="QCD5" s="59"/>
      <c r="QCE5" s="59"/>
      <c r="QCF5" s="59"/>
      <c r="QCG5" s="59"/>
      <c r="QCH5" s="59"/>
      <c r="QCI5" s="59"/>
      <c r="QCJ5" s="59"/>
      <c r="QCK5" s="59"/>
      <c r="QCL5" s="59"/>
      <c r="QCM5" s="59"/>
      <c r="QCN5" s="59"/>
      <c r="QCO5" s="59"/>
      <c r="QCP5" s="59"/>
      <c r="QCQ5" s="59"/>
      <c r="QCR5" s="59"/>
      <c r="QCS5" s="59"/>
      <c r="QCT5" s="59"/>
      <c r="QCU5" s="59"/>
      <c r="QCV5" s="59"/>
      <c r="QCW5" s="59"/>
      <c r="QCX5" s="59"/>
      <c r="QCY5" s="59"/>
      <c r="QCZ5" s="59"/>
      <c r="QDA5" s="59"/>
      <c r="QDB5" s="59"/>
      <c r="QDC5" s="59"/>
      <c r="QDD5" s="59"/>
      <c r="QDE5" s="59"/>
      <c r="QDF5" s="59"/>
      <c r="QDG5" s="59"/>
      <c r="QDH5" s="59"/>
      <c r="QDI5" s="59"/>
      <c r="QDJ5" s="59"/>
      <c r="QDK5" s="59"/>
      <c r="QDL5" s="59"/>
      <c r="QDM5" s="59"/>
      <c r="QDN5" s="59"/>
      <c r="QDO5" s="59"/>
      <c r="QDP5" s="59"/>
      <c r="QDQ5" s="59"/>
      <c r="QDR5" s="59"/>
      <c r="QDS5" s="59"/>
      <c r="QDT5" s="59"/>
      <c r="QDU5" s="59"/>
      <c r="QDV5" s="59"/>
      <c r="QDW5" s="59"/>
      <c r="QDX5" s="59"/>
      <c r="QDY5" s="59"/>
      <c r="QDZ5" s="59"/>
      <c r="QEA5" s="59"/>
      <c r="QEB5" s="59"/>
      <c r="QEC5" s="59"/>
      <c r="QED5" s="59"/>
      <c r="QEE5" s="59"/>
      <c r="QEF5" s="59"/>
      <c r="QEG5" s="59"/>
      <c r="QEH5" s="59"/>
      <c r="QEI5" s="59"/>
      <c r="QEJ5" s="59"/>
      <c r="QEK5" s="59"/>
      <c r="QEL5" s="59"/>
      <c r="QEM5" s="59"/>
      <c r="QEN5" s="59"/>
      <c r="QEO5" s="59"/>
      <c r="QEP5" s="59"/>
      <c r="QEQ5" s="59"/>
      <c r="QER5" s="59"/>
      <c r="QES5" s="59"/>
      <c r="QET5" s="59"/>
      <c r="QEU5" s="59"/>
      <c r="QEV5" s="59"/>
      <c r="QEW5" s="59"/>
      <c r="QEX5" s="59"/>
      <c r="QEY5" s="59"/>
      <c r="QEZ5" s="59"/>
      <c r="QFA5" s="59"/>
      <c r="QFB5" s="59"/>
      <c r="QFC5" s="59"/>
      <c r="QFD5" s="59"/>
      <c r="QFE5" s="59"/>
      <c r="QFF5" s="59"/>
      <c r="QFG5" s="59"/>
      <c r="QFH5" s="59"/>
      <c r="QFI5" s="59"/>
      <c r="QFJ5" s="59"/>
      <c r="QFK5" s="59"/>
      <c r="QFL5" s="59"/>
      <c r="QFM5" s="59"/>
      <c r="QFN5" s="59"/>
      <c r="QFO5" s="59"/>
      <c r="QFP5" s="59"/>
      <c r="QFQ5" s="59"/>
      <c r="QFR5" s="59"/>
      <c r="QFS5" s="59"/>
      <c r="QFT5" s="59"/>
      <c r="QFU5" s="59"/>
      <c r="QFV5" s="59"/>
      <c r="QFW5" s="59"/>
      <c r="QFX5" s="59"/>
      <c r="QFY5" s="59"/>
      <c r="QFZ5" s="59"/>
      <c r="QGA5" s="59"/>
      <c r="QGB5" s="59"/>
      <c r="QGC5" s="59"/>
      <c r="QGD5" s="59"/>
      <c r="QGE5" s="59"/>
      <c r="QGF5" s="59"/>
      <c r="QGG5" s="59"/>
      <c r="QGH5" s="59"/>
      <c r="QGI5" s="59"/>
      <c r="QGJ5" s="59"/>
      <c r="QGK5" s="59"/>
      <c r="QGL5" s="59"/>
      <c r="QGM5" s="59"/>
      <c r="QGN5" s="59"/>
      <c r="QGO5" s="59"/>
      <c r="QGP5" s="59"/>
      <c r="QGQ5" s="59"/>
      <c r="QGR5" s="59"/>
      <c r="QGS5" s="59"/>
      <c r="QGT5" s="59"/>
      <c r="QGU5" s="59"/>
      <c r="QGV5" s="59"/>
      <c r="QGW5" s="59"/>
      <c r="QGX5" s="59"/>
      <c r="QGY5" s="59"/>
      <c r="QGZ5" s="59"/>
      <c r="QHA5" s="59"/>
      <c r="QHB5" s="59"/>
      <c r="QHC5" s="59"/>
      <c r="QHD5" s="59"/>
      <c r="QHE5" s="59"/>
      <c r="QHF5" s="59"/>
      <c r="QHG5" s="59"/>
      <c r="QHH5" s="59"/>
      <c r="QHI5" s="59"/>
      <c r="QHJ5" s="59"/>
      <c r="QHK5" s="59"/>
      <c r="QHL5" s="59"/>
      <c r="QHM5" s="59"/>
      <c r="QHN5" s="59"/>
      <c r="QHO5" s="59"/>
      <c r="QHP5" s="59"/>
      <c r="QHQ5" s="59"/>
      <c r="QHR5" s="59"/>
      <c r="QHS5" s="59"/>
      <c r="QHT5" s="59"/>
      <c r="QHU5" s="59"/>
      <c r="QHV5" s="59"/>
      <c r="QHW5" s="59"/>
      <c r="QHX5" s="59"/>
      <c r="QHY5" s="59"/>
      <c r="QHZ5" s="59"/>
      <c r="QIA5" s="59"/>
      <c r="QIB5" s="59"/>
      <c r="QIC5" s="59"/>
      <c r="QID5" s="59"/>
      <c r="QIE5" s="59"/>
      <c r="QIF5" s="59"/>
      <c r="QIG5" s="59"/>
      <c r="QIH5" s="59"/>
      <c r="QII5" s="59"/>
      <c r="QIJ5" s="59"/>
      <c r="QIK5" s="59"/>
      <c r="QIL5" s="59"/>
      <c r="QIM5" s="59"/>
      <c r="QIN5" s="59"/>
      <c r="QIO5" s="59"/>
      <c r="QIP5" s="59"/>
      <c r="QIQ5" s="59"/>
      <c r="QIR5" s="59"/>
      <c r="QIS5" s="59"/>
      <c r="QIT5" s="59"/>
      <c r="QIU5" s="59"/>
      <c r="QIV5" s="59"/>
      <c r="QIW5" s="59"/>
      <c r="QIX5" s="59"/>
      <c r="QIY5" s="59"/>
      <c r="QIZ5" s="59"/>
      <c r="QJA5" s="59"/>
      <c r="QJB5" s="59"/>
      <c r="QJC5" s="59"/>
      <c r="QJD5" s="59"/>
      <c r="QJE5" s="59"/>
      <c r="QJF5" s="59"/>
      <c r="QJG5" s="59"/>
      <c r="QJH5" s="59"/>
      <c r="QJI5" s="59"/>
      <c r="QJJ5" s="59"/>
      <c r="QJK5" s="59"/>
      <c r="QJL5" s="59"/>
      <c r="QJM5" s="59"/>
      <c r="QJN5" s="59"/>
      <c r="QJO5" s="59"/>
      <c r="QJP5" s="59"/>
      <c r="QJQ5" s="59"/>
      <c r="QJR5" s="59"/>
      <c r="QJS5" s="59"/>
      <c r="QJT5" s="59"/>
      <c r="QJU5" s="59"/>
      <c r="QJV5" s="59"/>
      <c r="QJW5" s="59"/>
      <c r="QJX5" s="59"/>
      <c r="QJY5" s="59"/>
      <c r="QJZ5" s="59"/>
      <c r="QKA5" s="59"/>
      <c r="QKB5" s="59"/>
      <c r="QKC5" s="59"/>
      <c r="QKD5" s="59"/>
      <c r="QKE5" s="59"/>
      <c r="QKF5" s="59"/>
      <c r="QKG5" s="59"/>
      <c r="QKH5" s="59"/>
      <c r="QKI5" s="59"/>
      <c r="QKJ5" s="59"/>
      <c r="QKK5" s="59"/>
      <c r="QKL5" s="59"/>
      <c r="QKM5" s="59"/>
      <c r="QKN5" s="59"/>
      <c r="QKO5" s="59"/>
      <c r="QKP5" s="59"/>
      <c r="QKQ5" s="59"/>
      <c r="QKR5" s="59"/>
      <c r="QKS5" s="59"/>
      <c r="QKT5" s="59"/>
      <c r="QKU5" s="59"/>
      <c r="QKV5" s="59"/>
      <c r="QKW5" s="59"/>
      <c r="QKX5" s="59"/>
      <c r="QKY5" s="59"/>
      <c r="QKZ5" s="59"/>
      <c r="QLA5" s="59"/>
      <c r="QLB5" s="59"/>
      <c r="QLC5" s="59"/>
      <c r="QLD5" s="59"/>
      <c r="QLE5" s="59"/>
      <c r="QLF5" s="59"/>
      <c r="QLG5" s="59"/>
      <c r="QLH5" s="59"/>
      <c r="QLI5" s="59"/>
      <c r="QLJ5" s="59"/>
      <c r="QLK5" s="59"/>
      <c r="QLL5" s="59"/>
      <c r="QLM5" s="59"/>
      <c r="QLN5" s="59"/>
      <c r="QLO5" s="59"/>
      <c r="QLP5" s="59"/>
      <c r="QLQ5" s="59"/>
      <c r="QLR5" s="59"/>
      <c r="QLS5" s="59"/>
      <c r="QLT5" s="59"/>
      <c r="QLU5" s="59"/>
      <c r="QLV5" s="59"/>
      <c r="QLW5" s="59"/>
      <c r="QLX5" s="59"/>
      <c r="QLY5" s="59"/>
      <c r="QLZ5" s="59"/>
      <c r="QMA5" s="59"/>
      <c r="QMB5" s="59"/>
      <c r="QMC5" s="59"/>
      <c r="QMD5" s="59"/>
      <c r="QME5" s="59"/>
      <c r="QMF5" s="59"/>
      <c r="QMG5" s="59"/>
      <c r="QMH5" s="59"/>
      <c r="QMI5" s="59"/>
      <c r="QMJ5" s="59"/>
      <c r="QMK5" s="59"/>
      <c r="QML5" s="59"/>
      <c r="QMM5" s="59"/>
      <c r="QMN5" s="59"/>
      <c r="QMO5" s="59"/>
      <c r="QMP5" s="59"/>
      <c r="QMQ5" s="59"/>
      <c r="QMR5" s="59"/>
      <c r="QMS5" s="59"/>
      <c r="QMT5" s="59"/>
      <c r="QMU5" s="59"/>
      <c r="QMV5" s="59"/>
      <c r="QMW5" s="59"/>
      <c r="QMX5" s="59"/>
      <c r="QMY5" s="59"/>
      <c r="QMZ5" s="59"/>
      <c r="QNA5" s="59"/>
      <c r="QNB5" s="59"/>
      <c r="QNC5" s="59"/>
      <c r="QND5" s="59"/>
      <c r="QNE5" s="59"/>
      <c r="QNF5" s="59"/>
      <c r="QNG5" s="59"/>
      <c r="QNH5" s="59"/>
      <c r="QNI5" s="59"/>
      <c r="QNJ5" s="59"/>
      <c r="QNK5" s="59"/>
      <c r="QNL5" s="59"/>
      <c r="QNM5" s="59"/>
      <c r="QNN5" s="59"/>
      <c r="QNO5" s="59"/>
      <c r="QNP5" s="59"/>
      <c r="QNQ5" s="59"/>
      <c r="QNR5" s="59"/>
      <c r="QNS5" s="59"/>
      <c r="QNT5" s="59"/>
      <c r="QNU5" s="59"/>
      <c r="QNV5" s="59"/>
      <c r="QNW5" s="59"/>
      <c r="QNX5" s="59"/>
      <c r="QNY5" s="59"/>
      <c r="QNZ5" s="59"/>
      <c r="QOA5" s="59"/>
      <c r="QOB5" s="59"/>
      <c r="QOC5" s="59"/>
      <c r="QOD5" s="59"/>
      <c r="QOE5" s="59"/>
      <c r="QOF5" s="59"/>
      <c r="QOG5" s="59"/>
      <c r="QOH5" s="59"/>
      <c r="QOI5" s="59"/>
      <c r="QOJ5" s="59"/>
      <c r="QOK5" s="59"/>
      <c r="QOL5" s="59"/>
      <c r="QOM5" s="59"/>
      <c r="QON5" s="59"/>
      <c r="QOO5" s="59"/>
      <c r="QOP5" s="59"/>
      <c r="QOQ5" s="59"/>
      <c r="QOR5" s="59"/>
      <c r="QOS5" s="59"/>
      <c r="QOT5" s="59"/>
      <c r="QOU5" s="59"/>
      <c r="QOV5" s="59"/>
      <c r="QOW5" s="59"/>
      <c r="QOX5" s="59"/>
      <c r="QOY5" s="59"/>
      <c r="QOZ5" s="59"/>
      <c r="QPA5" s="59"/>
      <c r="QPB5" s="59"/>
      <c r="QPC5" s="59"/>
      <c r="QPD5" s="59"/>
      <c r="QPE5" s="59"/>
      <c r="QPF5" s="59"/>
      <c r="QPG5" s="59"/>
      <c r="QPH5" s="59"/>
      <c r="QPI5" s="59"/>
      <c r="QPJ5" s="59"/>
      <c r="QPK5" s="59"/>
      <c r="QPL5" s="59"/>
      <c r="QPM5" s="59"/>
      <c r="QPN5" s="59"/>
      <c r="QPO5" s="59"/>
      <c r="QPP5" s="59"/>
      <c r="QPQ5" s="59"/>
      <c r="QPR5" s="59"/>
      <c r="QPS5" s="59"/>
      <c r="QPT5" s="59"/>
      <c r="QPU5" s="59"/>
      <c r="QPV5" s="59"/>
      <c r="QPW5" s="59"/>
      <c r="QPX5" s="59"/>
      <c r="QPY5" s="59"/>
      <c r="QPZ5" s="59"/>
      <c r="QQA5" s="59"/>
      <c r="QQB5" s="59"/>
      <c r="QQC5" s="59"/>
      <c r="QQD5" s="59"/>
      <c r="QQE5" s="59"/>
      <c r="QQF5" s="59"/>
      <c r="QQG5" s="59"/>
      <c r="QQH5" s="59"/>
      <c r="QQI5" s="59"/>
      <c r="QQJ5" s="59"/>
      <c r="QQK5" s="59"/>
      <c r="QQL5" s="59"/>
      <c r="QQM5" s="59"/>
      <c r="QQN5" s="59"/>
      <c r="QQO5" s="59"/>
      <c r="QQP5" s="59"/>
      <c r="QQQ5" s="59"/>
      <c r="QQR5" s="59"/>
      <c r="QQS5" s="59"/>
      <c r="QQT5" s="59"/>
      <c r="QQU5" s="59"/>
      <c r="QQV5" s="59"/>
      <c r="QQW5" s="59"/>
      <c r="QQX5" s="59"/>
      <c r="QQY5" s="59"/>
      <c r="QQZ5" s="59"/>
      <c r="QRA5" s="59"/>
      <c r="QRB5" s="59"/>
      <c r="QRC5" s="59"/>
      <c r="QRD5" s="59"/>
      <c r="QRE5" s="59"/>
      <c r="QRF5" s="59"/>
      <c r="QRG5" s="59"/>
      <c r="QRH5" s="59"/>
      <c r="QRI5" s="59"/>
      <c r="QRJ5" s="59"/>
      <c r="QRK5" s="59"/>
      <c r="QRL5" s="59"/>
      <c r="QRM5" s="59"/>
      <c r="QRN5" s="59"/>
      <c r="QRO5" s="59"/>
      <c r="QRP5" s="59"/>
      <c r="QRQ5" s="59"/>
      <c r="QRR5" s="59"/>
      <c r="QRS5" s="59"/>
      <c r="QRT5" s="59"/>
      <c r="QRU5" s="59"/>
      <c r="QRV5" s="59"/>
      <c r="QRW5" s="59"/>
      <c r="QRX5" s="59"/>
      <c r="QRY5" s="59"/>
      <c r="QRZ5" s="59"/>
      <c r="QSA5" s="59"/>
      <c r="QSB5" s="59"/>
      <c r="QSC5" s="59"/>
      <c r="QSD5" s="59"/>
      <c r="QSE5" s="59"/>
      <c r="QSF5" s="59"/>
      <c r="QSG5" s="59"/>
      <c r="QSH5" s="59"/>
      <c r="QSI5" s="59"/>
      <c r="QSJ5" s="59"/>
      <c r="QSK5" s="59"/>
      <c r="QSL5" s="59"/>
      <c r="QSM5" s="59"/>
      <c r="QSN5" s="59"/>
      <c r="QSO5" s="59"/>
      <c r="QSP5" s="59"/>
      <c r="QSQ5" s="59"/>
      <c r="QSR5" s="59"/>
      <c r="QSS5" s="59"/>
      <c r="QST5" s="59"/>
      <c r="QSU5" s="59"/>
      <c r="QSV5" s="59"/>
      <c r="QSW5" s="59"/>
      <c r="QSX5" s="59"/>
      <c r="QSY5" s="59"/>
      <c r="QSZ5" s="59"/>
      <c r="QTA5" s="59"/>
      <c r="QTB5" s="59"/>
      <c r="QTC5" s="59"/>
      <c r="QTD5" s="59"/>
      <c r="QTE5" s="59"/>
      <c r="QTF5" s="59"/>
      <c r="QTG5" s="59"/>
      <c r="QTH5" s="59"/>
      <c r="QTI5" s="59"/>
      <c r="QTJ5" s="59"/>
      <c r="QTK5" s="59"/>
      <c r="QTL5" s="59"/>
      <c r="QTM5" s="59"/>
      <c r="QTN5" s="59"/>
      <c r="QTO5" s="59"/>
      <c r="QTP5" s="59"/>
      <c r="QTQ5" s="59"/>
      <c r="QTR5" s="59"/>
      <c r="QTS5" s="59"/>
      <c r="QTT5" s="59"/>
      <c r="QTU5" s="59"/>
      <c r="QTV5" s="59"/>
      <c r="QTW5" s="59"/>
      <c r="QTX5" s="59"/>
      <c r="QTY5" s="59"/>
      <c r="QTZ5" s="59"/>
      <c r="QUA5" s="59"/>
      <c r="QUB5" s="59"/>
      <c r="QUC5" s="59"/>
      <c r="QUD5" s="59"/>
      <c r="QUE5" s="59"/>
      <c r="QUF5" s="59"/>
      <c r="QUG5" s="59"/>
      <c r="QUH5" s="59"/>
      <c r="QUI5" s="59"/>
      <c r="QUJ5" s="59"/>
      <c r="QUK5" s="59"/>
      <c r="QUL5" s="59"/>
      <c r="QUM5" s="59"/>
      <c r="QUN5" s="59"/>
      <c r="QUO5" s="59"/>
      <c r="QUP5" s="59"/>
      <c r="QUQ5" s="59"/>
      <c r="QUR5" s="59"/>
      <c r="QUS5" s="59"/>
      <c r="QUT5" s="59"/>
      <c r="QUU5" s="59"/>
      <c r="QUV5" s="59"/>
      <c r="QUW5" s="59"/>
      <c r="QUX5" s="59"/>
      <c r="QUY5" s="59"/>
      <c r="QUZ5" s="59"/>
      <c r="QVA5" s="59"/>
      <c r="QVB5" s="59"/>
      <c r="QVC5" s="59"/>
      <c r="QVD5" s="59"/>
      <c r="QVE5" s="59"/>
      <c r="QVF5" s="59"/>
      <c r="QVG5" s="59"/>
      <c r="QVH5" s="59"/>
      <c r="QVI5" s="59"/>
      <c r="QVJ5" s="59"/>
      <c r="QVK5" s="59"/>
      <c r="QVL5" s="59"/>
      <c r="QVM5" s="59"/>
      <c r="QVN5" s="59"/>
      <c r="QVO5" s="59"/>
      <c r="QVP5" s="59"/>
      <c r="QVQ5" s="59"/>
      <c r="QVR5" s="59"/>
      <c r="QVS5" s="59"/>
      <c r="QVT5" s="59"/>
      <c r="QVU5" s="59"/>
      <c r="QVV5" s="59"/>
      <c r="QVW5" s="59"/>
      <c r="QVX5" s="59"/>
      <c r="QVY5" s="59"/>
      <c r="QVZ5" s="59"/>
      <c r="QWA5" s="59"/>
      <c r="QWB5" s="59"/>
      <c r="QWC5" s="59"/>
      <c r="QWD5" s="59"/>
      <c r="QWE5" s="59"/>
      <c r="QWF5" s="59"/>
      <c r="QWG5" s="59"/>
      <c r="QWH5" s="59"/>
      <c r="QWI5" s="59"/>
      <c r="QWJ5" s="59"/>
      <c r="QWK5" s="59"/>
      <c r="QWL5" s="59"/>
      <c r="QWM5" s="59"/>
      <c r="QWN5" s="59"/>
      <c r="QWO5" s="59"/>
      <c r="QWP5" s="59"/>
      <c r="QWQ5" s="59"/>
      <c r="QWR5" s="59"/>
      <c r="QWS5" s="59"/>
      <c r="QWT5" s="59"/>
      <c r="QWU5" s="59"/>
      <c r="QWV5" s="59"/>
      <c r="QWW5" s="59"/>
      <c r="QWX5" s="59"/>
      <c r="QWY5" s="59"/>
      <c r="QWZ5" s="59"/>
      <c r="QXA5" s="59"/>
      <c r="QXB5" s="59"/>
      <c r="QXC5" s="59"/>
      <c r="QXD5" s="59"/>
      <c r="QXE5" s="59"/>
      <c r="QXF5" s="59"/>
      <c r="QXG5" s="59"/>
      <c r="QXH5" s="59"/>
      <c r="QXI5" s="59"/>
      <c r="QXJ5" s="59"/>
      <c r="QXK5" s="59"/>
      <c r="QXL5" s="59"/>
      <c r="QXM5" s="59"/>
      <c r="QXN5" s="59"/>
      <c r="QXO5" s="59"/>
      <c r="QXP5" s="59"/>
      <c r="QXQ5" s="59"/>
      <c r="QXR5" s="59"/>
      <c r="QXS5" s="59"/>
      <c r="QXT5" s="59"/>
      <c r="QXU5" s="59"/>
      <c r="QXV5" s="59"/>
      <c r="QXW5" s="59"/>
      <c r="QXX5" s="59"/>
      <c r="QXY5" s="59"/>
      <c r="QXZ5" s="59"/>
      <c r="QYA5" s="59"/>
      <c r="QYB5" s="59"/>
      <c r="QYC5" s="59"/>
      <c r="QYD5" s="59"/>
      <c r="QYE5" s="59"/>
      <c r="QYF5" s="59"/>
      <c r="QYG5" s="59"/>
      <c r="QYH5" s="59"/>
      <c r="QYI5" s="59"/>
      <c r="QYJ5" s="59"/>
      <c r="QYK5" s="59"/>
      <c r="QYL5" s="59"/>
      <c r="QYM5" s="59"/>
      <c r="QYN5" s="59"/>
      <c r="QYO5" s="59"/>
      <c r="QYP5" s="59"/>
      <c r="QYQ5" s="59"/>
      <c r="QYR5" s="59"/>
      <c r="QYS5" s="59"/>
      <c r="QYT5" s="59"/>
      <c r="QYU5" s="59"/>
      <c r="QYV5" s="59"/>
      <c r="QYW5" s="59"/>
      <c r="QYX5" s="59"/>
      <c r="QYY5" s="59"/>
      <c r="QYZ5" s="59"/>
      <c r="QZA5" s="59"/>
      <c r="QZB5" s="59"/>
      <c r="QZC5" s="59"/>
      <c r="QZD5" s="59"/>
      <c r="QZE5" s="59"/>
      <c r="QZF5" s="59"/>
      <c r="QZG5" s="59"/>
      <c r="QZH5" s="59"/>
      <c r="QZI5" s="59"/>
      <c r="QZJ5" s="59"/>
      <c r="QZK5" s="59"/>
      <c r="QZL5" s="59"/>
      <c r="QZM5" s="59"/>
      <c r="QZN5" s="59"/>
      <c r="QZO5" s="59"/>
      <c r="QZP5" s="59"/>
      <c r="QZQ5" s="59"/>
      <c r="QZR5" s="59"/>
      <c r="QZS5" s="59"/>
      <c r="QZT5" s="59"/>
      <c r="QZU5" s="59"/>
      <c r="QZV5" s="59"/>
      <c r="QZW5" s="59"/>
      <c r="QZX5" s="59"/>
      <c r="QZY5" s="59"/>
      <c r="QZZ5" s="59"/>
      <c r="RAA5" s="59"/>
      <c r="RAB5" s="59"/>
      <c r="RAC5" s="59"/>
      <c r="RAD5" s="59"/>
      <c r="RAE5" s="59"/>
      <c r="RAF5" s="59"/>
      <c r="RAG5" s="59"/>
      <c r="RAH5" s="59"/>
      <c r="RAI5" s="59"/>
      <c r="RAJ5" s="59"/>
      <c r="RAK5" s="59"/>
      <c r="RAL5" s="59"/>
      <c r="RAM5" s="59"/>
      <c r="RAN5" s="59"/>
      <c r="RAO5" s="59"/>
      <c r="RAP5" s="59"/>
      <c r="RAQ5" s="59"/>
      <c r="RAR5" s="59"/>
      <c r="RAS5" s="59"/>
      <c r="RAT5" s="59"/>
      <c r="RAU5" s="59"/>
      <c r="RAV5" s="59"/>
      <c r="RAW5" s="59"/>
      <c r="RAX5" s="59"/>
      <c r="RAY5" s="59"/>
      <c r="RAZ5" s="59"/>
      <c r="RBA5" s="59"/>
      <c r="RBB5" s="59"/>
      <c r="RBC5" s="59"/>
      <c r="RBD5" s="59"/>
      <c r="RBE5" s="59"/>
      <c r="RBF5" s="59"/>
      <c r="RBG5" s="59"/>
      <c r="RBH5" s="59"/>
      <c r="RBI5" s="59"/>
      <c r="RBJ5" s="59"/>
      <c r="RBK5" s="59"/>
      <c r="RBL5" s="59"/>
      <c r="RBM5" s="59"/>
      <c r="RBN5" s="59"/>
      <c r="RBO5" s="59"/>
      <c r="RBP5" s="59"/>
      <c r="RBQ5" s="59"/>
      <c r="RBR5" s="59"/>
      <c r="RBS5" s="59"/>
      <c r="RBT5" s="59"/>
      <c r="RBU5" s="59"/>
      <c r="RBV5" s="59"/>
      <c r="RBW5" s="59"/>
      <c r="RBX5" s="59"/>
      <c r="RBY5" s="59"/>
      <c r="RBZ5" s="59"/>
      <c r="RCA5" s="59"/>
      <c r="RCB5" s="59"/>
      <c r="RCC5" s="59"/>
      <c r="RCD5" s="59"/>
      <c r="RCE5" s="59"/>
      <c r="RCF5" s="59"/>
      <c r="RCG5" s="59"/>
      <c r="RCH5" s="59"/>
      <c r="RCI5" s="59"/>
      <c r="RCJ5" s="59"/>
      <c r="RCK5" s="59"/>
      <c r="RCL5" s="59"/>
      <c r="RCM5" s="59"/>
      <c r="RCN5" s="59"/>
      <c r="RCO5" s="59"/>
      <c r="RCP5" s="59"/>
      <c r="RCQ5" s="59"/>
      <c r="RCR5" s="59"/>
      <c r="RCS5" s="59"/>
      <c r="RCT5" s="59"/>
      <c r="RCU5" s="59"/>
      <c r="RCV5" s="59"/>
      <c r="RCW5" s="59"/>
      <c r="RCX5" s="59"/>
      <c r="RCY5" s="59"/>
      <c r="RCZ5" s="59"/>
      <c r="RDA5" s="59"/>
      <c r="RDB5" s="59"/>
      <c r="RDC5" s="59"/>
      <c r="RDD5" s="59"/>
      <c r="RDE5" s="59"/>
      <c r="RDF5" s="59"/>
      <c r="RDG5" s="59"/>
      <c r="RDH5" s="59"/>
      <c r="RDI5" s="59"/>
      <c r="RDJ5" s="59"/>
      <c r="RDK5" s="59"/>
      <c r="RDL5" s="59"/>
      <c r="RDM5" s="59"/>
      <c r="RDN5" s="59"/>
      <c r="RDO5" s="59"/>
      <c r="RDP5" s="59"/>
      <c r="RDQ5" s="59"/>
      <c r="RDR5" s="59"/>
      <c r="RDS5" s="59"/>
      <c r="RDT5" s="59"/>
      <c r="RDU5" s="59"/>
      <c r="RDV5" s="59"/>
      <c r="RDW5" s="59"/>
      <c r="RDX5" s="59"/>
      <c r="RDY5" s="59"/>
      <c r="RDZ5" s="59"/>
      <c r="REA5" s="59"/>
      <c r="REB5" s="59"/>
      <c r="REC5" s="59"/>
      <c r="RED5" s="59"/>
      <c r="REE5" s="59"/>
      <c r="REF5" s="59"/>
      <c r="REG5" s="59"/>
      <c r="REH5" s="59"/>
      <c r="REI5" s="59"/>
      <c r="REJ5" s="59"/>
      <c r="REK5" s="59"/>
      <c r="REL5" s="59"/>
      <c r="REM5" s="59"/>
      <c r="REN5" s="59"/>
      <c r="REO5" s="59"/>
      <c r="REP5" s="59"/>
      <c r="REQ5" s="59"/>
      <c r="RER5" s="59"/>
      <c r="RES5" s="59"/>
      <c r="RET5" s="59"/>
      <c r="REU5" s="59"/>
      <c r="REV5" s="59"/>
      <c r="REW5" s="59"/>
      <c r="REX5" s="59"/>
      <c r="REY5" s="59"/>
      <c r="REZ5" s="59"/>
      <c r="RFA5" s="59"/>
      <c r="RFB5" s="59"/>
      <c r="RFC5" s="59"/>
      <c r="RFD5" s="59"/>
      <c r="RFE5" s="59"/>
      <c r="RFF5" s="59"/>
      <c r="RFG5" s="59"/>
      <c r="RFH5" s="59"/>
      <c r="RFI5" s="59"/>
      <c r="RFJ5" s="59"/>
      <c r="RFK5" s="59"/>
      <c r="RFL5" s="59"/>
      <c r="RFM5" s="59"/>
      <c r="RFN5" s="59"/>
      <c r="RFO5" s="59"/>
      <c r="RFP5" s="59"/>
      <c r="RFQ5" s="59"/>
      <c r="RFR5" s="59"/>
      <c r="RFS5" s="59"/>
      <c r="RFT5" s="59"/>
      <c r="RFU5" s="59"/>
      <c r="RFV5" s="59"/>
      <c r="RFW5" s="59"/>
      <c r="RFX5" s="59"/>
      <c r="RFY5" s="59"/>
      <c r="RFZ5" s="59"/>
      <c r="RGA5" s="59"/>
      <c r="RGB5" s="59"/>
      <c r="RGC5" s="59"/>
      <c r="RGD5" s="59"/>
      <c r="RGE5" s="59"/>
      <c r="RGF5" s="59"/>
      <c r="RGG5" s="59"/>
      <c r="RGH5" s="59"/>
      <c r="RGI5" s="59"/>
      <c r="RGJ5" s="59"/>
      <c r="RGK5" s="59"/>
      <c r="RGL5" s="59"/>
      <c r="RGM5" s="59"/>
      <c r="RGN5" s="59"/>
      <c r="RGO5" s="59"/>
      <c r="RGP5" s="59"/>
      <c r="RGQ5" s="59"/>
      <c r="RGR5" s="59"/>
      <c r="RGS5" s="59"/>
      <c r="RGT5" s="59"/>
      <c r="RGU5" s="59"/>
      <c r="RGV5" s="59"/>
      <c r="RGW5" s="59"/>
      <c r="RGX5" s="59"/>
      <c r="RGY5" s="59"/>
      <c r="RGZ5" s="59"/>
      <c r="RHA5" s="59"/>
      <c r="RHB5" s="59"/>
      <c r="RHC5" s="59"/>
      <c r="RHD5" s="59"/>
      <c r="RHE5" s="59"/>
      <c r="RHF5" s="59"/>
      <c r="RHG5" s="59"/>
      <c r="RHH5" s="59"/>
      <c r="RHI5" s="59"/>
      <c r="RHJ5" s="59"/>
      <c r="RHK5" s="59"/>
      <c r="RHL5" s="59"/>
      <c r="RHM5" s="59"/>
      <c r="RHN5" s="59"/>
      <c r="RHO5" s="59"/>
      <c r="RHP5" s="59"/>
      <c r="RHQ5" s="59"/>
      <c r="RHR5" s="59"/>
      <c r="RHS5" s="59"/>
      <c r="RHT5" s="59"/>
      <c r="RHU5" s="59"/>
      <c r="RHV5" s="59"/>
      <c r="RHW5" s="59"/>
      <c r="RHX5" s="59"/>
      <c r="RHY5" s="59"/>
      <c r="RHZ5" s="59"/>
      <c r="RIA5" s="59"/>
      <c r="RIB5" s="59"/>
      <c r="RIC5" s="59"/>
      <c r="RID5" s="59"/>
      <c r="RIE5" s="59"/>
      <c r="RIF5" s="59"/>
      <c r="RIG5" s="59"/>
      <c r="RIH5" s="59"/>
      <c r="RII5" s="59"/>
      <c r="RIJ5" s="59"/>
      <c r="RIK5" s="59"/>
      <c r="RIL5" s="59"/>
      <c r="RIM5" s="59"/>
      <c r="RIN5" s="59"/>
      <c r="RIO5" s="59"/>
      <c r="RIP5" s="59"/>
      <c r="RIQ5" s="59"/>
      <c r="RIR5" s="59"/>
      <c r="RIS5" s="59"/>
      <c r="RIT5" s="59"/>
      <c r="RIU5" s="59"/>
      <c r="RIV5" s="59"/>
      <c r="RIW5" s="59"/>
      <c r="RIX5" s="59"/>
      <c r="RIY5" s="59"/>
      <c r="RIZ5" s="59"/>
      <c r="RJA5" s="59"/>
      <c r="RJB5" s="59"/>
      <c r="RJC5" s="59"/>
      <c r="RJD5" s="59"/>
      <c r="RJE5" s="59"/>
      <c r="RJF5" s="59"/>
      <c r="RJG5" s="59"/>
      <c r="RJH5" s="59"/>
      <c r="RJI5" s="59"/>
      <c r="RJJ5" s="59"/>
      <c r="RJK5" s="59"/>
      <c r="RJL5" s="59"/>
      <c r="RJM5" s="59"/>
      <c r="RJN5" s="59"/>
      <c r="RJO5" s="59"/>
      <c r="RJP5" s="59"/>
      <c r="RJQ5" s="59"/>
      <c r="RJR5" s="59"/>
      <c r="RJS5" s="59"/>
      <c r="RJT5" s="59"/>
      <c r="RJU5" s="59"/>
      <c r="RJV5" s="59"/>
      <c r="RJW5" s="59"/>
      <c r="RJX5" s="59"/>
      <c r="RJY5" s="59"/>
      <c r="RJZ5" s="59"/>
      <c r="RKA5" s="59"/>
      <c r="RKB5" s="59"/>
      <c r="RKC5" s="59"/>
      <c r="RKD5" s="59"/>
      <c r="RKE5" s="59"/>
      <c r="RKF5" s="59"/>
      <c r="RKG5" s="59"/>
      <c r="RKH5" s="59"/>
      <c r="RKI5" s="59"/>
      <c r="RKJ5" s="59"/>
      <c r="RKK5" s="59"/>
      <c r="RKL5" s="59"/>
      <c r="RKM5" s="59"/>
      <c r="RKN5" s="59"/>
      <c r="RKO5" s="59"/>
      <c r="RKP5" s="59"/>
      <c r="RKQ5" s="59"/>
      <c r="RKR5" s="59"/>
      <c r="RKS5" s="59"/>
      <c r="RKT5" s="59"/>
      <c r="RKU5" s="59"/>
      <c r="RKV5" s="59"/>
      <c r="RKW5" s="59"/>
      <c r="RKX5" s="59"/>
      <c r="RKY5" s="59"/>
      <c r="RKZ5" s="59"/>
      <c r="RLA5" s="59"/>
      <c r="RLB5" s="59"/>
      <c r="RLC5" s="59"/>
      <c r="RLD5" s="59"/>
      <c r="RLE5" s="59"/>
      <c r="RLF5" s="59"/>
      <c r="RLG5" s="59"/>
      <c r="RLH5" s="59"/>
      <c r="RLI5" s="59"/>
      <c r="RLJ5" s="59"/>
      <c r="RLK5" s="59"/>
      <c r="RLL5" s="59"/>
      <c r="RLM5" s="59"/>
      <c r="RLN5" s="59"/>
      <c r="RLO5" s="59"/>
      <c r="RLP5" s="59"/>
      <c r="RLQ5" s="59"/>
      <c r="RLR5" s="59"/>
      <c r="RLS5" s="59"/>
      <c r="RLT5" s="59"/>
      <c r="RLU5" s="59"/>
      <c r="RLV5" s="59"/>
      <c r="RLW5" s="59"/>
      <c r="RLX5" s="59"/>
      <c r="RLY5" s="59"/>
      <c r="RLZ5" s="59"/>
      <c r="RMA5" s="59"/>
      <c r="RMB5" s="59"/>
      <c r="RMC5" s="59"/>
      <c r="RMD5" s="59"/>
      <c r="RME5" s="59"/>
      <c r="RMF5" s="59"/>
      <c r="RMG5" s="59"/>
      <c r="RMH5" s="59"/>
      <c r="RMI5" s="59"/>
      <c r="RMJ5" s="59"/>
      <c r="RMK5" s="59"/>
      <c r="RML5" s="59"/>
      <c r="RMM5" s="59"/>
      <c r="RMN5" s="59"/>
      <c r="RMO5" s="59"/>
      <c r="RMP5" s="59"/>
      <c r="RMQ5" s="59"/>
      <c r="RMR5" s="59"/>
      <c r="RMS5" s="59"/>
      <c r="RMT5" s="59"/>
      <c r="RMU5" s="59"/>
      <c r="RMV5" s="59"/>
      <c r="RMW5" s="59"/>
      <c r="RMX5" s="59"/>
      <c r="RMY5" s="59"/>
      <c r="RMZ5" s="59"/>
      <c r="RNA5" s="59"/>
      <c r="RNB5" s="59"/>
      <c r="RNC5" s="59"/>
      <c r="RND5" s="59"/>
      <c r="RNE5" s="59"/>
      <c r="RNF5" s="59"/>
      <c r="RNG5" s="59"/>
      <c r="RNH5" s="59"/>
      <c r="RNI5" s="59"/>
      <c r="RNJ5" s="59"/>
      <c r="RNK5" s="59"/>
      <c r="RNL5" s="59"/>
      <c r="RNM5" s="59"/>
      <c r="RNN5" s="59"/>
      <c r="RNO5" s="59"/>
      <c r="RNP5" s="59"/>
      <c r="RNQ5" s="59"/>
      <c r="RNR5" s="59"/>
      <c r="RNS5" s="59"/>
      <c r="RNT5" s="59"/>
      <c r="RNU5" s="59"/>
      <c r="RNV5" s="59"/>
      <c r="RNW5" s="59"/>
      <c r="RNX5" s="59"/>
      <c r="RNY5" s="59"/>
      <c r="RNZ5" s="59"/>
      <c r="ROA5" s="59"/>
      <c r="ROB5" s="59"/>
      <c r="ROC5" s="59"/>
      <c r="ROD5" s="59"/>
      <c r="ROE5" s="59"/>
      <c r="ROF5" s="59"/>
      <c r="ROG5" s="59"/>
      <c r="ROH5" s="59"/>
      <c r="ROI5" s="59"/>
      <c r="ROJ5" s="59"/>
      <c r="ROK5" s="59"/>
      <c r="ROL5" s="59"/>
      <c r="ROM5" s="59"/>
      <c r="RON5" s="59"/>
      <c r="ROO5" s="59"/>
      <c r="ROP5" s="59"/>
      <c r="ROQ5" s="59"/>
      <c r="ROR5" s="59"/>
      <c r="ROS5" s="59"/>
      <c r="ROT5" s="59"/>
      <c r="ROU5" s="59"/>
      <c r="ROV5" s="59"/>
      <c r="ROW5" s="59"/>
      <c r="ROX5" s="59"/>
      <c r="ROY5" s="59"/>
      <c r="ROZ5" s="59"/>
      <c r="RPA5" s="59"/>
      <c r="RPB5" s="59"/>
      <c r="RPC5" s="59"/>
      <c r="RPD5" s="59"/>
      <c r="RPE5" s="59"/>
      <c r="RPF5" s="59"/>
      <c r="RPG5" s="59"/>
      <c r="RPH5" s="59"/>
      <c r="RPI5" s="59"/>
      <c r="RPJ5" s="59"/>
      <c r="RPK5" s="59"/>
      <c r="RPL5" s="59"/>
      <c r="RPM5" s="59"/>
      <c r="RPN5" s="59"/>
      <c r="RPO5" s="59"/>
      <c r="RPP5" s="59"/>
      <c r="RPQ5" s="59"/>
      <c r="RPR5" s="59"/>
      <c r="RPS5" s="59"/>
      <c r="RPT5" s="59"/>
      <c r="RPU5" s="59"/>
      <c r="RPV5" s="59"/>
      <c r="RPW5" s="59"/>
      <c r="RPX5" s="59"/>
      <c r="RPY5" s="59"/>
      <c r="RPZ5" s="59"/>
      <c r="RQA5" s="59"/>
      <c r="RQB5" s="59"/>
      <c r="RQC5" s="59"/>
      <c r="RQD5" s="59"/>
      <c r="RQE5" s="59"/>
      <c r="RQF5" s="59"/>
      <c r="RQG5" s="59"/>
      <c r="RQH5" s="59"/>
      <c r="RQI5" s="59"/>
      <c r="RQJ5" s="59"/>
      <c r="RQK5" s="59"/>
      <c r="RQL5" s="59"/>
      <c r="RQM5" s="59"/>
      <c r="RQN5" s="59"/>
      <c r="RQO5" s="59"/>
      <c r="RQP5" s="59"/>
      <c r="RQQ5" s="59"/>
      <c r="RQR5" s="59"/>
      <c r="RQS5" s="59"/>
      <c r="RQT5" s="59"/>
      <c r="RQU5" s="59"/>
      <c r="RQV5" s="59"/>
      <c r="RQW5" s="59"/>
      <c r="RQX5" s="59"/>
      <c r="RQY5" s="59"/>
      <c r="RQZ5" s="59"/>
      <c r="RRA5" s="59"/>
      <c r="RRB5" s="59"/>
      <c r="RRC5" s="59"/>
      <c r="RRD5" s="59"/>
      <c r="RRE5" s="59"/>
      <c r="RRF5" s="59"/>
      <c r="RRG5" s="59"/>
      <c r="RRH5" s="59"/>
      <c r="RRI5" s="59"/>
      <c r="RRJ5" s="59"/>
      <c r="RRK5" s="59"/>
      <c r="RRL5" s="59"/>
      <c r="RRM5" s="59"/>
      <c r="RRN5" s="59"/>
      <c r="RRO5" s="59"/>
      <c r="RRP5" s="59"/>
      <c r="RRQ5" s="59"/>
      <c r="RRR5" s="59"/>
      <c r="RRS5" s="59"/>
      <c r="RRT5" s="59"/>
      <c r="RRU5" s="59"/>
      <c r="RRV5" s="59"/>
      <c r="RRW5" s="59"/>
      <c r="RRX5" s="59"/>
      <c r="RRY5" s="59"/>
      <c r="RRZ5" s="59"/>
      <c r="RSA5" s="59"/>
      <c r="RSB5" s="59"/>
      <c r="RSC5" s="59"/>
      <c r="RSD5" s="59"/>
      <c r="RSE5" s="59"/>
      <c r="RSF5" s="59"/>
      <c r="RSG5" s="59"/>
      <c r="RSH5" s="59"/>
      <c r="RSI5" s="59"/>
      <c r="RSJ5" s="59"/>
      <c r="RSK5" s="59"/>
      <c r="RSL5" s="59"/>
      <c r="RSM5" s="59"/>
      <c r="RSN5" s="59"/>
      <c r="RSO5" s="59"/>
      <c r="RSP5" s="59"/>
      <c r="RSQ5" s="59"/>
      <c r="RSR5" s="59"/>
      <c r="RSS5" s="59"/>
      <c r="RST5" s="59"/>
      <c r="RSU5" s="59"/>
      <c r="RSV5" s="59"/>
      <c r="RSW5" s="59"/>
      <c r="RSX5" s="59"/>
      <c r="RSY5" s="59"/>
      <c r="RSZ5" s="59"/>
      <c r="RTA5" s="59"/>
      <c r="RTB5" s="59"/>
      <c r="RTC5" s="59"/>
      <c r="RTD5" s="59"/>
      <c r="RTE5" s="59"/>
      <c r="RTF5" s="59"/>
      <c r="RTG5" s="59"/>
      <c r="RTH5" s="59"/>
      <c r="RTI5" s="59"/>
      <c r="RTJ5" s="59"/>
      <c r="RTK5" s="59"/>
      <c r="RTL5" s="59"/>
      <c r="RTM5" s="59"/>
      <c r="RTN5" s="59"/>
      <c r="RTO5" s="59"/>
      <c r="RTP5" s="59"/>
      <c r="RTQ5" s="59"/>
      <c r="RTR5" s="59"/>
      <c r="RTS5" s="59"/>
      <c r="RTT5" s="59"/>
      <c r="RTU5" s="59"/>
      <c r="RTV5" s="59"/>
      <c r="RTW5" s="59"/>
      <c r="RTX5" s="59"/>
      <c r="RTY5" s="59"/>
      <c r="RTZ5" s="59"/>
      <c r="RUA5" s="59"/>
      <c r="RUB5" s="59"/>
      <c r="RUC5" s="59"/>
      <c r="RUD5" s="59"/>
      <c r="RUE5" s="59"/>
      <c r="RUF5" s="59"/>
      <c r="RUG5" s="59"/>
      <c r="RUH5" s="59"/>
      <c r="RUI5" s="59"/>
      <c r="RUJ5" s="59"/>
      <c r="RUK5" s="59"/>
      <c r="RUL5" s="59"/>
      <c r="RUM5" s="59"/>
      <c r="RUN5" s="59"/>
      <c r="RUO5" s="59"/>
      <c r="RUP5" s="59"/>
      <c r="RUQ5" s="59"/>
      <c r="RUR5" s="59"/>
      <c r="RUS5" s="59"/>
      <c r="RUT5" s="59"/>
      <c r="RUU5" s="59"/>
      <c r="RUV5" s="59"/>
      <c r="RUW5" s="59"/>
      <c r="RUX5" s="59"/>
      <c r="RUY5" s="59"/>
      <c r="RUZ5" s="59"/>
      <c r="RVA5" s="59"/>
      <c r="RVB5" s="59"/>
      <c r="RVC5" s="59"/>
      <c r="RVD5" s="59"/>
      <c r="RVE5" s="59"/>
      <c r="RVF5" s="59"/>
      <c r="RVG5" s="59"/>
      <c r="RVH5" s="59"/>
      <c r="RVI5" s="59"/>
      <c r="RVJ5" s="59"/>
      <c r="RVK5" s="59"/>
      <c r="RVL5" s="59"/>
      <c r="RVM5" s="59"/>
      <c r="RVN5" s="59"/>
      <c r="RVO5" s="59"/>
      <c r="RVP5" s="59"/>
      <c r="RVQ5" s="59"/>
      <c r="RVR5" s="59"/>
      <c r="RVS5" s="59"/>
      <c r="RVT5" s="59"/>
      <c r="RVU5" s="59"/>
      <c r="RVV5" s="59"/>
      <c r="RVW5" s="59"/>
      <c r="RVX5" s="59"/>
      <c r="RVY5" s="59"/>
      <c r="RVZ5" s="59"/>
      <c r="RWA5" s="59"/>
      <c r="RWB5" s="59"/>
      <c r="RWC5" s="59"/>
      <c r="RWD5" s="59"/>
      <c r="RWE5" s="59"/>
      <c r="RWF5" s="59"/>
      <c r="RWG5" s="59"/>
      <c r="RWH5" s="59"/>
      <c r="RWI5" s="59"/>
      <c r="RWJ5" s="59"/>
      <c r="RWK5" s="59"/>
      <c r="RWL5" s="59"/>
      <c r="RWM5" s="59"/>
      <c r="RWN5" s="59"/>
      <c r="RWO5" s="59"/>
      <c r="RWP5" s="59"/>
      <c r="RWQ5" s="59"/>
      <c r="RWR5" s="59"/>
      <c r="RWS5" s="59"/>
      <c r="RWT5" s="59"/>
      <c r="RWU5" s="59"/>
      <c r="RWV5" s="59"/>
      <c r="RWW5" s="59"/>
      <c r="RWX5" s="59"/>
      <c r="RWY5" s="59"/>
      <c r="RWZ5" s="59"/>
      <c r="RXA5" s="59"/>
      <c r="RXB5" s="59"/>
      <c r="RXC5" s="59"/>
      <c r="RXD5" s="59"/>
      <c r="RXE5" s="59"/>
      <c r="RXF5" s="59"/>
      <c r="RXG5" s="59"/>
      <c r="RXH5" s="59"/>
      <c r="RXI5" s="59"/>
      <c r="RXJ5" s="59"/>
      <c r="RXK5" s="59"/>
      <c r="RXL5" s="59"/>
      <c r="RXM5" s="59"/>
      <c r="RXN5" s="59"/>
      <c r="RXO5" s="59"/>
      <c r="RXP5" s="59"/>
      <c r="RXQ5" s="59"/>
      <c r="RXR5" s="59"/>
      <c r="RXS5" s="59"/>
      <c r="RXT5" s="59"/>
      <c r="RXU5" s="59"/>
      <c r="RXV5" s="59"/>
      <c r="RXW5" s="59"/>
      <c r="RXX5" s="59"/>
      <c r="RXY5" s="59"/>
      <c r="RXZ5" s="59"/>
      <c r="RYA5" s="59"/>
      <c r="RYB5" s="59"/>
      <c r="RYC5" s="59"/>
      <c r="RYD5" s="59"/>
      <c r="RYE5" s="59"/>
      <c r="RYF5" s="59"/>
      <c r="RYG5" s="59"/>
      <c r="RYH5" s="59"/>
      <c r="RYI5" s="59"/>
      <c r="RYJ5" s="59"/>
      <c r="RYK5" s="59"/>
      <c r="RYL5" s="59"/>
      <c r="RYM5" s="59"/>
      <c r="RYN5" s="59"/>
      <c r="RYO5" s="59"/>
      <c r="RYP5" s="59"/>
      <c r="RYQ5" s="59"/>
      <c r="RYR5" s="59"/>
      <c r="RYS5" s="59"/>
      <c r="RYT5" s="59"/>
      <c r="RYU5" s="59"/>
      <c r="RYV5" s="59"/>
      <c r="RYW5" s="59"/>
      <c r="RYX5" s="59"/>
      <c r="RYY5" s="59"/>
      <c r="RYZ5" s="59"/>
      <c r="RZA5" s="59"/>
      <c r="RZB5" s="59"/>
      <c r="RZC5" s="59"/>
      <c r="RZD5" s="59"/>
      <c r="RZE5" s="59"/>
      <c r="RZF5" s="59"/>
      <c r="RZG5" s="59"/>
      <c r="RZH5" s="59"/>
      <c r="RZI5" s="59"/>
      <c r="RZJ5" s="59"/>
      <c r="RZK5" s="59"/>
      <c r="RZL5" s="59"/>
      <c r="RZM5" s="59"/>
      <c r="RZN5" s="59"/>
      <c r="RZO5" s="59"/>
      <c r="RZP5" s="59"/>
      <c r="RZQ5" s="59"/>
      <c r="RZR5" s="59"/>
      <c r="RZS5" s="59"/>
      <c r="RZT5" s="59"/>
      <c r="RZU5" s="59"/>
      <c r="RZV5" s="59"/>
      <c r="RZW5" s="59"/>
      <c r="RZX5" s="59"/>
      <c r="RZY5" s="59"/>
      <c r="RZZ5" s="59"/>
      <c r="SAA5" s="59"/>
      <c r="SAB5" s="59"/>
      <c r="SAC5" s="59"/>
      <c r="SAD5" s="59"/>
      <c r="SAE5" s="59"/>
      <c r="SAF5" s="59"/>
      <c r="SAG5" s="59"/>
      <c r="SAH5" s="59"/>
      <c r="SAI5" s="59"/>
      <c r="SAJ5" s="59"/>
      <c r="SAK5" s="59"/>
      <c r="SAL5" s="59"/>
      <c r="SAM5" s="59"/>
      <c r="SAN5" s="59"/>
      <c r="SAO5" s="59"/>
      <c r="SAP5" s="59"/>
      <c r="SAQ5" s="59"/>
      <c r="SAR5" s="59"/>
      <c r="SAS5" s="59"/>
      <c r="SAT5" s="59"/>
      <c r="SAU5" s="59"/>
      <c r="SAV5" s="59"/>
      <c r="SAW5" s="59"/>
      <c r="SAX5" s="59"/>
      <c r="SAY5" s="59"/>
      <c r="SAZ5" s="59"/>
      <c r="SBA5" s="59"/>
      <c r="SBB5" s="59"/>
      <c r="SBC5" s="59"/>
      <c r="SBD5" s="59"/>
      <c r="SBE5" s="59"/>
      <c r="SBF5" s="59"/>
      <c r="SBG5" s="59"/>
      <c r="SBH5" s="59"/>
      <c r="SBI5" s="59"/>
      <c r="SBJ5" s="59"/>
      <c r="SBK5" s="59"/>
      <c r="SBL5" s="59"/>
      <c r="SBM5" s="59"/>
      <c r="SBN5" s="59"/>
      <c r="SBO5" s="59"/>
      <c r="SBP5" s="59"/>
      <c r="SBQ5" s="59"/>
      <c r="SBR5" s="59"/>
      <c r="SBS5" s="59"/>
      <c r="SBT5" s="59"/>
      <c r="SBU5" s="59"/>
      <c r="SBV5" s="59"/>
      <c r="SBW5" s="59"/>
      <c r="SBX5" s="59"/>
      <c r="SBY5" s="59"/>
      <c r="SBZ5" s="59"/>
      <c r="SCA5" s="59"/>
      <c r="SCB5" s="59"/>
      <c r="SCC5" s="59"/>
      <c r="SCD5" s="59"/>
      <c r="SCE5" s="59"/>
      <c r="SCF5" s="59"/>
      <c r="SCG5" s="59"/>
      <c r="SCH5" s="59"/>
      <c r="SCI5" s="59"/>
      <c r="SCJ5" s="59"/>
      <c r="SCK5" s="59"/>
      <c r="SCL5" s="59"/>
      <c r="SCM5" s="59"/>
      <c r="SCN5" s="59"/>
      <c r="SCO5" s="59"/>
      <c r="SCP5" s="59"/>
      <c r="SCQ5" s="59"/>
      <c r="SCR5" s="59"/>
      <c r="SCS5" s="59"/>
      <c r="SCT5" s="59"/>
      <c r="SCU5" s="59"/>
      <c r="SCV5" s="59"/>
      <c r="SCW5" s="59"/>
      <c r="SCX5" s="59"/>
      <c r="SCY5" s="59"/>
      <c r="SCZ5" s="59"/>
      <c r="SDA5" s="59"/>
      <c r="SDB5" s="59"/>
      <c r="SDC5" s="59"/>
      <c r="SDD5" s="59"/>
      <c r="SDE5" s="59"/>
      <c r="SDF5" s="59"/>
      <c r="SDG5" s="59"/>
      <c r="SDH5" s="59"/>
      <c r="SDI5" s="59"/>
      <c r="SDJ5" s="59"/>
      <c r="SDK5" s="59"/>
      <c r="SDL5" s="59"/>
      <c r="SDM5" s="59"/>
      <c r="SDN5" s="59"/>
      <c r="SDO5" s="59"/>
      <c r="SDP5" s="59"/>
      <c r="SDQ5" s="59"/>
      <c r="SDR5" s="59"/>
      <c r="SDS5" s="59"/>
      <c r="SDT5" s="59"/>
      <c r="SDU5" s="59"/>
      <c r="SDV5" s="59"/>
      <c r="SDW5" s="59"/>
      <c r="SDX5" s="59"/>
      <c r="SDY5" s="59"/>
      <c r="SDZ5" s="59"/>
      <c r="SEA5" s="59"/>
      <c r="SEB5" s="59"/>
      <c r="SEC5" s="59"/>
      <c r="SED5" s="59"/>
      <c r="SEE5" s="59"/>
      <c r="SEF5" s="59"/>
      <c r="SEG5" s="59"/>
      <c r="SEH5" s="59"/>
      <c r="SEI5" s="59"/>
      <c r="SEJ5" s="59"/>
      <c r="SEK5" s="59"/>
      <c r="SEL5" s="59"/>
      <c r="SEM5" s="59"/>
      <c r="SEN5" s="59"/>
      <c r="SEO5" s="59"/>
      <c r="SEP5" s="59"/>
      <c r="SEQ5" s="59"/>
      <c r="SER5" s="59"/>
      <c r="SES5" s="59"/>
      <c r="SET5" s="59"/>
      <c r="SEU5" s="59"/>
      <c r="SEV5" s="59"/>
      <c r="SEW5" s="59"/>
      <c r="SEX5" s="59"/>
      <c r="SEY5" s="59"/>
      <c r="SEZ5" s="59"/>
      <c r="SFA5" s="59"/>
      <c r="SFB5" s="59"/>
      <c r="SFC5" s="59"/>
      <c r="SFD5" s="59"/>
      <c r="SFE5" s="59"/>
      <c r="SFF5" s="59"/>
      <c r="SFG5" s="59"/>
      <c r="SFH5" s="59"/>
      <c r="SFI5" s="59"/>
      <c r="SFJ5" s="59"/>
      <c r="SFK5" s="59"/>
      <c r="SFL5" s="59"/>
      <c r="SFM5" s="59"/>
      <c r="SFN5" s="59"/>
      <c r="SFO5" s="59"/>
      <c r="SFP5" s="59"/>
      <c r="SFQ5" s="59"/>
      <c r="SFR5" s="59"/>
      <c r="SFS5" s="59"/>
      <c r="SFT5" s="59"/>
      <c r="SFU5" s="59"/>
      <c r="SFV5" s="59"/>
      <c r="SFW5" s="59"/>
      <c r="SFX5" s="59"/>
      <c r="SFY5" s="59"/>
      <c r="SFZ5" s="59"/>
      <c r="SGA5" s="59"/>
      <c r="SGB5" s="59"/>
      <c r="SGC5" s="59"/>
      <c r="SGD5" s="59"/>
      <c r="SGE5" s="59"/>
      <c r="SGF5" s="59"/>
      <c r="SGG5" s="59"/>
      <c r="SGH5" s="59"/>
      <c r="SGI5" s="59"/>
      <c r="SGJ5" s="59"/>
      <c r="SGK5" s="59"/>
      <c r="SGL5" s="59"/>
      <c r="SGM5" s="59"/>
      <c r="SGN5" s="59"/>
      <c r="SGO5" s="59"/>
      <c r="SGP5" s="59"/>
      <c r="SGQ5" s="59"/>
      <c r="SGR5" s="59"/>
      <c r="SGS5" s="59"/>
      <c r="SGT5" s="59"/>
      <c r="SGU5" s="59"/>
      <c r="SGV5" s="59"/>
      <c r="SGW5" s="59"/>
      <c r="SGX5" s="59"/>
      <c r="SGY5" s="59"/>
      <c r="SGZ5" s="59"/>
      <c r="SHA5" s="59"/>
      <c r="SHB5" s="59"/>
      <c r="SHC5" s="59"/>
      <c r="SHD5" s="59"/>
      <c r="SHE5" s="59"/>
      <c r="SHF5" s="59"/>
      <c r="SHG5" s="59"/>
      <c r="SHH5" s="59"/>
      <c r="SHI5" s="59"/>
      <c r="SHJ5" s="59"/>
      <c r="SHK5" s="59"/>
      <c r="SHL5" s="59"/>
      <c r="SHM5" s="59"/>
      <c r="SHN5" s="59"/>
      <c r="SHO5" s="59"/>
      <c r="SHP5" s="59"/>
      <c r="SHQ5" s="59"/>
      <c r="SHR5" s="59"/>
      <c r="SHS5" s="59"/>
      <c r="SHT5" s="59"/>
      <c r="SHU5" s="59"/>
      <c r="SHV5" s="59"/>
      <c r="SHW5" s="59"/>
      <c r="SHX5" s="59"/>
      <c r="SHY5" s="59"/>
      <c r="SHZ5" s="59"/>
      <c r="SIA5" s="59"/>
      <c r="SIB5" s="59"/>
      <c r="SIC5" s="59"/>
      <c r="SID5" s="59"/>
      <c r="SIE5" s="59"/>
      <c r="SIF5" s="59"/>
      <c r="SIG5" s="59"/>
      <c r="SIH5" s="59"/>
      <c r="SII5" s="59"/>
      <c r="SIJ5" s="59"/>
      <c r="SIK5" s="59"/>
      <c r="SIL5" s="59"/>
      <c r="SIM5" s="59"/>
      <c r="SIN5" s="59"/>
      <c r="SIO5" s="59"/>
      <c r="SIP5" s="59"/>
      <c r="SIQ5" s="59"/>
      <c r="SIR5" s="59"/>
      <c r="SIS5" s="59"/>
      <c r="SIT5" s="59"/>
      <c r="SIU5" s="59"/>
      <c r="SIV5" s="59"/>
      <c r="SIW5" s="59"/>
      <c r="SIX5" s="59"/>
      <c r="SIY5" s="59"/>
      <c r="SIZ5" s="59"/>
      <c r="SJA5" s="59"/>
      <c r="SJB5" s="59"/>
      <c r="SJC5" s="59"/>
      <c r="SJD5" s="59"/>
      <c r="SJE5" s="59"/>
      <c r="SJF5" s="59"/>
      <c r="SJG5" s="59"/>
      <c r="SJH5" s="59"/>
      <c r="SJI5" s="59"/>
      <c r="SJJ5" s="59"/>
      <c r="SJK5" s="59"/>
      <c r="SJL5" s="59"/>
      <c r="SJM5" s="59"/>
      <c r="SJN5" s="59"/>
      <c r="SJO5" s="59"/>
      <c r="SJP5" s="59"/>
      <c r="SJQ5" s="59"/>
      <c r="SJR5" s="59"/>
      <c r="SJS5" s="59"/>
      <c r="SJT5" s="59"/>
      <c r="SJU5" s="59"/>
      <c r="SJV5" s="59"/>
      <c r="SJW5" s="59"/>
      <c r="SJX5" s="59"/>
      <c r="SJY5" s="59"/>
      <c r="SJZ5" s="59"/>
      <c r="SKA5" s="59"/>
      <c r="SKB5" s="59"/>
      <c r="SKC5" s="59"/>
      <c r="SKD5" s="59"/>
      <c r="SKE5" s="59"/>
      <c r="SKF5" s="59"/>
      <c r="SKG5" s="59"/>
      <c r="SKH5" s="59"/>
      <c r="SKI5" s="59"/>
      <c r="SKJ5" s="59"/>
      <c r="SKK5" s="59"/>
      <c r="SKL5" s="59"/>
      <c r="SKM5" s="59"/>
      <c r="SKN5" s="59"/>
      <c r="SKO5" s="59"/>
      <c r="SKP5" s="59"/>
      <c r="SKQ5" s="59"/>
      <c r="SKR5" s="59"/>
      <c r="SKS5" s="59"/>
      <c r="SKT5" s="59"/>
      <c r="SKU5" s="59"/>
      <c r="SKV5" s="59"/>
      <c r="SKW5" s="59"/>
      <c r="SKX5" s="59"/>
      <c r="SKY5" s="59"/>
      <c r="SKZ5" s="59"/>
      <c r="SLA5" s="59"/>
      <c r="SLB5" s="59"/>
      <c r="SLC5" s="59"/>
      <c r="SLD5" s="59"/>
      <c r="SLE5" s="59"/>
      <c r="SLF5" s="59"/>
      <c r="SLG5" s="59"/>
      <c r="SLH5" s="59"/>
      <c r="SLI5" s="59"/>
      <c r="SLJ5" s="59"/>
      <c r="SLK5" s="59"/>
      <c r="SLL5" s="59"/>
      <c r="SLM5" s="59"/>
      <c r="SLN5" s="59"/>
      <c r="SLO5" s="59"/>
      <c r="SLP5" s="59"/>
      <c r="SLQ5" s="59"/>
      <c r="SLR5" s="59"/>
      <c r="SLS5" s="59"/>
      <c r="SLT5" s="59"/>
      <c r="SLU5" s="59"/>
      <c r="SLV5" s="59"/>
      <c r="SLW5" s="59"/>
      <c r="SLX5" s="59"/>
      <c r="SLY5" s="59"/>
      <c r="SLZ5" s="59"/>
      <c r="SMA5" s="59"/>
      <c r="SMB5" s="59"/>
      <c r="SMC5" s="59"/>
      <c r="SMD5" s="59"/>
      <c r="SME5" s="59"/>
      <c r="SMF5" s="59"/>
      <c r="SMG5" s="59"/>
      <c r="SMH5" s="59"/>
      <c r="SMI5" s="59"/>
      <c r="SMJ5" s="59"/>
      <c r="SMK5" s="59"/>
      <c r="SML5" s="59"/>
      <c r="SMM5" s="59"/>
      <c r="SMN5" s="59"/>
      <c r="SMO5" s="59"/>
      <c r="SMP5" s="59"/>
      <c r="SMQ5" s="59"/>
      <c r="SMR5" s="59"/>
      <c r="SMS5" s="59"/>
      <c r="SMT5" s="59"/>
      <c r="SMU5" s="59"/>
      <c r="SMV5" s="59"/>
      <c r="SMW5" s="59"/>
      <c r="SMX5" s="59"/>
      <c r="SMY5" s="59"/>
      <c r="SMZ5" s="59"/>
      <c r="SNA5" s="59"/>
      <c r="SNB5" s="59"/>
      <c r="SNC5" s="59"/>
      <c r="SND5" s="59"/>
      <c r="SNE5" s="59"/>
      <c r="SNF5" s="59"/>
      <c r="SNG5" s="59"/>
      <c r="SNH5" s="59"/>
      <c r="SNI5" s="59"/>
      <c r="SNJ5" s="59"/>
      <c r="SNK5" s="59"/>
      <c r="SNL5" s="59"/>
      <c r="SNM5" s="59"/>
      <c r="SNN5" s="59"/>
      <c r="SNO5" s="59"/>
      <c r="SNP5" s="59"/>
      <c r="SNQ5" s="59"/>
      <c r="SNR5" s="59"/>
      <c r="SNS5" s="59"/>
      <c r="SNT5" s="59"/>
      <c r="SNU5" s="59"/>
      <c r="SNV5" s="59"/>
      <c r="SNW5" s="59"/>
      <c r="SNX5" s="59"/>
      <c r="SNY5" s="59"/>
      <c r="SNZ5" s="59"/>
      <c r="SOA5" s="59"/>
      <c r="SOB5" s="59"/>
      <c r="SOC5" s="59"/>
      <c r="SOD5" s="59"/>
      <c r="SOE5" s="59"/>
      <c r="SOF5" s="59"/>
      <c r="SOG5" s="59"/>
      <c r="SOH5" s="59"/>
      <c r="SOI5" s="59"/>
      <c r="SOJ5" s="59"/>
      <c r="SOK5" s="59"/>
      <c r="SOL5" s="59"/>
      <c r="SOM5" s="59"/>
      <c r="SON5" s="59"/>
      <c r="SOO5" s="59"/>
      <c r="SOP5" s="59"/>
      <c r="SOQ5" s="59"/>
      <c r="SOR5" s="59"/>
      <c r="SOS5" s="59"/>
      <c r="SOT5" s="59"/>
      <c r="SOU5" s="59"/>
      <c r="SOV5" s="59"/>
      <c r="SOW5" s="59"/>
      <c r="SOX5" s="59"/>
      <c r="SOY5" s="59"/>
      <c r="SOZ5" s="59"/>
      <c r="SPA5" s="59"/>
      <c r="SPB5" s="59"/>
      <c r="SPC5" s="59"/>
      <c r="SPD5" s="59"/>
      <c r="SPE5" s="59"/>
      <c r="SPF5" s="59"/>
      <c r="SPG5" s="59"/>
      <c r="SPH5" s="59"/>
      <c r="SPI5" s="59"/>
      <c r="SPJ5" s="59"/>
      <c r="SPK5" s="59"/>
      <c r="SPL5" s="59"/>
      <c r="SPM5" s="59"/>
      <c r="SPN5" s="59"/>
      <c r="SPO5" s="59"/>
      <c r="SPP5" s="59"/>
      <c r="SPQ5" s="59"/>
      <c r="SPR5" s="59"/>
      <c r="SPS5" s="59"/>
      <c r="SPT5" s="59"/>
      <c r="SPU5" s="59"/>
      <c r="SPV5" s="59"/>
      <c r="SPW5" s="59"/>
      <c r="SPX5" s="59"/>
      <c r="SPY5" s="59"/>
      <c r="SPZ5" s="59"/>
      <c r="SQA5" s="59"/>
      <c r="SQB5" s="59"/>
      <c r="SQC5" s="59"/>
      <c r="SQD5" s="59"/>
      <c r="SQE5" s="59"/>
      <c r="SQF5" s="59"/>
      <c r="SQG5" s="59"/>
      <c r="SQH5" s="59"/>
      <c r="SQI5" s="59"/>
      <c r="SQJ5" s="59"/>
      <c r="SQK5" s="59"/>
      <c r="SQL5" s="59"/>
      <c r="SQM5" s="59"/>
      <c r="SQN5" s="59"/>
      <c r="SQO5" s="59"/>
      <c r="SQP5" s="59"/>
      <c r="SQQ5" s="59"/>
      <c r="SQR5" s="59"/>
      <c r="SQS5" s="59"/>
      <c r="SQT5" s="59"/>
      <c r="SQU5" s="59"/>
      <c r="SQV5" s="59"/>
      <c r="SQW5" s="59"/>
      <c r="SQX5" s="59"/>
      <c r="SQY5" s="59"/>
      <c r="SQZ5" s="59"/>
      <c r="SRA5" s="59"/>
      <c r="SRB5" s="59"/>
      <c r="SRC5" s="59"/>
      <c r="SRD5" s="59"/>
      <c r="SRE5" s="59"/>
      <c r="SRF5" s="59"/>
      <c r="SRG5" s="59"/>
      <c r="SRH5" s="59"/>
      <c r="SRI5" s="59"/>
      <c r="SRJ5" s="59"/>
      <c r="SRK5" s="59"/>
      <c r="SRL5" s="59"/>
      <c r="SRM5" s="59"/>
      <c r="SRN5" s="59"/>
      <c r="SRO5" s="59"/>
      <c r="SRP5" s="59"/>
      <c r="SRQ5" s="59"/>
      <c r="SRR5" s="59"/>
      <c r="SRS5" s="59"/>
      <c r="SRT5" s="59"/>
      <c r="SRU5" s="59"/>
      <c r="SRV5" s="59"/>
      <c r="SRW5" s="59"/>
      <c r="SRX5" s="59"/>
      <c r="SRY5" s="59"/>
      <c r="SRZ5" s="59"/>
      <c r="SSA5" s="59"/>
      <c r="SSB5" s="59"/>
      <c r="SSC5" s="59"/>
      <c r="SSD5" s="59"/>
      <c r="SSE5" s="59"/>
      <c r="SSF5" s="59"/>
      <c r="SSG5" s="59"/>
      <c r="SSH5" s="59"/>
      <c r="SSI5" s="59"/>
      <c r="SSJ5" s="59"/>
      <c r="SSK5" s="59"/>
      <c r="SSL5" s="59"/>
      <c r="SSM5" s="59"/>
      <c r="SSN5" s="59"/>
      <c r="SSO5" s="59"/>
      <c r="SSP5" s="59"/>
      <c r="SSQ5" s="59"/>
      <c r="SSR5" s="59"/>
      <c r="SSS5" s="59"/>
      <c r="SST5" s="59"/>
      <c r="SSU5" s="59"/>
      <c r="SSV5" s="59"/>
      <c r="SSW5" s="59"/>
      <c r="SSX5" s="59"/>
      <c r="SSY5" s="59"/>
      <c r="SSZ5" s="59"/>
      <c r="STA5" s="59"/>
      <c r="STB5" s="59"/>
      <c r="STC5" s="59"/>
      <c r="STD5" s="59"/>
      <c r="STE5" s="59"/>
      <c r="STF5" s="59"/>
      <c r="STG5" s="59"/>
      <c r="STH5" s="59"/>
      <c r="STI5" s="59"/>
      <c r="STJ5" s="59"/>
      <c r="STK5" s="59"/>
      <c r="STL5" s="59"/>
      <c r="STM5" s="59"/>
      <c r="STN5" s="59"/>
      <c r="STO5" s="59"/>
      <c r="STP5" s="59"/>
      <c r="STQ5" s="59"/>
      <c r="STR5" s="59"/>
      <c r="STS5" s="59"/>
      <c r="STT5" s="59"/>
      <c r="STU5" s="59"/>
      <c r="STV5" s="59"/>
      <c r="STW5" s="59"/>
      <c r="STX5" s="59"/>
      <c r="STY5" s="59"/>
      <c r="STZ5" s="59"/>
      <c r="SUA5" s="59"/>
      <c r="SUB5" s="59"/>
      <c r="SUC5" s="59"/>
      <c r="SUD5" s="59"/>
      <c r="SUE5" s="59"/>
      <c r="SUF5" s="59"/>
      <c r="SUG5" s="59"/>
      <c r="SUH5" s="59"/>
      <c r="SUI5" s="59"/>
      <c r="SUJ5" s="59"/>
      <c r="SUK5" s="59"/>
      <c r="SUL5" s="59"/>
      <c r="SUM5" s="59"/>
      <c r="SUN5" s="59"/>
      <c r="SUO5" s="59"/>
      <c r="SUP5" s="59"/>
      <c r="SUQ5" s="59"/>
      <c r="SUR5" s="59"/>
      <c r="SUS5" s="59"/>
      <c r="SUT5" s="59"/>
      <c r="SUU5" s="59"/>
      <c r="SUV5" s="59"/>
      <c r="SUW5" s="59"/>
      <c r="SUX5" s="59"/>
      <c r="SUY5" s="59"/>
      <c r="SUZ5" s="59"/>
      <c r="SVA5" s="59"/>
      <c r="SVB5" s="59"/>
      <c r="SVC5" s="59"/>
      <c r="SVD5" s="59"/>
      <c r="SVE5" s="59"/>
      <c r="SVF5" s="59"/>
      <c r="SVG5" s="59"/>
      <c r="SVH5" s="59"/>
      <c r="SVI5" s="59"/>
      <c r="SVJ5" s="59"/>
      <c r="SVK5" s="59"/>
      <c r="SVL5" s="59"/>
      <c r="SVM5" s="59"/>
      <c r="SVN5" s="59"/>
      <c r="SVO5" s="59"/>
      <c r="SVP5" s="59"/>
      <c r="SVQ5" s="59"/>
      <c r="SVR5" s="59"/>
      <c r="SVS5" s="59"/>
      <c r="SVT5" s="59"/>
      <c r="SVU5" s="59"/>
      <c r="SVV5" s="59"/>
      <c r="SVW5" s="59"/>
      <c r="SVX5" s="59"/>
      <c r="SVY5" s="59"/>
      <c r="SVZ5" s="59"/>
      <c r="SWA5" s="59"/>
      <c r="SWB5" s="59"/>
      <c r="SWC5" s="59"/>
      <c r="SWD5" s="59"/>
      <c r="SWE5" s="59"/>
      <c r="SWF5" s="59"/>
      <c r="SWG5" s="59"/>
      <c r="SWH5" s="59"/>
      <c r="SWI5" s="59"/>
      <c r="SWJ5" s="59"/>
      <c r="SWK5" s="59"/>
      <c r="SWL5" s="59"/>
      <c r="SWM5" s="59"/>
      <c r="SWN5" s="59"/>
      <c r="SWO5" s="59"/>
      <c r="SWP5" s="59"/>
      <c r="SWQ5" s="59"/>
      <c r="SWR5" s="59"/>
      <c r="SWS5" s="59"/>
      <c r="SWT5" s="59"/>
      <c r="SWU5" s="59"/>
      <c r="SWV5" s="59"/>
      <c r="SWW5" s="59"/>
      <c r="SWX5" s="59"/>
      <c r="SWY5" s="59"/>
      <c r="SWZ5" s="59"/>
      <c r="SXA5" s="59"/>
      <c r="SXB5" s="59"/>
      <c r="SXC5" s="59"/>
      <c r="SXD5" s="59"/>
      <c r="SXE5" s="59"/>
      <c r="SXF5" s="59"/>
      <c r="SXG5" s="59"/>
      <c r="SXH5" s="59"/>
      <c r="SXI5" s="59"/>
      <c r="SXJ5" s="59"/>
      <c r="SXK5" s="59"/>
      <c r="SXL5" s="59"/>
      <c r="SXM5" s="59"/>
      <c r="SXN5" s="59"/>
      <c r="SXO5" s="59"/>
      <c r="SXP5" s="59"/>
      <c r="SXQ5" s="59"/>
      <c r="SXR5" s="59"/>
      <c r="SXS5" s="59"/>
      <c r="SXT5" s="59"/>
      <c r="SXU5" s="59"/>
      <c r="SXV5" s="59"/>
      <c r="SXW5" s="59"/>
      <c r="SXX5" s="59"/>
      <c r="SXY5" s="59"/>
      <c r="SXZ5" s="59"/>
      <c r="SYA5" s="59"/>
      <c r="SYB5" s="59"/>
      <c r="SYC5" s="59"/>
      <c r="SYD5" s="59"/>
      <c r="SYE5" s="59"/>
      <c r="SYF5" s="59"/>
      <c r="SYG5" s="59"/>
      <c r="SYH5" s="59"/>
      <c r="SYI5" s="59"/>
      <c r="SYJ5" s="59"/>
      <c r="SYK5" s="59"/>
      <c r="SYL5" s="59"/>
      <c r="SYM5" s="59"/>
      <c r="SYN5" s="59"/>
      <c r="SYO5" s="59"/>
      <c r="SYP5" s="59"/>
      <c r="SYQ5" s="59"/>
      <c r="SYR5" s="59"/>
      <c r="SYS5" s="59"/>
      <c r="SYT5" s="59"/>
      <c r="SYU5" s="59"/>
      <c r="SYV5" s="59"/>
      <c r="SYW5" s="59"/>
      <c r="SYX5" s="59"/>
      <c r="SYY5" s="59"/>
      <c r="SYZ5" s="59"/>
      <c r="SZA5" s="59"/>
      <c r="SZB5" s="59"/>
      <c r="SZC5" s="59"/>
      <c r="SZD5" s="59"/>
      <c r="SZE5" s="59"/>
      <c r="SZF5" s="59"/>
      <c r="SZG5" s="59"/>
      <c r="SZH5" s="59"/>
      <c r="SZI5" s="59"/>
      <c r="SZJ5" s="59"/>
      <c r="SZK5" s="59"/>
      <c r="SZL5" s="59"/>
      <c r="SZM5" s="59"/>
      <c r="SZN5" s="59"/>
      <c r="SZO5" s="59"/>
      <c r="SZP5" s="59"/>
      <c r="SZQ5" s="59"/>
      <c r="SZR5" s="59"/>
      <c r="SZS5" s="59"/>
      <c r="SZT5" s="59"/>
      <c r="SZU5" s="59"/>
      <c r="SZV5" s="59"/>
      <c r="SZW5" s="59"/>
      <c r="SZX5" s="59"/>
      <c r="SZY5" s="59"/>
      <c r="SZZ5" s="59"/>
      <c r="TAA5" s="59"/>
      <c r="TAB5" s="59"/>
      <c r="TAC5" s="59"/>
      <c r="TAD5" s="59"/>
      <c r="TAE5" s="59"/>
      <c r="TAF5" s="59"/>
      <c r="TAG5" s="59"/>
      <c r="TAH5" s="59"/>
      <c r="TAI5" s="59"/>
      <c r="TAJ5" s="59"/>
      <c r="TAK5" s="59"/>
      <c r="TAL5" s="59"/>
      <c r="TAM5" s="59"/>
      <c r="TAN5" s="59"/>
      <c r="TAO5" s="59"/>
      <c r="TAP5" s="59"/>
      <c r="TAQ5" s="59"/>
      <c r="TAR5" s="59"/>
      <c r="TAS5" s="59"/>
      <c r="TAT5" s="59"/>
      <c r="TAU5" s="59"/>
      <c r="TAV5" s="59"/>
      <c r="TAW5" s="59"/>
      <c r="TAX5" s="59"/>
      <c r="TAY5" s="59"/>
      <c r="TAZ5" s="59"/>
      <c r="TBA5" s="59"/>
      <c r="TBB5" s="59"/>
      <c r="TBC5" s="59"/>
      <c r="TBD5" s="59"/>
      <c r="TBE5" s="59"/>
      <c r="TBF5" s="59"/>
      <c r="TBG5" s="59"/>
      <c r="TBH5" s="59"/>
      <c r="TBI5" s="59"/>
      <c r="TBJ5" s="59"/>
      <c r="TBK5" s="59"/>
      <c r="TBL5" s="59"/>
      <c r="TBM5" s="59"/>
      <c r="TBN5" s="59"/>
      <c r="TBO5" s="59"/>
      <c r="TBP5" s="59"/>
      <c r="TBQ5" s="59"/>
      <c r="TBR5" s="59"/>
      <c r="TBS5" s="59"/>
      <c r="TBT5" s="59"/>
      <c r="TBU5" s="59"/>
      <c r="TBV5" s="59"/>
      <c r="TBW5" s="59"/>
      <c r="TBX5" s="59"/>
      <c r="TBY5" s="59"/>
      <c r="TBZ5" s="59"/>
      <c r="TCA5" s="59"/>
      <c r="TCB5" s="59"/>
      <c r="TCC5" s="59"/>
      <c r="TCD5" s="59"/>
      <c r="TCE5" s="59"/>
      <c r="TCF5" s="59"/>
      <c r="TCG5" s="59"/>
      <c r="TCH5" s="59"/>
      <c r="TCI5" s="59"/>
      <c r="TCJ5" s="59"/>
      <c r="TCK5" s="59"/>
      <c r="TCL5" s="59"/>
      <c r="TCM5" s="59"/>
      <c r="TCN5" s="59"/>
      <c r="TCO5" s="59"/>
      <c r="TCP5" s="59"/>
      <c r="TCQ5" s="59"/>
      <c r="TCR5" s="59"/>
      <c r="TCS5" s="59"/>
      <c r="TCT5" s="59"/>
      <c r="TCU5" s="59"/>
      <c r="TCV5" s="59"/>
      <c r="TCW5" s="59"/>
      <c r="TCX5" s="59"/>
      <c r="TCY5" s="59"/>
      <c r="TCZ5" s="59"/>
      <c r="TDA5" s="59"/>
      <c r="TDB5" s="59"/>
      <c r="TDC5" s="59"/>
      <c r="TDD5" s="59"/>
      <c r="TDE5" s="59"/>
      <c r="TDF5" s="59"/>
      <c r="TDG5" s="59"/>
      <c r="TDH5" s="59"/>
      <c r="TDI5" s="59"/>
      <c r="TDJ5" s="59"/>
      <c r="TDK5" s="59"/>
      <c r="TDL5" s="59"/>
      <c r="TDM5" s="59"/>
      <c r="TDN5" s="59"/>
      <c r="TDO5" s="59"/>
      <c r="TDP5" s="59"/>
      <c r="TDQ5" s="59"/>
      <c r="TDR5" s="59"/>
      <c r="TDS5" s="59"/>
      <c r="TDT5" s="59"/>
      <c r="TDU5" s="59"/>
      <c r="TDV5" s="59"/>
      <c r="TDW5" s="59"/>
      <c r="TDX5" s="59"/>
      <c r="TDY5" s="59"/>
      <c r="TDZ5" s="59"/>
      <c r="TEA5" s="59"/>
      <c r="TEB5" s="59"/>
      <c r="TEC5" s="59"/>
      <c r="TED5" s="59"/>
      <c r="TEE5" s="59"/>
      <c r="TEF5" s="59"/>
      <c r="TEG5" s="59"/>
      <c r="TEH5" s="59"/>
      <c r="TEI5" s="59"/>
      <c r="TEJ5" s="59"/>
      <c r="TEK5" s="59"/>
      <c r="TEL5" s="59"/>
      <c r="TEM5" s="59"/>
      <c r="TEN5" s="59"/>
      <c r="TEO5" s="59"/>
      <c r="TEP5" s="59"/>
      <c r="TEQ5" s="59"/>
      <c r="TER5" s="59"/>
      <c r="TES5" s="59"/>
      <c r="TET5" s="59"/>
      <c r="TEU5" s="59"/>
      <c r="TEV5" s="59"/>
      <c r="TEW5" s="59"/>
      <c r="TEX5" s="59"/>
      <c r="TEY5" s="59"/>
      <c r="TEZ5" s="59"/>
      <c r="TFA5" s="59"/>
      <c r="TFB5" s="59"/>
      <c r="TFC5" s="59"/>
      <c r="TFD5" s="59"/>
      <c r="TFE5" s="59"/>
      <c r="TFF5" s="59"/>
      <c r="TFG5" s="59"/>
      <c r="TFH5" s="59"/>
      <c r="TFI5" s="59"/>
      <c r="TFJ5" s="59"/>
      <c r="TFK5" s="59"/>
      <c r="TFL5" s="59"/>
      <c r="TFM5" s="59"/>
      <c r="TFN5" s="59"/>
      <c r="TFO5" s="59"/>
      <c r="TFP5" s="59"/>
      <c r="TFQ5" s="59"/>
      <c r="TFR5" s="59"/>
      <c r="TFS5" s="59"/>
      <c r="TFT5" s="59"/>
      <c r="TFU5" s="59"/>
      <c r="TFV5" s="59"/>
      <c r="TFW5" s="59"/>
      <c r="TFX5" s="59"/>
      <c r="TFY5" s="59"/>
      <c r="TFZ5" s="59"/>
      <c r="TGA5" s="59"/>
      <c r="TGB5" s="59"/>
      <c r="TGC5" s="59"/>
      <c r="TGD5" s="59"/>
      <c r="TGE5" s="59"/>
      <c r="TGF5" s="59"/>
      <c r="TGG5" s="59"/>
      <c r="TGH5" s="59"/>
      <c r="TGI5" s="59"/>
      <c r="TGJ5" s="59"/>
      <c r="TGK5" s="59"/>
      <c r="TGL5" s="59"/>
      <c r="TGM5" s="59"/>
      <c r="TGN5" s="59"/>
      <c r="TGO5" s="59"/>
      <c r="TGP5" s="59"/>
      <c r="TGQ5" s="59"/>
      <c r="TGR5" s="59"/>
      <c r="TGS5" s="59"/>
      <c r="TGT5" s="59"/>
      <c r="TGU5" s="59"/>
      <c r="TGV5" s="59"/>
      <c r="TGW5" s="59"/>
      <c r="TGX5" s="59"/>
      <c r="TGY5" s="59"/>
      <c r="TGZ5" s="59"/>
      <c r="THA5" s="59"/>
      <c r="THB5" s="59"/>
      <c r="THC5" s="59"/>
      <c r="THD5" s="59"/>
      <c r="THE5" s="59"/>
      <c r="THF5" s="59"/>
      <c r="THG5" s="59"/>
      <c r="THH5" s="59"/>
      <c r="THI5" s="59"/>
      <c r="THJ5" s="59"/>
      <c r="THK5" s="59"/>
      <c r="THL5" s="59"/>
      <c r="THM5" s="59"/>
      <c r="THN5" s="59"/>
      <c r="THO5" s="59"/>
      <c r="THP5" s="59"/>
      <c r="THQ5" s="59"/>
      <c r="THR5" s="59"/>
      <c r="THS5" s="59"/>
      <c r="THT5" s="59"/>
      <c r="THU5" s="59"/>
      <c r="THV5" s="59"/>
      <c r="THW5" s="59"/>
      <c r="THX5" s="59"/>
      <c r="THY5" s="59"/>
      <c r="THZ5" s="59"/>
      <c r="TIA5" s="59"/>
      <c r="TIB5" s="59"/>
      <c r="TIC5" s="59"/>
      <c r="TID5" s="59"/>
      <c r="TIE5" s="59"/>
      <c r="TIF5" s="59"/>
      <c r="TIG5" s="59"/>
      <c r="TIH5" s="59"/>
      <c r="TII5" s="59"/>
      <c r="TIJ5" s="59"/>
      <c r="TIK5" s="59"/>
      <c r="TIL5" s="59"/>
      <c r="TIM5" s="59"/>
      <c r="TIN5" s="59"/>
      <c r="TIO5" s="59"/>
      <c r="TIP5" s="59"/>
      <c r="TIQ5" s="59"/>
      <c r="TIR5" s="59"/>
      <c r="TIS5" s="59"/>
      <c r="TIT5" s="59"/>
      <c r="TIU5" s="59"/>
      <c r="TIV5" s="59"/>
      <c r="TIW5" s="59"/>
      <c r="TIX5" s="59"/>
      <c r="TIY5" s="59"/>
      <c r="TIZ5" s="59"/>
      <c r="TJA5" s="59"/>
      <c r="TJB5" s="59"/>
      <c r="TJC5" s="59"/>
      <c r="TJD5" s="59"/>
      <c r="TJE5" s="59"/>
      <c r="TJF5" s="59"/>
      <c r="TJG5" s="59"/>
      <c r="TJH5" s="59"/>
      <c r="TJI5" s="59"/>
      <c r="TJJ5" s="59"/>
      <c r="TJK5" s="59"/>
      <c r="TJL5" s="59"/>
      <c r="TJM5" s="59"/>
      <c r="TJN5" s="59"/>
      <c r="TJO5" s="59"/>
      <c r="TJP5" s="59"/>
      <c r="TJQ5" s="59"/>
      <c r="TJR5" s="59"/>
      <c r="TJS5" s="59"/>
      <c r="TJT5" s="59"/>
      <c r="TJU5" s="59"/>
      <c r="TJV5" s="59"/>
      <c r="TJW5" s="59"/>
      <c r="TJX5" s="59"/>
      <c r="TJY5" s="59"/>
      <c r="TJZ5" s="59"/>
      <c r="TKA5" s="59"/>
      <c r="TKB5" s="59"/>
      <c r="TKC5" s="59"/>
      <c r="TKD5" s="59"/>
      <c r="TKE5" s="59"/>
      <c r="TKF5" s="59"/>
      <c r="TKG5" s="59"/>
      <c r="TKH5" s="59"/>
      <c r="TKI5" s="59"/>
      <c r="TKJ5" s="59"/>
      <c r="TKK5" s="59"/>
      <c r="TKL5" s="59"/>
      <c r="TKM5" s="59"/>
      <c r="TKN5" s="59"/>
      <c r="TKO5" s="59"/>
      <c r="TKP5" s="59"/>
      <c r="TKQ5" s="59"/>
      <c r="TKR5" s="59"/>
      <c r="TKS5" s="59"/>
      <c r="TKT5" s="59"/>
      <c r="TKU5" s="59"/>
      <c r="TKV5" s="59"/>
      <c r="TKW5" s="59"/>
      <c r="TKX5" s="59"/>
      <c r="TKY5" s="59"/>
      <c r="TKZ5" s="59"/>
      <c r="TLA5" s="59"/>
      <c r="TLB5" s="59"/>
      <c r="TLC5" s="59"/>
      <c r="TLD5" s="59"/>
      <c r="TLE5" s="59"/>
      <c r="TLF5" s="59"/>
      <c r="TLG5" s="59"/>
      <c r="TLH5" s="59"/>
      <c r="TLI5" s="59"/>
      <c r="TLJ5" s="59"/>
      <c r="TLK5" s="59"/>
      <c r="TLL5" s="59"/>
      <c r="TLM5" s="59"/>
      <c r="TLN5" s="59"/>
      <c r="TLO5" s="59"/>
      <c r="TLP5" s="59"/>
      <c r="TLQ5" s="59"/>
      <c r="TLR5" s="59"/>
      <c r="TLS5" s="59"/>
      <c r="TLT5" s="59"/>
      <c r="TLU5" s="59"/>
      <c r="TLV5" s="59"/>
      <c r="TLW5" s="59"/>
      <c r="TLX5" s="59"/>
      <c r="TLY5" s="59"/>
      <c r="TLZ5" s="59"/>
      <c r="TMA5" s="59"/>
      <c r="TMB5" s="59"/>
      <c r="TMC5" s="59"/>
      <c r="TMD5" s="59"/>
      <c r="TME5" s="59"/>
      <c r="TMF5" s="59"/>
      <c r="TMG5" s="59"/>
      <c r="TMH5" s="59"/>
      <c r="TMI5" s="59"/>
      <c r="TMJ5" s="59"/>
      <c r="TMK5" s="59"/>
      <c r="TML5" s="59"/>
      <c r="TMM5" s="59"/>
      <c r="TMN5" s="59"/>
      <c r="TMO5" s="59"/>
      <c r="TMP5" s="59"/>
      <c r="TMQ5" s="59"/>
      <c r="TMR5" s="59"/>
      <c r="TMS5" s="59"/>
      <c r="TMT5" s="59"/>
      <c r="TMU5" s="59"/>
      <c r="TMV5" s="59"/>
      <c r="TMW5" s="59"/>
      <c r="TMX5" s="59"/>
      <c r="TMY5" s="59"/>
      <c r="TMZ5" s="59"/>
      <c r="TNA5" s="59"/>
      <c r="TNB5" s="59"/>
      <c r="TNC5" s="59"/>
      <c r="TND5" s="59"/>
      <c r="TNE5" s="59"/>
      <c r="TNF5" s="59"/>
      <c r="TNG5" s="59"/>
      <c r="TNH5" s="59"/>
      <c r="TNI5" s="59"/>
      <c r="TNJ5" s="59"/>
      <c r="TNK5" s="59"/>
      <c r="TNL5" s="59"/>
      <c r="TNM5" s="59"/>
      <c r="TNN5" s="59"/>
      <c r="TNO5" s="59"/>
      <c r="TNP5" s="59"/>
      <c r="TNQ5" s="59"/>
      <c r="TNR5" s="59"/>
      <c r="TNS5" s="59"/>
      <c r="TNT5" s="59"/>
      <c r="TNU5" s="59"/>
      <c r="TNV5" s="59"/>
      <c r="TNW5" s="59"/>
      <c r="TNX5" s="59"/>
      <c r="TNY5" s="59"/>
      <c r="TNZ5" s="59"/>
      <c r="TOA5" s="59"/>
      <c r="TOB5" s="59"/>
      <c r="TOC5" s="59"/>
      <c r="TOD5" s="59"/>
      <c r="TOE5" s="59"/>
      <c r="TOF5" s="59"/>
      <c r="TOG5" s="59"/>
      <c r="TOH5" s="59"/>
      <c r="TOI5" s="59"/>
      <c r="TOJ5" s="59"/>
      <c r="TOK5" s="59"/>
      <c r="TOL5" s="59"/>
      <c r="TOM5" s="59"/>
      <c r="TON5" s="59"/>
      <c r="TOO5" s="59"/>
      <c r="TOP5" s="59"/>
      <c r="TOQ5" s="59"/>
      <c r="TOR5" s="59"/>
      <c r="TOS5" s="59"/>
      <c r="TOT5" s="59"/>
      <c r="TOU5" s="59"/>
      <c r="TOV5" s="59"/>
      <c r="TOW5" s="59"/>
      <c r="TOX5" s="59"/>
      <c r="TOY5" s="59"/>
      <c r="TOZ5" s="59"/>
      <c r="TPA5" s="59"/>
      <c r="TPB5" s="59"/>
      <c r="TPC5" s="59"/>
      <c r="TPD5" s="59"/>
      <c r="TPE5" s="59"/>
      <c r="TPF5" s="59"/>
      <c r="TPG5" s="59"/>
      <c r="TPH5" s="59"/>
      <c r="TPI5" s="59"/>
      <c r="TPJ5" s="59"/>
      <c r="TPK5" s="59"/>
      <c r="TPL5" s="59"/>
      <c r="TPM5" s="59"/>
      <c r="TPN5" s="59"/>
      <c r="TPO5" s="59"/>
      <c r="TPP5" s="59"/>
      <c r="TPQ5" s="59"/>
      <c r="TPR5" s="59"/>
      <c r="TPS5" s="59"/>
      <c r="TPT5" s="59"/>
      <c r="TPU5" s="59"/>
      <c r="TPV5" s="59"/>
      <c r="TPW5" s="59"/>
      <c r="TPX5" s="59"/>
      <c r="TPY5" s="59"/>
      <c r="TPZ5" s="59"/>
      <c r="TQA5" s="59"/>
      <c r="TQB5" s="59"/>
      <c r="TQC5" s="59"/>
      <c r="TQD5" s="59"/>
      <c r="TQE5" s="59"/>
      <c r="TQF5" s="59"/>
      <c r="TQG5" s="59"/>
      <c r="TQH5" s="59"/>
      <c r="TQI5" s="59"/>
      <c r="TQJ5" s="59"/>
      <c r="TQK5" s="59"/>
      <c r="TQL5" s="59"/>
      <c r="TQM5" s="59"/>
      <c r="TQN5" s="59"/>
      <c r="TQO5" s="59"/>
      <c r="TQP5" s="59"/>
      <c r="TQQ5" s="59"/>
      <c r="TQR5" s="59"/>
      <c r="TQS5" s="59"/>
      <c r="TQT5" s="59"/>
      <c r="TQU5" s="59"/>
      <c r="TQV5" s="59"/>
      <c r="TQW5" s="59"/>
      <c r="TQX5" s="59"/>
      <c r="TQY5" s="59"/>
      <c r="TQZ5" s="59"/>
      <c r="TRA5" s="59"/>
      <c r="TRB5" s="59"/>
      <c r="TRC5" s="59"/>
      <c r="TRD5" s="59"/>
      <c r="TRE5" s="59"/>
      <c r="TRF5" s="59"/>
      <c r="TRG5" s="59"/>
      <c r="TRH5" s="59"/>
      <c r="TRI5" s="59"/>
      <c r="TRJ5" s="59"/>
      <c r="TRK5" s="59"/>
      <c r="TRL5" s="59"/>
      <c r="TRM5" s="59"/>
      <c r="TRN5" s="59"/>
      <c r="TRO5" s="59"/>
      <c r="TRP5" s="59"/>
      <c r="TRQ5" s="59"/>
      <c r="TRR5" s="59"/>
      <c r="TRS5" s="59"/>
      <c r="TRT5" s="59"/>
      <c r="TRU5" s="59"/>
      <c r="TRV5" s="59"/>
      <c r="TRW5" s="59"/>
      <c r="TRX5" s="59"/>
      <c r="TRY5" s="59"/>
      <c r="TRZ5" s="59"/>
      <c r="TSA5" s="59"/>
      <c r="TSB5" s="59"/>
      <c r="TSC5" s="59"/>
      <c r="TSD5" s="59"/>
      <c r="TSE5" s="59"/>
      <c r="TSF5" s="59"/>
      <c r="TSG5" s="59"/>
      <c r="TSH5" s="59"/>
      <c r="TSI5" s="59"/>
      <c r="TSJ5" s="59"/>
      <c r="TSK5" s="59"/>
      <c r="TSL5" s="59"/>
      <c r="TSM5" s="59"/>
      <c r="TSN5" s="59"/>
      <c r="TSO5" s="59"/>
      <c r="TSP5" s="59"/>
      <c r="TSQ5" s="59"/>
      <c r="TSR5" s="59"/>
      <c r="TSS5" s="59"/>
      <c r="TST5" s="59"/>
      <c r="TSU5" s="59"/>
      <c r="TSV5" s="59"/>
      <c r="TSW5" s="59"/>
      <c r="TSX5" s="59"/>
      <c r="TSY5" s="59"/>
      <c r="TSZ5" s="59"/>
      <c r="TTA5" s="59"/>
      <c r="TTB5" s="59"/>
      <c r="TTC5" s="59"/>
      <c r="TTD5" s="59"/>
      <c r="TTE5" s="59"/>
      <c r="TTF5" s="59"/>
      <c r="TTG5" s="59"/>
      <c r="TTH5" s="59"/>
      <c r="TTI5" s="59"/>
      <c r="TTJ5" s="59"/>
      <c r="TTK5" s="59"/>
      <c r="TTL5" s="59"/>
      <c r="TTM5" s="59"/>
      <c r="TTN5" s="59"/>
      <c r="TTO5" s="59"/>
      <c r="TTP5" s="59"/>
      <c r="TTQ5" s="59"/>
      <c r="TTR5" s="59"/>
      <c r="TTS5" s="59"/>
      <c r="TTT5" s="59"/>
      <c r="TTU5" s="59"/>
      <c r="TTV5" s="59"/>
      <c r="TTW5" s="59"/>
      <c r="TTX5" s="59"/>
      <c r="TTY5" s="59"/>
      <c r="TTZ5" s="59"/>
      <c r="TUA5" s="59"/>
      <c r="TUB5" s="59"/>
      <c r="TUC5" s="59"/>
      <c r="TUD5" s="59"/>
      <c r="TUE5" s="59"/>
      <c r="TUF5" s="59"/>
      <c r="TUG5" s="59"/>
      <c r="TUH5" s="59"/>
      <c r="TUI5" s="59"/>
      <c r="TUJ5" s="59"/>
      <c r="TUK5" s="59"/>
      <c r="TUL5" s="59"/>
      <c r="TUM5" s="59"/>
      <c r="TUN5" s="59"/>
      <c r="TUO5" s="59"/>
      <c r="TUP5" s="59"/>
      <c r="TUQ5" s="59"/>
      <c r="TUR5" s="59"/>
      <c r="TUS5" s="59"/>
      <c r="TUT5" s="59"/>
      <c r="TUU5" s="59"/>
      <c r="TUV5" s="59"/>
      <c r="TUW5" s="59"/>
      <c r="TUX5" s="59"/>
      <c r="TUY5" s="59"/>
      <c r="TUZ5" s="59"/>
      <c r="TVA5" s="59"/>
      <c r="TVB5" s="59"/>
      <c r="TVC5" s="59"/>
      <c r="TVD5" s="59"/>
      <c r="TVE5" s="59"/>
      <c r="TVF5" s="59"/>
      <c r="TVG5" s="59"/>
      <c r="TVH5" s="59"/>
      <c r="TVI5" s="59"/>
      <c r="TVJ5" s="59"/>
      <c r="TVK5" s="59"/>
      <c r="TVL5" s="59"/>
      <c r="TVM5" s="59"/>
      <c r="TVN5" s="59"/>
      <c r="TVO5" s="59"/>
      <c r="TVP5" s="59"/>
      <c r="TVQ5" s="59"/>
      <c r="TVR5" s="59"/>
      <c r="TVS5" s="59"/>
      <c r="TVT5" s="59"/>
      <c r="TVU5" s="59"/>
      <c r="TVV5" s="59"/>
      <c r="TVW5" s="59"/>
      <c r="TVX5" s="59"/>
      <c r="TVY5" s="59"/>
      <c r="TVZ5" s="59"/>
      <c r="TWA5" s="59"/>
      <c r="TWB5" s="59"/>
      <c r="TWC5" s="59"/>
      <c r="TWD5" s="59"/>
      <c r="TWE5" s="59"/>
      <c r="TWF5" s="59"/>
      <c r="TWG5" s="59"/>
      <c r="TWH5" s="59"/>
      <c r="TWI5" s="59"/>
      <c r="TWJ5" s="59"/>
      <c r="TWK5" s="59"/>
      <c r="TWL5" s="59"/>
      <c r="TWM5" s="59"/>
      <c r="TWN5" s="59"/>
      <c r="TWO5" s="59"/>
      <c r="TWP5" s="59"/>
      <c r="TWQ5" s="59"/>
      <c r="TWR5" s="59"/>
      <c r="TWS5" s="59"/>
      <c r="TWT5" s="59"/>
      <c r="TWU5" s="59"/>
      <c r="TWV5" s="59"/>
      <c r="TWW5" s="59"/>
      <c r="TWX5" s="59"/>
      <c r="TWY5" s="59"/>
      <c r="TWZ5" s="59"/>
      <c r="TXA5" s="59"/>
      <c r="TXB5" s="59"/>
      <c r="TXC5" s="59"/>
      <c r="TXD5" s="59"/>
      <c r="TXE5" s="59"/>
      <c r="TXF5" s="59"/>
      <c r="TXG5" s="59"/>
      <c r="TXH5" s="59"/>
      <c r="TXI5" s="59"/>
      <c r="TXJ5" s="59"/>
      <c r="TXK5" s="59"/>
      <c r="TXL5" s="59"/>
      <c r="TXM5" s="59"/>
      <c r="TXN5" s="59"/>
      <c r="TXO5" s="59"/>
      <c r="TXP5" s="59"/>
      <c r="TXQ5" s="59"/>
      <c r="TXR5" s="59"/>
      <c r="TXS5" s="59"/>
      <c r="TXT5" s="59"/>
      <c r="TXU5" s="59"/>
      <c r="TXV5" s="59"/>
      <c r="TXW5" s="59"/>
      <c r="TXX5" s="59"/>
      <c r="TXY5" s="59"/>
      <c r="TXZ5" s="59"/>
      <c r="TYA5" s="59"/>
      <c r="TYB5" s="59"/>
      <c r="TYC5" s="59"/>
      <c r="TYD5" s="59"/>
      <c r="TYE5" s="59"/>
      <c r="TYF5" s="59"/>
      <c r="TYG5" s="59"/>
      <c r="TYH5" s="59"/>
      <c r="TYI5" s="59"/>
      <c r="TYJ5" s="59"/>
      <c r="TYK5" s="59"/>
      <c r="TYL5" s="59"/>
      <c r="TYM5" s="59"/>
      <c r="TYN5" s="59"/>
      <c r="TYO5" s="59"/>
      <c r="TYP5" s="59"/>
      <c r="TYQ5" s="59"/>
      <c r="TYR5" s="59"/>
      <c r="TYS5" s="59"/>
      <c r="TYT5" s="59"/>
      <c r="TYU5" s="59"/>
      <c r="TYV5" s="59"/>
      <c r="TYW5" s="59"/>
      <c r="TYX5" s="59"/>
      <c r="TYY5" s="59"/>
      <c r="TYZ5" s="59"/>
      <c r="TZA5" s="59"/>
      <c r="TZB5" s="59"/>
      <c r="TZC5" s="59"/>
      <c r="TZD5" s="59"/>
      <c r="TZE5" s="59"/>
      <c r="TZF5" s="59"/>
      <c r="TZG5" s="59"/>
      <c r="TZH5" s="59"/>
      <c r="TZI5" s="59"/>
      <c r="TZJ5" s="59"/>
      <c r="TZK5" s="59"/>
      <c r="TZL5" s="59"/>
      <c r="TZM5" s="59"/>
      <c r="TZN5" s="59"/>
      <c r="TZO5" s="59"/>
      <c r="TZP5" s="59"/>
      <c r="TZQ5" s="59"/>
      <c r="TZR5" s="59"/>
      <c r="TZS5" s="59"/>
      <c r="TZT5" s="59"/>
      <c r="TZU5" s="59"/>
      <c r="TZV5" s="59"/>
      <c r="TZW5" s="59"/>
      <c r="TZX5" s="59"/>
      <c r="TZY5" s="59"/>
      <c r="TZZ5" s="59"/>
      <c r="UAA5" s="59"/>
      <c r="UAB5" s="59"/>
      <c r="UAC5" s="59"/>
      <c r="UAD5" s="59"/>
      <c r="UAE5" s="59"/>
      <c r="UAF5" s="59"/>
      <c r="UAG5" s="59"/>
      <c r="UAH5" s="59"/>
      <c r="UAI5" s="59"/>
      <c r="UAJ5" s="59"/>
      <c r="UAK5" s="59"/>
      <c r="UAL5" s="59"/>
      <c r="UAM5" s="59"/>
      <c r="UAN5" s="59"/>
      <c r="UAO5" s="59"/>
      <c r="UAP5" s="59"/>
      <c r="UAQ5" s="59"/>
      <c r="UAR5" s="59"/>
      <c r="UAS5" s="59"/>
      <c r="UAT5" s="59"/>
      <c r="UAU5" s="59"/>
      <c r="UAV5" s="59"/>
      <c r="UAW5" s="59"/>
      <c r="UAX5" s="59"/>
      <c r="UAY5" s="59"/>
      <c r="UAZ5" s="59"/>
      <c r="UBA5" s="59"/>
      <c r="UBB5" s="59"/>
      <c r="UBC5" s="59"/>
      <c r="UBD5" s="59"/>
      <c r="UBE5" s="59"/>
      <c r="UBF5" s="59"/>
      <c r="UBG5" s="59"/>
      <c r="UBH5" s="59"/>
      <c r="UBI5" s="59"/>
      <c r="UBJ5" s="59"/>
      <c r="UBK5" s="59"/>
      <c r="UBL5" s="59"/>
      <c r="UBM5" s="59"/>
      <c r="UBN5" s="59"/>
      <c r="UBO5" s="59"/>
      <c r="UBP5" s="59"/>
      <c r="UBQ5" s="59"/>
      <c r="UBR5" s="59"/>
      <c r="UBS5" s="59"/>
      <c r="UBT5" s="59"/>
      <c r="UBU5" s="59"/>
      <c r="UBV5" s="59"/>
      <c r="UBW5" s="59"/>
      <c r="UBX5" s="59"/>
      <c r="UBY5" s="59"/>
      <c r="UBZ5" s="59"/>
      <c r="UCA5" s="59"/>
      <c r="UCB5" s="59"/>
      <c r="UCC5" s="59"/>
      <c r="UCD5" s="59"/>
      <c r="UCE5" s="59"/>
      <c r="UCF5" s="59"/>
      <c r="UCG5" s="59"/>
      <c r="UCH5" s="59"/>
      <c r="UCI5" s="59"/>
      <c r="UCJ5" s="59"/>
      <c r="UCK5" s="59"/>
      <c r="UCL5" s="59"/>
      <c r="UCM5" s="59"/>
      <c r="UCN5" s="59"/>
      <c r="UCO5" s="59"/>
      <c r="UCP5" s="59"/>
      <c r="UCQ5" s="59"/>
      <c r="UCR5" s="59"/>
      <c r="UCS5" s="59"/>
      <c r="UCT5" s="59"/>
      <c r="UCU5" s="59"/>
      <c r="UCV5" s="59"/>
      <c r="UCW5" s="59"/>
      <c r="UCX5" s="59"/>
      <c r="UCY5" s="59"/>
      <c r="UCZ5" s="59"/>
      <c r="UDA5" s="59"/>
      <c r="UDB5" s="59"/>
      <c r="UDC5" s="59"/>
      <c r="UDD5" s="59"/>
      <c r="UDE5" s="59"/>
      <c r="UDF5" s="59"/>
      <c r="UDG5" s="59"/>
      <c r="UDH5" s="59"/>
      <c r="UDI5" s="59"/>
      <c r="UDJ5" s="59"/>
      <c r="UDK5" s="59"/>
      <c r="UDL5" s="59"/>
      <c r="UDM5" s="59"/>
      <c r="UDN5" s="59"/>
      <c r="UDO5" s="59"/>
      <c r="UDP5" s="59"/>
      <c r="UDQ5" s="59"/>
      <c r="UDR5" s="59"/>
      <c r="UDS5" s="59"/>
      <c r="UDT5" s="59"/>
      <c r="UDU5" s="59"/>
      <c r="UDV5" s="59"/>
      <c r="UDW5" s="59"/>
      <c r="UDX5" s="59"/>
      <c r="UDY5" s="59"/>
      <c r="UDZ5" s="59"/>
      <c r="UEA5" s="59"/>
      <c r="UEB5" s="59"/>
      <c r="UEC5" s="59"/>
      <c r="UED5" s="59"/>
      <c r="UEE5" s="59"/>
      <c r="UEF5" s="59"/>
      <c r="UEG5" s="59"/>
      <c r="UEH5" s="59"/>
      <c r="UEI5" s="59"/>
      <c r="UEJ5" s="59"/>
      <c r="UEK5" s="59"/>
      <c r="UEL5" s="59"/>
      <c r="UEM5" s="59"/>
      <c r="UEN5" s="59"/>
      <c r="UEO5" s="59"/>
      <c r="UEP5" s="59"/>
      <c r="UEQ5" s="59"/>
      <c r="UER5" s="59"/>
      <c r="UES5" s="59"/>
      <c r="UET5" s="59"/>
      <c r="UEU5" s="59"/>
      <c r="UEV5" s="59"/>
      <c r="UEW5" s="59"/>
      <c r="UEX5" s="59"/>
      <c r="UEY5" s="59"/>
      <c r="UEZ5" s="59"/>
      <c r="UFA5" s="59"/>
      <c r="UFB5" s="59"/>
      <c r="UFC5" s="59"/>
      <c r="UFD5" s="59"/>
      <c r="UFE5" s="59"/>
      <c r="UFF5" s="59"/>
      <c r="UFG5" s="59"/>
      <c r="UFH5" s="59"/>
      <c r="UFI5" s="59"/>
      <c r="UFJ5" s="59"/>
      <c r="UFK5" s="59"/>
      <c r="UFL5" s="59"/>
      <c r="UFM5" s="59"/>
      <c r="UFN5" s="59"/>
      <c r="UFO5" s="59"/>
      <c r="UFP5" s="59"/>
      <c r="UFQ5" s="59"/>
      <c r="UFR5" s="59"/>
      <c r="UFS5" s="59"/>
      <c r="UFT5" s="59"/>
      <c r="UFU5" s="59"/>
      <c r="UFV5" s="59"/>
      <c r="UFW5" s="59"/>
      <c r="UFX5" s="59"/>
      <c r="UFY5" s="59"/>
      <c r="UFZ5" s="59"/>
      <c r="UGA5" s="59"/>
      <c r="UGB5" s="59"/>
      <c r="UGC5" s="59"/>
      <c r="UGD5" s="59"/>
      <c r="UGE5" s="59"/>
      <c r="UGF5" s="59"/>
      <c r="UGG5" s="59"/>
      <c r="UGH5" s="59"/>
      <c r="UGI5" s="59"/>
      <c r="UGJ5" s="59"/>
      <c r="UGK5" s="59"/>
      <c r="UGL5" s="59"/>
      <c r="UGM5" s="59"/>
      <c r="UGN5" s="59"/>
      <c r="UGO5" s="59"/>
      <c r="UGP5" s="59"/>
      <c r="UGQ5" s="59"/>
      <c r="UGR5" s="59"/>
      <c r="UGS5" s="59"/>
      <c r="UGT5" s="59"/>
      <c r="UGU5" s="59"/>
      <c r="UGV5" s="59"/>
      <c r="UGW5" s="59"/>
      <c r="UGX5" s="59"/>
      <c r="UGY5" s="59"/>
      <c r="UGZ5" s="59"/>
      <c r="UHA5" s="59"/>
      <c r="UHB5" s="59"/>
      <c r="UHC5" s="59"/>
      <c r="UHD5" s="59"/>
      <c r="UHE5" s="59"/>
      <c r="UHF5" s="59"/>
      <c r="UHG5" s="59"/>
      <c r="UHH5" s="59"/>
      <c r="UHI5" s="59"/>
      <c r="UHJ5" s="59"/>
      <c r="UHK5" s="59"/>
      <c r="UHL5" s="59"/>
      <c r="UHM5" s="59"/>
      <c r="UHN5" s="59"/>
      <c r="UHO5" s="59"/>
      <c r="UHP5" s="59"/>
      <c r="UHQ5" s="59"/>
      <c r="UHR5" s="59"/>
      <c r="UHS5" s="59"/>
      <c r="UHT5" s="59"/>
      <c r="UHU5" s="59"/>
      <c r="UHV5" s="59"/>
      <c r="UHW5" s="59"/>
      <c r="UHX5" s="59"/>
      <c r="UHY5" s="59"/>
      <c r="UHZ5" s="59"/>
      <c r="UIA5" s="59"/>
      <c r="UIB5" s="59"/>
      <c r="UIC5" s="59"/>
      <c r="UID5" s="59"/>
      <c r="UIE5" s="59"/>
      <c r="UIF5" s="59"/>
      <c r="UIG5" s="59"/>
      <c r="UIH5" s="59"/>
      <c r="UII5" s="59"/>
      <c r="UIJ5" s="59"/>
      <c r="UIK5" s="59"/>
      <c r="UIL5" s="59"/>
      <c r="UIM5" s="59"/>
      <c r="UIN5" s="59"/>
      <c r="UIO5" s="59"/>
      <c r="UIP5" s="59"/>
      <c r="UIQ5" s="59"/>
      <c r="UIR5" s="59"/>
      <c r="UIS5" s="59"/>
      <c r="UIT5" s="59"/>
      <c r="UIU5" s="59"/>
      <c r="UIV5" s="59"/>
      <c r="UIW5" s="59"/>
      <c r="UIX5" s="59"/>
      <c r="UIY5" s="59"/>
      <c r="UIZ5" s="59"/>
      <c r="UJA5" s="59"/>
      <c r="UJB5" s="59"/>
      <c r="UJC5" s="59"/>
      <c r="UJD5" s="59"/>
      <c r="UJE5" s="59"/>
      <c r="UJF5" s="59"/>
      <c r="UJG5" s="59"/>
      <c r="UJH5" s="59"/>
      <c r="UJI5" s="59"/>
      <c r="UJJ5" s="59"/>
      <c r="UJK5" s="59"/>
      <c r="UJL5" s="59"/>
      <c r="UJM5" s="59"/>
      <c r="UJN5" s="59"/>
      <c r="UJO5" s="59"/>
      <c r="UJP5" s="59"/>
      <c r="UJQ5" s="59"/>
      <c r="UJR5" s="59"/>
      <c r="UJS5" s="59"/>
      <c r="UJT5" s="59"/>
      <c r="UJU5" s="59"/>
      <c r="UJV5" s="59"/>
      <c r="UJW5" s="59"/>
      <c r="UJX5" s="59"/>
      <c r="UJY5" s="59"/>
      <c r="UJZ5" s="59"/>
      <c r="UKA5" s="59"/>
      <c r="UKB5" s="59"/>
      <c r="UKC5" s="59"/>
      <c r="UKD5" s="59"/>
      <c r="UKE5" s="59"/>
      <c r="UKF5" s="59"/>
      <c r="UKG5" s="59"/>
      <c r="UKH5" s="59"/>
      <c r="UKI5" s="59"/>
      <c r="UKJ5" s="59"/>
      <c r="UKK5" s="59"/>
      <c r="UKL5" s="59"/>
      <c r="UKM5" s="59"/>
      <c r="UKN5" s="59"/>
      <c r="UKO5" s="59"/>
      <c r="UKP5" s="59"/>
      <c r="UKQ5" s="59"/>
      <c r="UKR5" s="59"/>
      <c r="UKS5" s="59"/>
      <c r="UKT5" s="59"/>
      <c r="UKU5" s="59"/>
      <c r="UKV5" s="59"/>
      <c r="UKW5" s="59"/>
      <c r="UKX5" s="59"/>
      <c r="UKY5" s="59"/>
      <c r="UKZ5" s="59"/>
      <c r="ULA5" s="59"/>
      <c r="ULB5" s="59"/>
      <c r="ULC5" s="59"/>
      <c r="ULD5" s="59"/>
      <c r="ULE5" s="59"/>
      <c r="ULF5" s="59"/>
      <c r="ULG5" s="59"/>
      <c r="ULH5" s="59"/>
      <c r="ULI5" s="59"/>
      <c r="ULJ5" s="59"/>
      <c r="ULK5" s="59"/>
      <c r="ULL5" s="59"/>
      <c r="ULM5" s="59"/>
      <c r="ULN5" s="59"/>
      <c r="ULO5" s="59"/>
      <c r="ULP5" s="59"/>
      <c r="ULQ5" s="59"/>
      <c r="ULR5" s="59"/>
      <c r="ULS5" s="59"/>
      <c r="ULT5" s="59"/>
      <c r="ULU5" s="59"/>
      <c r="ULV5" s="59"/>
      <c r="ULW5" s="59"/>
      <c r="ULX5" s="59"/>
      <c r="ULY5" s="59"/>
      <c r="ULZ5" s="59"/>
      <c r="UMA5" s="59"/>
      <c r="UMB5" s="59"/>
      <c r="UMC5" s="59"/>
      <c r="UMD5" s="59"/>
      <c r="UME5" s="59"/>
      <c r="UMF5" s="59"/>
      <c r="UMG5" s="59"/>
      <c r="UMH5" s="59"/>
      <c r="UMI5" s="59"/>
      <c r="UMJ5" s="59"/>
      <c r="UMK5" s="59"/>
      <c r="UML5" s="59"/>
      <c r="UMM5" s="59"/>
      <c r="UMN5" s="59"/>
      <c r="UMO5" s="59"/>
      <c r="UMP5" s="59"/>
      <c r="UMQ5" s="59"/>
      <c r="UMR5" s="59"/>
      <c r="UMS5" s="59"/>
      <c r="UMT5" s="59"/>
      <c r="UMU5" s="59"/>
      <c r="UMV5" s="59"/>
      <c r="UMW5" s="59"/>
      <c r="UMX5" s="59"/>
      <c r="UMY5" s="59"/>
      <c r="UMZ5" s="59"/>
      <c r="UNA5" s="59"/>
      <c r="UNB5" s="59"/>
      <c r="UNC5" s="59"/>
      <c r="UND5" s="59"/>
      <c r="UNE5" s="59"/>
      <c r="UNF5" s="59"/>
      <c r="UNG5" s="59"/>
      <c r="UNH5" s="59"/>
      <c r="UNI5" s="59"/>
      <c r="UNJ5" s="59"/>
      <c r="UNK5" s="59"/>
      <c r="UNL5" s="59"/>
      <c r="UNM5" s="59"/>
      <c r="UNN5" s="59"/>
      <c r="UNO5" s="59"/>
      <c r="UNP5" s="59"/>
      <c r="UNQ5" s="59"/>
      <c r="UNR5" s="59"/>
      <c r="UNS5" s="59"/>
      <c r="UNT5" s="59"/>
      <c r="UNU5" s="59"/>
      <c r="UNV5" s="59"/>
      <c r="UNW5" s="59"/>
      <c r="UNX5" s="59"/>
      <c r="UNY5" s="59"/>
      <c r="UNZ5" s="59"/>
      <c r="UOA5" s="59"/>
      <c r="UOB5" s="59"/>
      <c r="UOC5" s="59"/>
      <c r="UOD5" s="59"/>
      <c r="UOE5" s="59"/>
      <c r="UOF5" s="59"/>
      <c r="UOG5" s="59"/>
      <c r="UOH5" s="59"/>
      <c r="UOI5" s="59"/>
      <c r="UOJ5" s="59"/>
      <c r="UOK5" s="59"/>
      <c r="UOL5" s="59"/>
      <c r="UOM5" s="59"/>
      <c r="UON5" s="59"/>
      <c r="UOO5" s="59"/>
      <c r="UOP5" s="59"/>
      <c r="UOQ5" s="59"/>
      <c r="UOR5" s="59"/>
      <c r="UOS5" s="59"/>
      <c r="UOT5" s="59"/>
      <c r="UOU5" s="59"/>
      <c r="UOV5" s="59"/>
      <c r="UOW5" s="59"/>
      <c r="UOX5" s="59"/>
      <c r="UOY5" s="59"/>
      <c r="UOZ5" s="59"/>
      <c r="UPA5" s="59"/>
      <c r="UPB5" s="59"/>
      <c r="UPC5" s="59"/>
      <c r="UPD5" s="59"/>
      <c r="UPE5" s="59"/>
      <c r="UPF5" s="59"/>
      <c r="UPG5" s="59"/>
      <c r="UPH5" s="59"/>
      <c r="UPI5" s="59"/>
      <c r="UPJ5" s="59"/>
      <c r="UPK5" s="59"/>
      <c r="UPL5" s="59"/>
      <c r="UPM5" s="59"/>
      <c r="UPN5" s="59"/>
      <c r="UPO5" s="59"/>
      <c r="UPP5" s="59"/>
      <c r="UPQ5" s="59"/>
      <c r="UPR5" s="59"/>
      <c r="UPS5" s="59"/>
      <c r="UPT5" s="59"/>
      <c r="UPU5" s="59"/>
      <c r="UPV5" s="59"/>
      <c r="UPW5" s="59"/>
      <c r="UPX5" s="59"/>
      <c r="UPY5" s="59"/>
      <c r="UPZ5" s="59"/>
      <c r="UQA5" s="59"/>
      <c r="UQB5" s="59"/>
      <c r="UQC5" s="59"/>
      <c r="UQD5" s="59"/>
      <c r="UQE5" s="59"/>
      <c r="UQF5" s="59"/>
      <c r="UQG5" s="59"/>
      <c r="UQH5" s="59"/>
      <c r="UQI5" s="59"/>
      <c r="UQJ5" s="59"/>
      <c r="UQK5" s="59"/>
      <c r="UQL5" s="59"/>
      <c r="UQM5" s="59"/>
      <c r="UQN5" s="59"/>
      <c r="UQO5" s="59"/>
      <c r="UQP5" s="59"/>
      <c r="UQQ5" s="59"/>
      <c r="UQR5" s="59"/>
      <c r="UQS5" s="59"/>
      <c r="UQT5" s="59"/>
      <c r="UQU5" s="59"/>
      <c r="UQV5" s="59"/>
      <c r="UQW5" s="59"/>
      <c r="UQX5" s="59"/>
      <c r="UQY5" s="59"/>
      <c r="UQZ5" s="59"/>
      <c r="URA5" s="59"/>
      <c r="URB5" s="59"/>
      <c r="URC5" s="59"/>
      <c r="URD5" s="59"/>
      <c r="URE5" s="59"/>
      <c r="URF5" s="59"/>
      <c r="URG5" s="59"/>
      <c r="URH5" s="59"/>
      <c r="URI5" s="59"/>
      <c r="URJ5" s="59"/>
      <c r="URK5" s="59"/>
      <c r="URL5" s="59"/>
      <c r="URM5" s="59"/>
      <c r="URN5" s="59"/>
      <c r="URO5" s="59"/>
      <c r="URP5" s="59"/>
      <c r="URQ5" s="59"/>
      <c r="URR5" s="59"/>
      <c r="URS5" s="59"/>
      <c r="URT5" s="59"/>
      <c r="URU5" s="59"/>
      <c r="URV5" s="59"/>
      <c r="URW5" s="59"/>
      <c r="URX5" s="59"/>
      <c r="URY5" s="59"/>
      <c r="URZ5" s="59"/>
      <c r="USA5" s="59"/>
      <c r="USB5" s="59"/>
      <c r="USC5" s="59"/>
      <c r="USD5" s="59"/>
      <c r="USE5" s="59"/>
      <c r="USF5" s="59"/>
      <c r="USG5" s="59"/>
      <c r="USH5" s="59"/>
      <c r="USI5" s="59"/>
      <c r="USJ5" s="59"/>
      <c r="USK5" s="59"/>
      <c r="USL5" s="59"/>
      <c r="USM5" s="59"/>
      <c r="USN5" s="59"/>
      <c r="USO5" s="59"/>
      <c r="USP5" s="59"/>
      <c r="USQ5" s="59"/>
      <c r="USR5" s="59"/>
      <c r="USS5" s="59"/>
      <c r="UST5" s="59"/>
      <c r="USU5" s="59"/>
      <c r="USV5" s="59"/>
      <c r="USW5" s="59"/>
      <c r="USX5" s="59"/>
      <c r="USY5" s="59"/>
      <c r="USZ5" s="59"/>
      <c r="UTA5" s="59"/>
      <c r="UTB5" s="59"/>
      <c r="UTC5" s="59"/>
      <c r="UTD5" s="59"/>
      <c r="UTE5" s="59"/>
      <c r="UTF5" s="59"/>
      <c r="UTG5" s="59"/>
      <c r="UTH5" s="59"/>
      <c r="UTI5" s="59"/>
      <c r="UTJ5" s="59"/>
      <c r="UTK5" s="59"/>
      <c r="UTL5" s="59"/>
      <c r="UTM5" s="59"/>
      <c r="UTN5" s="59"/>
      <c r="UTO5" s="59"/>
      <c r="UTP5" s="59"/>
      <c r="UTQ5" s="59"/>
      <c r="UTR5" s="59"/>
      <c r="UTS5" s="59"/>
      <c r="UTT5" s="59"/>
      <c r="UTU5" s="59"/>
      <c r="UTV5" s="59"/>
      <c r="UTW5" s="59"/>
      <c r="UTX5" s="59"/>
      <c r="UTY5" s="59"/>
      <c r="UTZ5" s="59"/>
      <c r="UUA5" s="59"/>
      <c r="UUB5" s="59"/>
      <c r="UUC5" s="59"/>
      <c r="UUD5" s="59"/>
      <c r="UUE5" s="59"/>
      <c r="UUF5" s="59"/>
      <c r="UUG5" s="59"/>
      <c r="UUH5" s="59"/>
      <c r="UUI5" s="59"/>
      <c r="UUJ5" s="59"/>
      <c r="UUK5" s="59"/>
      <c r="UUL5" s="59"/>
      <c r="UUM5" s="59"/>
      <c r="UUN5" s="59"/>
      <c r="UUO5" s="59"/>
      <c r="UUP5" s="59"/>
      <c r="UUQ5" s="59"/>
      <c r="UUR5" s="59"/>
      <c r="UUS5" s="59"/>
      <c r="UUT5" s="59"/>
      <c r="UUU5" s="59"/>
      <c r="UUV5" s="59"/>
      <c r="UUW5" s="59"/>
      <c r="UUX5" s="59"/>
      <c r="UUY5" s="59"/>
      <c r="UUZ5" s="59"/>
      <c r="UVA5" s="59"/>
      <c r="UVB5" s="59"/>
      <c r="UVC5" s="59"/>
      <c r="UVD5" s="59"/>
      <c r="UVE5" s="59"/>
      <c r="UVF5" s="59"/>
      <c r="UVG5" s="59"/>
      <c r="UVH5" s="59"/>
      <c r="UVI5" s="59"/>
      <c r="UVJ5" s="59"/>
      <c r="UVK5" s="59"/>
      <c r="UVL5" s="59"/>
      <c r="UVM5" s="59"/>
      <c r="UVN5" s="59"/>
      <c r="UVO5" s="59"/>
      <c r="UVP5" s="59"/>
      <c r="UVQ5" s="59"/>
      <c r="UVR5" s="59"/>
      <c r="UVS5" s="59"/>
      <c r="UVT5" s="59"/>
      <c r="UVU5" s="59"/>
      <c r="UVV5" s="59"/>
      <c r="UVW5" s="59"/>
      <c r="UVX5" s="59"/>
      <c r="UVY5" s="59"/>
      <c r="UVZ5" s="59"/>
      <c r="UWA5" s="59"/>
      <c r="UWB5" s="59"/>
      <c r="UWC5" s="59"/>
      <c r="UWD5" s="59"/>
      <c r="UWE5" s="59"/>
      <c r="UWF5" s="59"/>
      <c r="UWG5" s="59"/>
      <c r="UWH5" s="59"/>
      <c r="UWI5" s="59"/>
      <c r="UWJ5" s="59"/>
      <c r="UWK5" s="59"/>
      <c r="UWL5" s="59"/>
      <c r="UWM5" s="59"/>
      <c r="UWN5" s="59"/>
      <c r="UWO5" s="59"/>
      <c r="UWP5" s="59"/>
      <c r="UWQ5" s="59"/>
      <c r="UWR5" s="59"/>
      <c r="UWS5" s="59"/>
      <c r="UWT5" s="59"/>
      <c r="UWU5" s="59"/>
      <c r="UWV5" s="59"/>
      <c r="UWW5" s="59"/>
      <c r="UWX5" s="59"/>
      <c r="UWY5" s="59"/>
      <c r="UWZ5" s="59"/>
      <c r="UXA5" s="59"/>
      <c r="UXB5" s="59"/>
      <c r="UXC5" s="59"/>
      <c r="UXD5" s="59"/>
      <c r="UXE5" s="59"/>
      <c r="UXF5" s="59"/>
      <c r="UXG5" s="59"/>
      <c r="UXH5" s="59"/>
      <c r="UXI5" s="59"/>
      <c r="UXJ5" s="59"/>
      <c r="UXK5" s="59"/>
      <c r="UXL5" s="59"/>
      <c r="UXM5" s="59"/>
      <c r="UXN5" s="59"/>
      <c r="UXO5" s="59"/>
      <c r="UXP5" s="59"/>
      <c r="UXQ5" s="59"/>
      <c r="UXR5" s="59"/>
      <c r="UXS5" s="59"/>
      <c r="UXT5" s="59"/>
      <c r="UXU5" s="59"/>
      <c r="UXV5" s="59"/>
      <c r="UXW5" s="59"/>
      <c r="UXX5" s="59"/>
      <c r="UXY5" s="59"/>
      <c r="UXZ5" s="59"/>
      <c r="UYA5" s="59"/>
      <c r="UYB5" s="59"/>
      <c r="UYC5" s="59"/>
      <c r="UYD5" s="59"/>
      <c r="UYE5" s="59"/>
      <c r="UYF5" s="59"/>
      <c r="UYG5" s="59"/>
      <c r="UYH5" s="59"/>
      <c r="UYI5" s="59"/>
      <c r="UYJ5" s="59"/>
      <c r="UYK5" s="59"/>
      <c r="UYL5" s="59"/>
      <c r="UYM5" s="59"/>
      <c r="UYN5" s="59"/>
      <c r="UYO5" s="59"/>
      <c r="UYP5" s="59"/>
      <c r="UYQ5" s="59"/>
      <c r="UYR5" s="59"/>
      <c r="UYS5" s="59"/>
      <c r="UYT5" s="59"/>
      <c r="UYU5" s="59"/>
      <c r="UYV5" s="59"/>
      <c r="UYW5" s="59"/>
      <c r="UYX5" s="59"/>
      <c r="UYY5" s="59"/>
      <c r="UYZ5" s="59"/>
      <c r="UZA5" s="59"/>
      <c r="UZB5" s="59"/>
      <c r="UZC5" s="59"/>
      <c r="UZD5" s="59"/>
      <c r="UZE5" s="59"/>
      <c r="UZF5" s="59"/>
      <c r="UZG5" s="59"/>
      <c r="UZH5" s="59"/>
      <c r="UZI5" s="59"/>
      <c r="UZJ5" s="59"/>
      <c r="UZK5" s="59"/>
      <c r="UZL5" s="59"/>
      <c r="UZM5" s="59"/>
      <c r="UZN5" s="59"/>
      <c r="UZO5" s="59"/>
      <c r="UZP5" s="59"/>
      <c r="UZQ5" s="59"/>
      <c r="UZR5" s="59"/>
      <c r="UZS5" s="59"/>
      <c r="UZT5" s="59"/>
      <c r="UZU5" s="59"/>
      <c r="UZV5" s="59"/>
      <c r="UZW5" s="59"/>
      <c r="UZX5" s="59"/>
      <c r="UZY5" s="59"/>
      <c r="UZZ5" s="59"/>
      <c r="VAA5" s="59"/>
      <c r="VAB5" s="59"/>
      <c r="VAC5" s="59"/>
      <c r="VAD5" s="59"/>
      <c r="VAE5" s="59"/>
      <c r="VAF5" s="59"/>
      <c r="VAG5" s="59"/>
      <c r="VAH5" s="59"/>
      <c r="VAI5" s="59"/>
      <c r="VAJ5" s="59"/>
      <c r="VAK5" s="59"/>
      <c r="VAL5" s="59"/>
      <c r="VAM5" s="59"/>
      <c r="VAN5" s="59"/>
      <c r="VAO5" s="59"/>
      <c r="VAP5" s="59"/>
      <c r="VAQ5" s="59"/>
      <c r="VAR5" s="59"/>
      <c r="VAS5" s="59"/>
      <c r="VAT5" s="59"/>
      <c r="VAU5" s="59"/>
      <c r="VAV5" s="59"/>
      <c r="VAW5" s="59"/>
      <c r="VAX5" s="59"/>
      <c r="VAY5" s="59"/>
      <c r="VAZ5" s="59"/>
      <c r="VBA5" s="59"/>
      <c r="VBB5" s="59"/>
      <c r="VBC5" s="59"/>
      <c r="VBD5" s="59"/>
      <c r="VBE5" s="59"/>
      <c r="VBF5" s="59"/>
      <c r="VBG5" s="59"/>
      <c r="VBH5" s="59"/>
      <c r="VBI5" s="59"/>
      <c r="VBJ5" s="59"/>
      <c r="VBK5" s="59"/>
      <c r="VBL5" s="59"/>
      <c r="VBM5" s="59"/>
      <c r="VBN5" s="59"/>
      <c r="VBO5" s="59"/>
      <c r="VBP5" s="59"/>
      <c r="VBQ5" s="59"/>
      <c r="VBR5" s="59"/>
      <c r="VBS5" s="59"/>
      <c r="VBT5" s="59"/>
      <c r="VBU5" s="59"/>
      <c r="VBV5" s="59"/>
      <c r="VBW5" s="59"/>
      <c r="VBX5" s="59"/>
      <c r="VBY5" s="59"/>
      <c r="VBZ5" s="59"/>
      <c r="VCA5" s="59"/>
      <c r="VCB5" s="59"/>
      <c r="VCC5" s="59"/>
      <c r="VCD5" s="59"/>
      <c r="VCE5" s="59"/>
      <c r="VCF5" s="59"/>
      <c r="VCG5" s="59"/>
      <c r="VCH5" s="59"/>
      <c r="VCI5" s="59"/>
      <c r="VCJ5" s="59"/>
      <c r="VCK5" s="59"/>
      <c r="VCL5" s="59"/>
      <c r="VCM5" s="59"/>
      <c r="VCN5" s="59"/>
      <c r="VCO5" s="59"/>
      <c r="VCP5" s="59"/>
      <c r="VCQ5" s="59"/>
      <c r="VCR5" s="59"/>
      <c r="VCS5" s="59"/>
      <c r="VCT5" s="59"/>
      <c r="VCU5" s="59"/>
      <c r="VCV5" s="59"/>
      <c r="VCW5" s="59"/>
      <c r="VCX5" s="59"/>
      <c r="VCY5" s="59"/>
      <c r="VCZ5" s="59"/>
      <c r="VDA5" s="59"/>
      <c r="VDB5" s="59"/>
      <c r="VDC5" s="59"/>
      <c r="VDD5" s="59"/>
      <c r="VDE5" s="59"/>
      <c r="VDF5" s="59"/>
      <c r="VDG5" s="59"/>
      <c r="VDH5" s="59"/>
      <c r="VDI5" s="59"/>
      <c r="VDJ5" s="59"/>
      <c r="VDK5" s="59"/>
      <c r="VDL5" s="59"/>
      <c r="VDM5" s="59"/>
      <c r="VDN5" s="59"/>
      <c r="VDO5" s="59"/>
      <c r="VDP5" s="59"/>
      <c r="VDQ5" s="59"/>
      <c r="VDR5" s="59"/>
      <c r="VDS5" s="59"/>
      <c r="VDT5" s="59"/>
      <c r="VDU5" s="59"/>
      <c r="VDV5" s="59"/>
      <c r="VDW5" s="59"/>
      <c r="VDX5" s="59"/>
      <c r="VDY5" s="59"/>
      <c r="VDZ5" s="59"/>
      <c r="VEA5" s="59"/>
      <c r="VEB5" s="59"/>
      <c r="VEC5" s="59"/>
      <c r="VED5" s="59"/>
      <c r="VEE5" s="59"/>
      <c r="VEF5" s="59"/>
      <c r="VEG5" s="59"/>
      <c r="VEH5" s="59"/>
      <c r="VEI5" s="59"/>
      <c r="VEJ5" s="59"/>
      <c r="VEK5" s="59"/>
      <c r="VEL5" s="59"/>
      <c r="VEM5" s="59"/>
      <c r="VEN5" s="59"/>
      <c r="VEO5" s="59"/>
      <c r="VEP5" s="59"/>
      <c r="VEQ5" s="59"/>
      <c r="VER5" s="59"/>
      <c r="VES5" s="59"/>
      <c r="VET5" s="59"/>
      <c r="VEU5" s="59"/>
      <c r="VEV5" s="59"/>
      <c r="VEW5" s="59"/>
      <c r="VEX5" s="59"/>
      <c r="VEY5" s="59"/>
      <c r="VEZ5" s="59"/>
      <c r="VFA5" s="59"/>
      <c r="VFB5" s="59"/>
      <c r="VFC5" s="59"/>
      <c r="VFD5" s="59"/>
      <c r="VFE5" s="59"/>
      <c r="VFF5" s="59"/>
      <c r="VFG5" s="59"/>
      <c r="VFH5" s="59"/>
      <c r="VFI5" s="59"/>
      <c r="VFJ5" s="59"/>
      <c r="VFK5" s="59"/>
      <c r="VFL5" s="59"/>
      <c r="VFM5" s="59"/>
      <c r="VFN5" s="59"/>
      <c r="VFO5" s="59"/>
      <c r="VFP5" s="59"/>
      <c r="VFQ5" s="59"/>
      <c r="VFR5" s="59"/>
      <c r="VFS5" s="59"/>
      <c r="VFT5" s="59"/>
      <c r="VFU5" s="59"/>
      <c r="VFV5" s="59"/>
      <c r="VFW5" s="59"/>
      <c r="VFX5" s="59"/>
      <c r="VFY5" s="59"/>
      <c r="VFZ5" s="59"/>
      <c r="VGA5" s="59"/>
      <c r="VGB5" s="59"/>
      <c r="VGC5" s="59"/>
      <c r="VGD5" s="59"/>
      <c r="VGE5" s="59"/>
      <c r="VGF5" s="59"/>
      <c r="VGG5" s="59"/>
      <c r="VGH5" s="59"/>
      <c r="VGI5" s="59"/>
      <c r="VGJ5" s="59"/>
      <c r="VGK5" s="59"/>
      <c r="VGL5" s="59"/>
      <c r="VGM5" s="59"/>
      <c r="VGN5" s="59"/>
      <c r="VGO5" s="59"/>
      <c r="VGP5" s="59"/>
      <c r="VGQ5" s="59"/>
      <c r="VGR5" s="59"/>
      <c r="VGS5" s="59"/>
      <c r="VGT5" s="59"/>
      <c r="VGU5" s="59"/>
      <c r="VGV5" s="59"/>
      <c r="VGW5" s="59"/>
      <c r="VGX5" s="59"/>
      <c r="VGY5" s="59"/>
      <c r="VGZ5" s="59"/>
      <c r="VHA5" s="59"/>
      <c r="VHB5" s="59"/>
      <c r="VHC5" s="59"/>
      <c r="VHD5" s="59"/>
      <c r="VHE5" s="59"/>
      <c r="VHF5" s="59"/>
      <c r="VHG5" s="59"/>
      <c r="VHH5" s="59"/>
      <c r="VHI5" s="59"/>
      <c r="VHJ5" s="59"/>
      <c r="VHK5" s="59"/>
      <c r="VHL5" s="59"/>
      <c r="VHM5" s="59"/>
      <c r="VHN5" s="59"/>
      <c r="VHO5" s="59"/>
      <c r="VHP5" s="59"/>
      <c r="VHQ5" s="59"/>
      <c r="VHR5" s="59"/>
      <c r="VHS5" s="59"/>
      <c r="VHT5" s="59"/>
      <c r="VHU5" s="59"/>
      <c r="VHV5" s="59"/>
      <c r="VHW5" s="59"/>
      <c r="VHX5" s="59"/>
      <c r="VHY5" s="59"/>
      <c r="VHZ5" s="59"/>
      <c r="VIA5" s="59"/>
      <c r="VIB5" s="59"/>
      <c r="VIC5" s="59"/>
      <c r="VID5" s="59"/>
      <c r="VIE5" s="59"/>
      <c r="VIF5" s="59"/>
      <c r="VIG5" s="59"/>
      <c r="VIH5" s="59"/>
      <c r="VII5" s="59"/>
      <c r="VIJ5" s="59"/>
      <c r="VIK5" s="59"/>
      <c r="VIL5" s="59"/>
      <c r="VIM5" s="59"/>
      <c r="VIN5" s="59"/>
      <c r="VIO5" s="59"/>
      <c r="VIP5" s="59"/>
      <c r="VIQ5" s="59"/>
      <c r="VIR5" s="59"/>
      <c r="VIS5" s="59"/>
      <c r="VIT5" s="59"/>
      <c r="VIU5" s="59"/>
      <c r="VIV5" s="59"/>
      <c r="VIW5" s="59"/>
      <c r="VIX5" s="59"/>
      <c r="VIY5" s="59"/>
      <c r="VIZ5" s="59"/>
      <c r="VJA5" s="59"/>
      <c r="VJB5" s="59"/>
      <c r="VJC5" s="59"/>
      <c r="VJD5" s="59"/>
      <c r="VJE5" s="59"/>
      <c r="VJF5" s="59"/>
      <c r="VJG5" s="59"/>
      <c r="VJH5" s="59"/>
      <c r="VJI5" s="59"/>
      <c r="VJJ5" s="59"/>
      <c r="VJK5" s="59"/>
      <c r="VJL5" s="59"/>
      <c r="VJM5" s="59"/>
      <c r="VJN5" s="59"/>
      <c r="VJO5" s="59"/>
      <c r="VJP5" s="59"/>
      <c r="VJQ5" s="59"/>
      <c r="VJR5" s="59"/>
      <c r="VJS5" s="59"/>
      <c r="VJT5" s="59"/>
      <c r="VJU5" s="59"/>
      <c r="VJV5" s="59"/>
      <c r="VJW5" s="59"/>
      <c r="VJX5" s="59"/>
      <c r="VJY5" s="59"/>
      <c r="VJZ5" s="59"/>
      <c r="VKA5" s="59"/>
      <c r="VKB5" s="59"/>
      <c r="VKC5" s="59"/>
      <c r="VKD5" s="59"/>
      <c r="VKE5" s="59"/>
      <c r="VKF5" s="59"/>
      <c r="VKG5" s="59"/>
      <c r="VKH5" s="59"/>
      <c r="VKI5" s="59"/>
      <c r="VKJ5" s="59"/>
      <c r="VKK5" s="59"/>
      <c r="VKL5" s="59"/>
      <c r="VKM5" s="59"/>
      <c r="VKN5" s="59"/>
      <c r="VKO5" s="59"/>
      <c r="VKP5" s="59"/>
      <c r="VKQ5" s="59"/>
      <c r="VKR5" s="59"/>
      <c r="VKS5" s="59"/>
      <c r="VKT5" s="59"/>
      <c r="VKU5" s="59"/>
      <c r="VKV5" s="59"/>
      <c r="VKW5" s="59"/>
      <c r="VKX5" s="59"/>
      <c r="VKY5" s="59"/>
      <c r="VKZ5" s="59"/>
      <c r="VLA5" s="59"/>
      <c r="VLB5" s="59"/>
      <c r="VLC5" s="59"/>
      <c r="VLD5" s="59"/>
      <c r="VLE5" s="59"/>
      <c r="VLF5" s="59"/>
      <c r="VLG5" s="59"/>
      <c r="VLH5" s="59"/>
      <c r="VLI5" s="59"/>
      <c r="VLJ5" s="59"/>
      <c r="VLK5" s="59"/>
      <c r="VLL5" s="59"/>
      <c r="VLM5" s="59"/>
      <c r="VLN5" s="59"/>
      <c r="VLO5" s="59"/>
      <c r="VLP5" s="59"/>
      <c r="VLQ5" s="59"/>
      <c r="VLR5" s="59"/>
      <c r="VLS5" s="59"/>
      <c r="VLT5" s="59"/>
      <c r="VLU5" s="59"/>
      <c r="VLV5" s="59"/>
      <c r="VLW5" s="59"/>
      <c r="VLX5" s="59"/>
      <c r="VLY5" s="59"/>
      <c r="VLZ5" s="59"/>
      <c r="VMA5" s="59"/>
      <c r="VMB5" s="59"/>
      <c r="VMC5" s="59"/>
      <c r="VMD5" s="59"/>
      <c r="VME5" s="59"/>
      <c r="VMF5" s="59"/>
      <c r="VMG5" s="59"/>
      <c r="VMH5" s="59"/>
      <c r="VMI5" s="59"/>
      <c r="VMJ5" s="59"/>
      <c r="VMK5" s="59"/>
      <c r="VML5" s="59"/>
      <c r="VMM5" s="59"/>
      <c r="VMN5" s="59"/>
      <c r="VMO5" s="59"/>
      <c r="VMP5" s="59"/>
      <c r="VMQ5" s="59"/>
      <c r="VMR5" s="59"/>
      <c r="VMS5" s="59"/>
      <c r="VMT5" s="59"/>
      <c r="VMU5" s="59"/>
      <c r="VMV5" s="59"/>
      <c r="VMW5" s="59"/>
      <c r="VMX5" s="59"/>
      <c r="VMY5" s="59"/>
      <c r="VMZ5" s="59"/>
      <c r="VNA5" s="59"/>
      <c r="VNB5" s="59"/>
      <c r="VNC5" s="59"/>
      <c r="VND5" s="59"/>
      <c r="VNE5" s="59"/>
      <c r="VNF5" s="59"/>
      <c r="VNG5" s="59"/>
      <c r="VNH5" s="59"/>
      <c r="VNI5" s="59"/>
      <c r="VNJ5" s="59"/>
      <c r="VNK5" s="59"/>
      <c r="VNL5" s="59"/>
      <c r="VNM5" s="59"/>
      <c r="VNN5" s="59"/>
      <c r="VNO5" s="59"/>
      <c r="VNP5" s="59"/>
      <c r="VNQ5" s="59"/>
      <c r="VNR5" s="59"/>
      <c r="VNS5" s="59"/>
      <c r="VNT5" s="59"/>
      <c r="VNU5" s="59"/>
      <c r="VNV5" s="59"/>
      <c r="VNW5" s="59"/>
      <c r="VNX5" s="59"/>
      <c r="VNY5" s="59"/>
      <c r="VNZ5" s="59"/>
      <c r="VOA5" s="59"/>
      <c r="VOB5" s="59"/>
      <c r="VOC5" s="59"/>
      <c r="VOD5" s="59"/>
      <c r="VOE5" s="59"/>
      <c r="VOF5" s="59"/>
      <c r="VOG5" s="59"/>
      <c r="VOH5" s="59"/>
      <c r="VOI5" s="59"/>
      <c r="VOJ5" s="59"/>
      <c r="VOK5" s="59"/>
      <c r="VOL5" s="59"/>
      <c r="VOM5" s="59"/>
      <c r="VON5" s="59"/>
      <c r="VOO5" s="59"/>
      <c r="VOP5" s="59"/>
      <c r="VOQ5" s="59"/>
      <c r="VOR5" s="59"/>
      <c r="VOS5" s="59"/>
      <c r="VOT5" s="59"/>
      <c r="VOU5" s="59"/>
      <c r="VOV5" s="59"/>
      <c r="VOW5" s="59"/>
      <c r="VOX5" s="59"/>
      <c r="VOY5" s="59"/>
      <c r="VOZ5" s="59"/>
      <c r="VPA5" s="59"/>
      <c r="VPB5" s="59"/>
      <c r="VPC5" s="59"/>
      <c r="VPD5" s="59"/>
      <c r="VPE5" s="59"/>
      <c r="VPF5" s="59"/>
      <c r="VPG5" s="59"/>
      <c r="VPH5" s="59"/>
      <c r="VPI5" s="59"/>
      <c r="VPJ5" s="59"/>
      <c r="VPK5" s="59"/>
      <c r="VPL5" s="59"/>
      <c r="VPM5" s="59"/>
      <c r="VPN5" s="59"/>
      <c r="VPO5" s="59"/>
      <c r="VPP5" s="59"/>
      <c r="VPQ5" s="59"/>
      <c r="VPR5" s="59"/>
      <c r="VPS5" s="59"/>
      <c r="VPT5" s="59"/>
      <c r="VPU5" s="59"/>
      <c r="VPV5" s="59"/>
      <c r="VPW5" s="59"/>
      <c r="VPX5" s="59"/>
      <c r="VPY5" s="59"/>
      <c r="VPZ5" s="59"/>
      <c r="VQA5" s="59"/>
      <c r="VQB5" s="59"/>
      <c r="VQC5" s="59"/>
      <c r="VQD5" s="59"/>
      <c r="VQE5" s="59"/>
      <c r="VQF5" s="59"/>
      <c r="VQG5" s="59"/>
      <c r="VQH5" s="59"/>
      <c r="VQI5" s="59"/>
      <c r="VQJ5" s="59"/>
      <c r="VQK5" s="59"/>
      <c r="VQL5" s="59"/>
      <c r="VQM5" s="59"/>
      <c r="VQN5" s="59"/>
      <c r="VQO5" s="59"/>
      <c r="VQP5" s="59"/>
      <c r="VQQ5" s="59"/>
      <c r="VQR5" s="59"/>
      <c r="VQS5" s="59"/>
      <c r="VQT5" s="59"/>
      <c r="VQU5" s="59"/>
      <c r="VQV5" s="59"/>
      <c r="VQW5" s="59"/>
      <c r="VQX5" s="59"/>
      <c r="VQY5" s="59"/>
      <c r="VQZ5" s="59"/>
      <c r="VRA5" s="59"/>
      <c r="VRB5" s="59"/>
      <c r="VRC5" s="59"/>
      <c r="VRD5" s="59"/>
      <c r="VRE5" s="59"/>
      <c r="VRF5" s="59"/>
      <c r="VRG5" s="59"/>
      <c r="VRH5" s="59"/>
      <c r="VRI5" s="59"/>
      <c r="VRJ5" s="59"/>
      <c r="VRK5" s="59"/>
      <c r="VRL5" s="59"/>
      <c r="VRM5" s="59"/>
      <c r="VRN5" s="59"/>
      <c r="VRO5" s="59"/>
      <c r="VRP5" s="59"/>
      <c r="VRQ5" s="59"/>
      <c r="VRR5" s="59"/>
      <c r="VRS5" s="59"/>
      <c r="VRT5" s="59"/>
      <c r="VRU5" s="59"/>
      <c r="VRV5" s="59"/>
      <c r="VRW5" s="59"/>
      <c r="VRX5" s="59"/>
      <c r="VRY5" s="59"/>
      <c r="VRZ5" s="59"/>
      <c r="VSA5" s="59"/>
      <c r="VSB5" s="59"/>
      <c r="VSC5" s="59"/>
      <c r="VSD5" s="59"/>
      <c r="VSE5" s="59"/>
      <c r="VSF5" s="59"/>
      <c r="VSG5" s="59"/>
      <c r="VSH5" s="59"/>
      <c r="VSI5" s="59"/>
      <c r="VSJ5" s="59"/>
      <c r="VSK5" s="59"/>
      <c r="VSL5" s="59"/>
      <c r="VSM5" s="59"/>
      <c r="VSN5" s="59"/>
      <c r="VSO5" s="59"/>
      <c r="VSP5" s="59"/>
      <c r="VSQ5" s="59"/>
      <c r="VSR5" s="59"/>
      <c r="VSS5" s="59"/>
      <c r="VST5" s="59"/>
      <c r="VSU5" s="59"/>
      <c r="VSV5" s="59"/>
      <c r="VSW5" s="59"/>
      <c r="VSX5" s="59"/>
      <c r="VSY5" s="59"/>
      <c r="VSZ5" s="59"/>
      <c r="VTA5" s="59"/>
      <c r="VTB5" s="59"/>
      <c r="VTC5" s="59"/>
      <c r="VTD5" s="59"/>
      <c r="VTE5" s="59"/>
      <c r="VTF5" s="59"/>
      <c r="VTG5" s="59"/>
      <c r="VTH5" s="59"/>
      <c r="VTI5" s="59"/>
      <c r="VTJ5" s="59"/>
      <c r="VTK5" s="59"/>
      <c r="VTL5" s="59"/>
      <c r="VTM5" s="59"/>
      <c r="VTN5" s="59"/>
      <c r="VTO5" s="59"/>
      <c r="VTP5" s="59"/>
      <c r="VTQ5" s="59"/>
      <c r="VTR5" s="59"/>
      <c r="VTS5" s="59"/>
      <c r="VTT5" s="59"/>
      <c r="VTU5" s="59"/>
      <c r="VTV5" s="59"/>
      <c r="VTW5" s="59"/>
      <c r="VTX5" s="59"/>
      <c r="VTY5" s="59"/>
      <c r="VTZ5" s="59"/>
      <c r="VUA5" s="59"/>
      <c r="VUB5" s="59"/>
      <c r="VUC5" s="59"/>
      <c r="VUD5" s="59"/>
      <c r="VUE5" s="59"/>
      <c r="VUF5" s="59"/>
      <c r="VUG5" s="59"/>
      <c r="VUH5" s="59"/>
      <c r="VUI5" s="59"/>
      <c r="VUJ5" s="59"/>
      <c r="VUK5" s="59"/>
      <c r="VUL5" s="59"/>
      <c r="VUM5" s="59"/>
      <c r="VUN5" s="59"/>
      <c r="VUO5" s="59"/>
      <c r="VUP5" s="59"/>
      <c r="VUQ5" s="59"/>
      <c r="VUR5" s="59"/>
      <c r="VUS5" s="59"/>
      <c r="VUT5" s="59"/>
      <c r="VUU5" s="59"/>
      <c r="VUV5" s="59"/>
      <c r="VUW5" s="59"/>
      <c r="VUX5" s="59"/>
      <c r="VUY5" s="59"/>
      <c r="VUZ5" s="59"/>
      <c r="VVA5" s="59"/>
      <c r="VVB5" s="59"/>
      <c r="VVC5" s="59"/>
      <c r="VVD5" s="59"/>
      <c r="VVE5" s="59"/>
      <c r="VVF5" s="59"/>
      <c r="VVG5" s="59"/>
      <c r="VVH5" s="59"/>
      <c r="VVI5" s="59"/>
      <c r="VVJ5" s="59"/>
      <c r="VVK5" s="59"/>
      <c r="VVL5" s="59"/>
      <c r="VVM5" s="59"/>
      <c r="VVN5" s="59"/>
      <c r="VVO5" s="59"/>
      <c r="VVP5" s="59"/>
      <c r="VVQ5" s="59"/>
      <c r="VVR5" s="59"/>
      <c r="VVS5" s="59"/>
      <c r="VVT5" s="59"/>
      <c r="VVU5" s="59"/>
      <c r="VVV5" s="59"/>
      <c r="VVW5" s="59"/>
      <c r="VVX5" s="59"/>
      <c r="VVY5" s="59"/>
      <c r="VVZ5" s="59"/>
      <c r="VWA5" s="59"/>
      <c r="VWB5" s="59"/>
      <c r="VWC5" s="59"/>
      <c r="VWD5" s="59"/>
      <c r="VWE5" s="59"/>
      <c r="VWF5" s="59"/>
      <c r="VWG5" s="59"/>
      <c r="VWH5" s="59"/>
      <c r="VWI5" s="59"/>
      <c r="VWJ5" s="59"/>
      <c r="VWK5" s="59"/>
      <c r="VWL5" s="59"/>
      <c r="VWM5" s="59"/>
      <c r="VWN5" s="59"/>
      <c r="VWO5" s="59"/>
      <c r="VWP5" s="59"/>
      <c r="VWQ5" s="59"/>
      <c r="VWR5" s="59"/>
      <c r="VWS5" s="59"/>
      <c r="VWT5" s="59"/>
      <c r="VWU5" s="59"/>
      <c r="VWV5" s="59"/>
      <c r="VWW5" s="59"/>
      <c r="VWX5" s="59"/>
      <c r="VWY5" s="59"/>
      <c r="VWZ5" s="59"/>
      <c r="VXA5" s="59"/>
      <c r="VXB5" s="59"/>
      <c r="VXC5" s="59"/>
      <c r="VXD5" s="59"/>
      <c r="VXE5" s="59"/>
      <c r="VXF5" s="59"/>
      <c r="VXG5" s="59"/>
      <c r="VXH5" s="59"/>
      <c r="VXI5" s="59"/>
      <c r="VXJ5" s="59"/>
      <c r="VXK5" s="59"/>
      <c r="VXL5" s="59"/>
      <c r="VXM5" s="59"/>
      <c r="VXN5" s="59"/>
      <c r="VXO5" s="59"/>
      <c r="VXP5" s="59"/>
      <c r="VXQ5" s="59"/>
      <c r="VXR5" s="59"/>
      <c r="VXS5" s="59"/>
      <c r="VXT5" s="59"/>
      <c r="VXU5" s="59"/>
      <c r="VXV5" s="59"/>
      <c r="VXW5" s="59"/>
      <c r="VXX5" s="59"/>
      <c r="VXY5" s="59"/>
      <c r="VXZ5" s="59"/>
      <c r="VYA5" s="59"/>
      <c r="VYB5" s="59"/>
      <c r="VYC5" s="59"/>
      <c r="VYD5" s="59"/>
      <c r="VYE5" s="59"/>
      <c r="VYF5" s="59"/>
      <c r="VYG5" s="59"/>
      <c r="VYH5" s="59"/>
      <c r="VYI5" s="59"/>
      <c r="VYJ5" s="59"/>
      <c r="VYK5" s="59"/>
      <c r="VYL5" s="59"/>
      <c r="VYM5" s="59"/>
      <c r="VYN5" s="59"/>
      <c r="VYO5" s="59"/>
      <c r="VYP5" s="59"/>
      <c r="VYQ5" s="59"/>
      <c r="VYR5" s="59"/>
      <c r="VYS5" s="59"/>
      <c r="VYT5" s="59"/>
      <c r="VYU5" s="59"/>
      <c r="VYV5" s="59"/>
      <c r="VYW5" s="59"/>
      <c r="VYX5" s="59"/>
      <c r="VYY5" s="59"/>
      <c r="VYZ5" s="59"/>
      <c r="VZA5" s="59"/>
      <c r="VZB5" s="59"/>
      <c r="VZC5" s="59"/>
      <c r="VZD5" s="59"/>
      <c r="VZE5" s="59"/>
      <c r="VZF5" s="59"/>
      <c r="VZG5" s="59"/>
      <c r="VZH5" s="59"/>
      <c r="VZI5" s="59"/>
      <c r="VZJ5" s="59"/>
      <c r="VZK5" s="59"/>
      <c r="VZL5" s="59"/>
      <c r="VZM5" s="59"/>
      <c r="VZN5" s="59"/>
      <c r="VZO5" s="59"/>
      <c r="VZP5" s="59"/>
      <c r="VZQ5" s="59"/>
      <c r="VZR5" s="59"/>
      <c r="VZS5" s="59"/>
      <c r="VZT5" s="59"/>
      <c r="VZU5" s="59"/>
      <c r="VZV5" s="59"/>
      <c r="VZW5" s="59"/>
      <c r="VZX5" s="59"/>
      <c r="VZY5" s="59"/>
      <c r="VZZ5" s="59"/>
      <c r="WAA5" s="59"/>
      <c r="WAB5" s="59"/>
      <c r="WAC5" s="59"/>
      <c r="WAD5" s="59"/>
      <c r="WAE5" s="59"/>
      <c r="WAF5" s="59"/>
      <c r="WAG5" s="59"/>
      <c r="WAH5" s="59"/>
      <c r="WAI5" s="59"/>
      <c r="WAJ5" s="59"/>
      <c r="WAK5" s="59"/>
      <c r="WAL5" s="59"/>
      <c r="WAM5" s="59"/>
      <c r="WAN5" s="59"/>
      <c r="WAO5" s="59"/>
      <c r="WAP5" s="59"/>
      <c r="WAQ5" s="59"/>
      <c r="WAR5" s="59"/>
      <c r="WAS5" s="59"/>
      <c r="WAT5" s="59"/>
      <c r="WAU5" s="59"/>
      <c r="WAV5" s="59"/>
      <c r="WAW5" s="59"/>
      <c r="WAX5" s="59"/>
      <c r="WAY5" s="59"/>
      <c r="WAZ5" s="59"/>
      <c r="WBA5" s="59"/>
      <c r="WBB5" s="59"/>
      <c r="WBC5" s="59"/>
      <c r="WBD5" s="59"/>
      <c r="WBE5" s="59"/>
      <c r="WBF5" s="59"/>
      <c r="WBG5" s="59"/>
      <c r="WBH5" s="59"/>
      <c r="WBI5" s="59"/>
      <c r="WBJ5" s="59"/>
      <c r="WBK5" s="59"/>
      <c r="WBL5" s="59"/>
      <c r="WBM5" s="59"/>
      <c r="WBN5" s="59"/>
      <c r="WBO5" s="59"/>
      <c r="WBP5" s="59"/>
      <c r="WBQ5" s="59"/>
      <c r="WBR5" s="59"/>
      <c r="WBS5" s="59"/>
      <c r="WBT5" s="59"/>
      <c r="WBU5" s="59"/>
      <c r="WBV5" s="59"/>
      <c r="WBW5" s="59"/>
      <c r="WBX5" s="59"/>
      <c r="WBY5" s="59"/>
      <c r="WBZ5" s="59"/>
      <c r="WCA5" s="59"/>
      <c r="WCB5" s="59"/>
      <c r="WCC5" s="59"/>
      <c r="WCD5" s="59"/>
      <c r="WCE5" s="59"/>
      <c r="WCF5" s="59"/>
      <c r="WCG5" s="59"/>
      <c r="WCH5" s="59"/>
      <c r="WCI5" s="59"/>
      <c r="WCJ5" s="59"/>
      <c r="WCK5" s="59"/>
      <c r="WCL5" s="59"/>
      <c r="WCM5" s="59"/>
      <c r="WCN5" s="59"/>
      <c r="WCO5" s="59"/>
      <c r="WCP5" s="59"/>
      <c r="WCQ5" s="59"/>
      <c r="WCR5" s="59"/>
      <c r="WCS5" s="59"/>
      <c r="WCT5" s="59"/>
      <c r="WCU5" s="59"/>
      <c r="WCV5" s="59"/>
      <c r="WCW5" s="59"/>
      <c r="WCX5" s="59"/>
      <c r="WCY5" s="59"/>
      <c r="WCZ5" s="59"/>
      <c r="WDA5" s="59"/>
      <c r="WDB5" s="59"/>
      <c r="WDC5" s="59"/>
      <c r="WDD5" s="59"/>
      <c r="WDE5" s="59"/>
      <c r="WDF5" s="59"/>
      <c r="WDG5" s="59"/>
      <c r="WDH5" s="59"/>
      <c r="WDI5" s="59"/>
      <c r="WDJ5" s="59"/>
      <c r="WDK5" s="59"/>
      <c r="WDL5" s="59"/>
      <c r="WDM5" s="59"/>
      <c r="WDN5" s="59"/>
      <c r="WDO5" s="59"/>
      <c r="WDP5" s="59"/>
      <c r="WDQ5" s="59"/>
      <c r="WDR5" s="59"/>
      <c r="WDS5" s="59"/>
      <c r="WDT5" s="59"/>
      <c r="WDU5" s="59"/>
      <c r="WDV5" s="59"/>
      <c r="WDW5" s="59"/>
      <c r="WDX5" s="59"/>
      <c r="WDY5" s="59"/>
      <c r="WDZ5" s="59"/>
      <c r="WEA5" s="59"/>
      <c r="WEB5" s="59"/>
      <c r="WEC5" s="59"/>
      <c r="WED5" s="59"/>
      <c r="WEE5" s="59"/>
      <c r="WEF5" s="59"/>
      <c r="WEG5" s="59"/>
      <c r="WEH5" s="59"/>
      <c r="WEI5" s="59"/>
      <c r="WEJ5" s="59"/>
      <c r="WEK5" s="59"/>
      <c r="WEL5" s="59"/>
      <c r="WEM5" s="59"/>
      <c r="WEN5" s="59"/>
      <c r="WEO5" s="59"/>
      <c r="WEP5" s="59"/>
      <c r="WEQ5" s="59"/>
      <c r="WER5" s="59"/>
      <c r="WES5" s="59"/>
      <c r="WET5" s="59"/>
      <c r="WEU5" s="59"/>
      <c r="WEV5" s="59"/>
      <c r="WEW5" s="59"/>
      <c r="WEX5" s="59"/>
      <c r="WEY5" s="59"/>
      <c r="WEZ5" s="59"/>
      <c r="WFA5" s="59"/>
      <c r="WFB5" s="59"/>
      <c r="WFC5" s="59"/>
      <c r="WFD5" s="59"/>
      <c r="WFE5" s="59"/>
      <c r="WFF5" s="59"/>
      <c r="WFG5" s="59"/>
      <c r="WFH5" s="59"/>
      <c r="WFI5" s="59"/>
      <c r="WFJ5" s="59"/>
      <c r="WFK5" s="59"/>
      <c r="WFL5" s="59"/>
      <c r="WFM5" s="59"/>
      <c r="WFN5" s="59"/>
      <c r="WFO5" s="59"/>
      <c r="WFP5" s="59"/>
      <c r="WFQ5" s="59"/>
      <c r="WFR5" s="59"/>
      <c r="WFS5" s="59"/>
      <c r="WFT5" s="59"/>
      <c r="WFU5" s="59"/>
      <c r="WFV5" s="59"/>
      <c r="WFW5" s="59"/>
      <c r="WFX5" s="59"/>
      <c r="WFY5" s="59"/>
      <c r="WFZ5" s="59"/>
      <c r="WGA5" s="59"/>
      <c r="WGB5" s="59"/>
      <c r="WGC5" s="59"/>
      <c r="WGD5" s="59"/>
      <c r="WGE5" s="59"/>
      <c r="WGF5" s="59"/>
      <c r="WGG5" s="59"/>
      <c r="WGH5" s="59"/>
      <c r="WGI5" s="59"/>
      <c r="WGJ5" s="59"/>
      <c r="WGK5" s="59"/>
      <c r="WGL5" s="59"/>
      <c r="WGM5" s="59"/>
      <c r="WGN5" s="59"/>
      <c r="WGO5" s="59"/>
      <c r="WGP5" s="59"/>
      <c r="WGQ5" s="59"/>
      <c r="WGR5" s="59"/>
      <c r="WGS5" s="59"/>
      <c r="WGT5" s="59"/>
      <c r="WGU5" s="59"/>
      <c r="WGV5" s="59"/>
      <c r="WGW5" s="59"/>
      <c r="WGX5" s="59"/>
      <c r="WGY5" s="59"/>
      <c r="WGZ5" s="59"/>
      <c r="WHA5" s="59"/>
      <c r="WHB5" s="59"/>
      <c r="WHC5" s="59"/>
      <c r="WHD5" s="59"/>
      <c r="WHE5" s="59"/>
      <c r="WHF5" s="59"/>
      <c r="WHG5" s="59"/>
      <c r="WHH5" s="59"/>
      <c r="WHI5" s="59"/>
      <c r="WHJ5" s="59"/>
      <c r="WHK5" s="59"/>
      <c r="WHL5" s="59"/>
      <c r="WHM5" s="59"/>
      <c r="WHN5" s="59"/>
      <c r="WHO5" s="59"/>
      <c r="WHP5" s="59"/>
      <c r="WHQ5" s="59"/>
      <c r="WHR5" s="59"/>
      <c r="WHS5" s="59"/>
      <c r="WHT5" s="59"/>
      <c r="WHU5" s="59"/>
      <c r="WHV5" s="59"/>
      <c r="WHW5" s="59"/>
      <c r="WHX5" s="59"/>
      <c r="WHY5" s="59"/>
      <c r="WHZ5" s="59"/>
      <c r="WIA5" s="59"/>
      <c r="WIB5" s="59"/>
      <c r="WIC5" s="59"/>
      <c r="WID5" s="59"/>
      <c r="WIE5" s="59"/>
      <c r="WIF5" s="59"/>
      <c r="WIG5" s="59"/>
      <c r="WIH5" s="59"/>
      <c r="WII5" s="59"/>
      <c r="WIJ5" s="59"/>
      <c r="WIK5" s="59"/>
      <c r="WIL5" s="59"/>
      <c r="WIM5" s="59"/>
      <c r="WIN5" s="59"/>
      <c r="WIO5" s="59"/>
      <c r="WIP5" s="59"/>
      <c r="WIQ5" s="59"/>
      <c r="WIR5" s="59"/>
      <c r="WIS5" s="59"/>
      <c r="WIT5" s="59"/>
      <c r="WIU5" s="59"/>
      <c r="WIV5" s="59"/>
      <c r="WIW5" s="59"/>
      <c r="WIX5" s="59"/>
      <c r="WIY5" s="59"/>
      <c r="WIZ5" s="59"/>
      <c r="WJA5" s="59"/>
      <c r="WJB5" s="59"/>
      <c r="WJC5" s="59"/>
      <c r="WJD5" s="59"/>
      <c r="WJE5" s="59"/>
      <c r="WJF5" s="59"/>
      <c r="WJG5" s="59"/>
      <c r="WJH5" s="59"/>
      <c r="WJI5" s="59"/>
      <c r="WJJ5" s="59"/>
      <c r="WJK5" s="59"/>
      <c r="WJL5" s="59"/>
      <c r="WJM5" s="59"/>
      <c r="WJN5" s="59"/>
      <c r="WJO5" s="59"/>
      <c r="WJP5" s="59"/>
      <c r="WJQ5" s="59"/>
      <c r="WJR5" s="59"/>
      <c r="WJS5" s="59"/>
      <c r="WJT5" s="59"/>
      <c r="WJU5" s="59"/>
      <c r="WJV5" s="59"/>
      <c r="WJW5" s="59"/>
      <c r="WJX5" s="59"/>
      <c r="WJY5" s="59"/>
      <c r="WJZ5" s="59"/>
      <c r="WKA5" s="59"/>
      <c r="WKB5" s="59"/>
      <c r="WKC5" s="59"/>
      <c r="WKD5" s="59"/>
      <c r="WKE5" s="59"/>
      <c r="WKF5" s="59"/>
      <c r="WKG5" s="59"/>
      <c r="WKH5" s="59"/>
      <c r="WKI5" s="59"/>
      <c r="WKJ5" s="59"/>
      <c r="WKK5" s="59"/>
      <c r="WKL5" s="59"/>
      <c r="WKM5" s="59"/>
      <c r="WKN5" s="59"/>
      <c r="WKO5" s="59"/>
      <c r="WKP5" s="59"/>
      <c r="WKQ5" s="59"/>
      <c r="WKR5" s="59"/>
      <c r="WKS5" s="59"/>
      <c r="WKT5" s="59"/>
      <c r="WKU5" s="59"/>
      <c r="WKV5" s="59"/>
      <c r="WKW5" s="59"/>
      <c r="WKX5" s="59"/>
      <c r="WKY5" s="59"/>
      <c r="WKZ5" s="59"/>
      <c r="WLA5" s="59"/>
      <c r="WLB5" s="59"/>
      <c r="WLC5" s="59"/>
      <c r="WLD5" s="59"/>
      <c r="WLE5" s="59"/>
      <c r="WLF5" s="59"/>
      <c r="WLG5" s="59"/>
      <c r="WLH5" s="59"/>
      <c r="WLI5" s="59"/>
      <c r="WLJ5" s="59"/>
      <c r="WLK5" s="59"/>
      <c r="WLL5" s="59"/>
      <c r="WLM5" s="59"/>
      <c r="WLN5" s="59"/>
      <c r="WLO5" s="59"/>
      <c r="WLP5" s="59"/>
      <c r="WLQ5" s="59"/>
      <c r="WLR5" s="59"/>
      <c r="WLS5" s="59"/>
      <c r="WLT5" s="59"/>
      <c r="WLU5" s="59"/>
      <c r="WLV5" s="59"/>
      <c r="WLW5" s="59"/>
      <c r="WLX5" s="59"/>
      <c r="WLY5" s="59"/>
      <c r="WLZ5" s="59"/>
      <c r="WMA5" s="59"/>
      <c r="WMB5" s="59"/>
      <c r="WMC5" s="59"/>
      <c r="WMD5" s="59"/>
      <c r="WME5" s="59"/>
      <c r="WMF5" s="59"/>
      <c r="WMG5" s="59"/>
      <c r="WMH5" s="59"/>
      <c r="WMI5" s="59"/>
      <c r="WMJ5" s="59"/>
      <c r="WMK5" s="59"/>
      <c r="WML5" s="59"/>
      <c r="WMM5" s="59"/>
      <c r="WMN5" s="59"/>
      <c r="WMO5" s="59"/>
      <c r="WMP5" s="59"/>
      <c r="WMQ5" s="59"/>
      <c r="WMR5" s="59"/>
      <c r="WMS5" s="59"/>
      <c r="WMT5" s="59"/>
      <c r="WMU5" s="59"/>
      <c r="WMV5" s="59"/>
      <c r="WMW5" s="59"/>
      <c r="WMX5" s="59"/>
      <c r="WMY5" s="59"/>
      <c r="WMZ5" s="59"/>
      <c r="WNA5" s="59"/>
      <c r="WNB5" s="59"/>
      <c r="WNC5" s="59"/>
      <c r="WND5" s="59"/>
      <c r="WNE5" s="59"/>
      <c r="WNF5" s="59"/>
      <c r="WNG5" s="59"/>
      <c r="WNH5" s="59"/>
      <c r="WNI5" s="59"/>
      <c r="WNJ5" s="59"/>
      <c r="WNK5" s="59"/>
      <c r="WNL5" s="59"/>
      <c r="WNM5" s="59"/>
      <c r="WNN5" s="59"/>
      <c r="WNO5" s="59"/>
      <c r="WNP5" s="59"/>
      <c r="WNQ5" s="59"/>
      <c r="WNR5" s="59"/>
      <c r="WNS5" s="59"/>
      <c r="WNT5" s="59"/>
      <c r="WNU5" s="59"/>
      <c r="WNV5" s="59"/>
      <c r="WNW5" s="59"/>
      <c r="WNX5" s="59"/>
      <c r="WNY5" s="59"/>
      <c r="WNZ5" s="59"/>
      <c r="WOA5" s="59"/>
      <c r="WOB5" s="59"/>
      <c r="WOC5" s="59"/>
      <c r="WOD5" s="59"/>
      <c r="WOE5" s="59"/>
      <c r="WOF5" s="59"/>
      <c r="WOG5" s="59"/>
      <c r="WOH5" s="59"/>
      <c r="WOI5" s="59"/>
      <c r="WOJ5" s="59"/>
      <c r="WOK5" s="59"/>
      <c r="WOL5" s="59"/>
      <c r="WOM5" s="59"/>
      <c r="WON5" s="59"/>
      <c r="WOO5" s="59"/>
      <c r="WOP5" s="59"/>
      <c r="WOQ5" s="59"/>
      <c r="WOR5" s="59"/>
      <c r="WOS5" s="59"/>
      <c r="WOT5" s="59"/>
      <c r="WOU5" s="59"/>
      <c r="WOV5" s="59"/>
      <c r="WOW5" s="59"/>
      <c r="WOX5" s="59"/>
      <c r="WOY5" s="59"/>
      <c r="WOZ5" s="59"/>
      <c r="WPA5" s="59"/>
      <c r="WPB5" s="59"/>
      <c r="WPC5" s="59"/>
      <c r="WPD5" s="59"/>
      <c r="WPE5" s="59"/>
      <c r="WPF5" s="59"/>
      <c r="WPG5" s="59"/>
      <c r="WPH5" s="59"/>
      <c r="WPI5" s="59"/>
      <c r="WPJ5" s="59"/>
      <c r="WPK5" s="59"/>
      <c r="WPL5" s="59"/>
      <c r="WPM5" s="59"/>
      <c r="WPN5" s="59"/>
      <c r="WPO5" s="59"/>
      <c r="WPP5" s="59"/>
      <c r="WPQ5" s="59"/>
      <c r="WPR5" s="59"/>
      <c r="WPS5" s="59"/>
      <c r="WPT5" s="59"/>
      <c r="WPU5" s="59"/>
      <c r="WPV5" s="59"/>
      <c r="WPW5" s="59"/>
      <c r="WPX5" s="59"/>
      <c r="WPY5" s="59"/>
      <c r="WPZ5" s="59"/>
      <c r="WQA5" s="59"/>
      <c r="WQB5" s="59"/>
      <c r="WQC5" s="59"/>
      <c r="WQD5" s="59"/>
      <c r="WQE5" s="59"/>
      <c r="WQF5" s="59"/>
      <c r="WQG5" s="59"/>
      <c r="WQH5" s="59"/>
      <c r="WQI5" s="59"/>
      <c r="WQJ5" s="59"/>
      <c r="WQK5" s="59"/>
      <c r="WQL5" s="59"/>
      <c r="WQM5" s="59"/>
      <c r="WQN5" s="59"/>
      <c r="WQO5" s="59"/>
      <c r="WQP5" s="59"/>
      <c r="WQQ5" s="59"/>
      <c r="WQR5" s="59"/>
      <c r="WQS5" s="59"/>
      <c r="WQT5" s="59"/>
      <c r="WQU5" s="59"/>
      <c r="WQV5" s="59"/>
      <c r="WQW5" s="59"/>
      <c r="WQX5" s="59"/>
      <c r="WQY5" s="59"/>
      <c r="WQZ5" s="59"/>
      <c r="WRA5" s="59"/>
      <c r="WRB5" s="59"/>
      <c r="WRC5" s="59"/>
      <c r="WRD5" s="59"/>
      <c r="WRE5" s="59"/>
      <c r="WRF5" s="59"/>
      <c r="WRG5" s="59"/>
      <c r="WRH5" s="59"/>
      <c r="WRI5" s="59"/>
      <c r="WRJ5" s="59"/>
      <c r="WRK5" s="59"/>
      <c r="WRL5" s="59"/>
      <c r="WRM5" s="59"/>
      <c r="WRN5" s="59"/>
      <c r="WRO5" s="59"/>
      <c r="WRP5" s="59"/>
      <c r="WRQ5" s="59"/>
      <c r="WRR5" s="59"/>
      <c r="WRS5" s="59"/>
      <c r="WRT5" s="59"/>
      <c r="WRU5" s="59"/>
      <c r="WRV5" s="59"/>
      <c r="WRW5" s="59"/>
      <c r="WRX5" s="59"/>
      <c r="WRY5" s="59"/>
      <c r="WRZ5" s="59"/>
      <c r="WSA5" s="59"/>
      <c r="WSB5" s="59"/>
      <c r="WSC5" s="59"/>
      <c r="WSD5" s="59"/>
      <c r="WSE5" s="59"/>
      <c r="WSF5" s="59"/>
      <c r="WSG5" s="59"/>
      <c r="WSH5" s="59"/>
      <c r="WSI5" s="59"/>
      <c r="WSJ5" s="59"/>
      <c r="WSK5" s="59"/>
      <c r="WSL5" s="59"/>
      <c r="WSM5" s="59"/>
      <c r="WSN5" s="59"/>
      <c r="WSO5" s="59"/>
      <c r="WSP5" s="59"/>
      <c r="WSQ5" s="59"/>
      <c r="WSR5" s="59"/>
      <c r="WSS5" s="59"/>
      <c r="WST5" s="59"/>
      <c r="WSU5" s="59"/>
      <c r="WSV5" s="59"/>
      <c r="WSW5" s="59"/>
      <c r="WSX5" s="59"/>
      <c r="WSY5" s="59"/>
      <c r="WSZ5" s="59"/>
      <c r="WTA5" s="59"/>
      <c r="WTB5" s="59"/>
      <c r="WTC5" s="59"/>
      <c r="WTD5" s="59"/>
      <c r="WTE5" s="59"/>
      <c r="WTF5" s="59"/>
      <c r="WTG5" s="59"/>
      <c r="WTH5" s="59"/>
      <c r="WTI5" s="59"/>
      <c r="WTJ5" s="59"/>
      <c r="WTK5" s="59"/>
      <c r="WTL5" s="59"/>
      <c r="WTM5" s="59"/>
      <c r="WTN5" s="59"/>
      <c r="WTO5" s="59"/>
      <c r="WTP5" s="59"/>
      <c r="WTQ5" s="59"/>
      <c r="WTR5" s="59"/>
      <c r="WTS5" s="59"/>
      <c r="WTT5" s="59"/>
      <c r="WTU5" s="59"/>
      <c r="WTV5" s="59"/>
      <c r="WTW5" s="59"/>
      <c r="WTX5" s="59"/>
      <c r="WTY5" s="59"/>
      <c r="WTZ5" s="59"/>
      <c r="WUA5" s="59"/>
      <c r="WUB5" s="59"/>
      <c r="WUC5" s="59"/>
      <c r="WUD5" s="59"/>
      <c r="WUE5" s="59"/>
      <c r="WUF5" s="59"/>
      <c r="WUG5" s="59"/>
      <c r="WUH5" s="59"/>
      <c r="WUI5" s="59"/>
      <c r="WUJ5" s="59"/>
      <c r="WUK5" s="59"/>
      <c r="WUL5" s="59"/>
      <c r="WUM5" s="59"/>
      <c r="WUN5" s="59"/>
      <c r="WUO5" s="59"/>
      <c r="WUP5" s="59"/>
      <c r="WUQ5" s="59"/>
      <c r="WUR5" s="59"/>
      <c r="WUS5" s="59"/>
      <c r="WUT5" s="59"/>
      <c r="WUU5" s="59"/>
      <c r="WUV5" s="59"/>
      <c r="WUW5" s="59"/>
      <c r="WUX5" s="59"/>
      <c r="WUY5" s="59"/>
      <c r="WUZ5" s="59"/>
      <c r="WVA5" s="59"/>
      <c r="WVB5" s="59"/>
      <c r="WVC5" s="59"/>
      <c r="WVD5" s="59"/>
      <c r="WVE5" s="59"/>
      <c r="WVF5" s="59"/>
      <c r="WVG5" s="59"/>
      <c r="WVH5" s="59"/>
      <c r="WVI5" s="59"/>
      <c r="WVJ5" s="59"/>
      <c r="WVK5" s="59"/>
      <c r="WVL5" s="59"/>
      <c r="WVM5" s="59"/>
      <c r="WVN5" s="59"/>
      <c r="WVO5" s="59"/>
      <c r="WVP5" s="59"/>
      <c r="WVQ5" s="59"/>
      <c r="WVR5" s="59"/>
      <c r="WVS5" s="59"/>
      <c r="WVT5" s="59"/>
      <c r="WVU5" s="59"/>
      <c r="WVV5" s="59"/>
      <c r="WVW5" s="59"/>
      <c r="WVX5" s="59"/>
      <c r="WVY5" s="59"/>
      <c r="WVZ5" s="59"/>
      <c r="WWA5" s="59"/>
      <c r="WWB5" s="59"/>
      <c r="WWC5" s="59"/>
      <c r="WWD5" s="59"/>
      <c r="WWE5" s="59"/>
      <c r="WWF5" s="59"/>
      <c r="WWG5" s="59"/>
      <c r="WWH5" s="59"/>
      <c r="WWI5" s="59"/>
      <c r="WWJ5" s="59"/>
      <c r="WWK5" s="59"/>
      <c r="WWL5" s="59"/>
      <c r="WWM5" s="59"/>
      <c r="WWN5" s="59"/>
      <c r="WWO5" s="59"/>
      <c r="WWP5" s="59"/>
      <c r="WWQ5" s="59"/>
      <c r="WWR5" s="59"/>
      <c r="WWS5" s="59"/>
      <c r="WWT5" s="59"/>
      <c r="WWU5" s="59"/>
      <c r="WWV5" s="59"/>
      <c r="WWW5" s="59"/>
      <c r="WWX5" s="59"/>
      <c r="WWY5" s="59"/>
      <c r="WWZ5" s="59"/>
      <c r="WXA5" s="59"/>
      <c r="WXB5" s="59"/>
      <c r="WXC5" s="59"/>
      <c r="WXD5" s="59"/>
      <c r="WXE5" s="59"/>
      <c r="WXF5" s="59"/>
      <c r="WXG5" s="59"/>
      <c r="WXH5" s="59"/>
      <c r="WXI5" s="59"/>
      <c r="WXJ5" s="59"/>
      <c r="WXK5" s="59"/>
      <c r="WXL5" s="59"/>
      <c r="WXM5" s="59"/>
      <c r="WXN5" s="59"/>
      <c r="WXO5" s="59"/>
      <c r="WXP5" s="59"/>
      <c r="WXQ5" s="59"/>
      <c r="WXR5" s="59"/>
      <c r="WXS5" s="59"/>
      <c r="WXT5" s="59"/>
      <c r="WXU5" s="59"/>
      <c r="WXV5" s="59"/>
      <c r="WXW5" s="59"/>
      <c r="WXX5" s="59"/>
      <c r="WXY5" s="59"/>
      <c r="WXZ5" s="59"/>
      <c r="WYA5" s="59"/>
      <c r="WYB5" s="59"/>
      <c r="WYC5" s="59"/>
      <c r="WYD5" s="59"/>
      <c r="WYE5" s="59"/>
      <c r="WYF5" s="59"/>
      <c r="WYG5" s="59"/>
      <c r="WYH5" s="59"/>
      <c r="WYI5" s="59"/>
      <c r="WYJ5" s="59"/>
      <c r="WYK5" s="59"/>
      <c r="WYL5" s="59"/>
      <c r="WYM5" s="59"/>
      <c r="WYN5" s="59"/>
      <c r="WYO5" s="59"/>
      <c r="WYP5" s="59"/>
      <c r="WYQ5" s="59"/>
      <c r="WYR5" s="59"/>
      <c r="WYS5" s="59"/>
      <c r="WYT5" s="59"/>
      <c r="WYU5" s="59"/>
      <c r="WYV5" s="59"/>
      <c r="WYW5" s="59"/>
      <c r="WYX5" s="59"/>
      <c r="WYY5" s="59"/>
      <c r="WYZ5" s="59"/>
      <c r="WZA5" s="59"/>
      <c r="WZB5" s="59"/>
      <c r="WZC5" s="59"/>
      <c r="WZD5" s="59"/>
      <c r="WZE5" s="59"/>
      <c r="WZF5" s="59"/>
      <c r="WZG5" s="59"/>
      <c r="WZH5" s="59"/>
      <c r="WZI5" s="59"/>
      <c r="WZJ5" s="59"/>
      <c r="WZK5" s="59"/>
      <c r="WZL5" s="59"/>
      <c r="WZM5" s="59"/>
      <c r="WZN5" s="59"/>
      <c r="WZO5" s="59"/>
      <c r="WZP5" s="59"/>
      <c r="WZQ5" s="59"/>
      <c r="WZR5" s="59"/>
      <c r="WZS5" s="59"/>
      <c r="WZT5" s="59"/>
      <c r="WZU5" s="59"/>
      <c r="WZV5" s="59"/>
      <c r="WZW5" s="59"/>
      <c r="WZX5" s="59"/>
      <c r="WZY5" s="59"/>
      <c r="WZZ5" s="59"/>
      <c r="XAA5" s="59"/>
      <c r="XAB5" s="59"/>
      <c r="XAC5" s="59"/>
      <c r="XAD5" s="59"/>
      <c r="XAE5" s="59"/>
      <c r="XAF5" s="59"/>
      <c r="XAG5" s="59"/>
      <c r="XAH5" s="59"/>
      <c r="XAI5" s="59"/>
      <c r="XAJ5" s="59"/>
      <c r="XAK5" s="59"/>
      <c r="XAL5" s="59"/>
      <c r="XAM5" s="59"/>
      <c r="XAN5" s="59"/>
      <c r="XAO5" s="59"/>
      <c r="XAP5" s="59"/>
      <c r="XAQ5" s="59"/>
      <c r="XAR5" s="59"/>
      <c r="XAS5" s="59"/>
      <c r="XAT5" s="59"/>
      <c r="XAU5" s="59"/>
      <c r="XAV5" s="59"/>
      <c r="XAW5" s="59"/>
      <c r="XAX5" s="59"/>
      <c r="XAY5" s="59"/>
      <c r="XAZ5" s="59"/>
      <c r="XBA5" s="59"/>
      <c r="XBB5" s="59"/>
      <c r="XBC5" s="59"/>
      <c r="XBD5" s="59"/>
      <c r="XBE5" s="59"/>
      <c r="XBF5" s="59"/>
      <c r="XBG5" s="59"/>
      <c r="XBH5" s="59"/>
      <c r="XBI5" s="59"/>
      <c r="XBJ5" s="59"/>
      <c r="XBK5" s="59"/>
      <c r="XBL5" s="59"/>
      <c r="XBM5" s="59"/>
      <c r="XBN5" s="59"/>
      <c r="XBO5" s="59"/>
      <c r="XBP5" s="59"/>
      <c r="XBQ5" s="59"/>
      <c r="XBR5" s="59"/>
      <c r="XBS5" s="59"/>
      <c r="XBT5" s="59"/>
      <c r="XBU5" s="59"/>
      <c r="XBV5" s="59"/>
      <c r="XBW5" s="59"/>
      <c r="XBX5" s="59"/>
      <c r="XBY5" s="59"/>
      <c r="XBZ5" s="59"/>
      <c r="XCA5" s="59"/>
      <c r="XCB5" s="59"/>
      <c r="XCC5" s="59"/>
      <c r="XCD5" s="59"/>
      <c r="XCE5" s="59"/>
      <c r="XCF5" s="59"/>
      <c r="XCG5" s="59"/>
      <c r="XCH5" s="59"/>
      <c r="XCI5" s="59"/>
      <c r="XCJ5" s="59"/>
      <c r="XCK5" s="59"/>
      <c r="XCL5" s="59"/>
      <c r="XCM5" s="59"/>
      <c r="XCN5" s="59"/>
      <c r="XCO5" s="59"/>
      <c r="XCP5" s="59"/>
      <c r="XCQ5" s="59"/>
      <c r="XCR5" s="59"/>
      <c r="XCS5" s="59"/>
      <c r="XCT5" s="59"/>
      <c r="XCU5" s="59"/>
      <c r="XCV5" s="59"/>
      <c r="XCW5" s="59"/>
      <c r="XCX5" s="59"/>
      <c r="XCY5" s="59"/>
      <c r="XCZ5" s="59"/>
      <c r="XDA5" s="59"/>
      <c r="XDB5" s="59"/>
      <c r="XDC5" s="59"/>
      <c r="XDD5" s="59"/>
      <c r="XDE5" s="59"/>
      <c r="XDF5" s="59"/>
      <c r="XDG5" s="59"/>
      <c r="XDH5" s="59"/>
      <c r="XDI5" s="59"/>
      <c r="XDJ5" s="59"/>
      <c r="XDK5" s="59"/>
      <c r="XDL5" s="59"/>
      <c r="XDM5" s="59"/>
      <c r="XDN5" s="59"/>
      <c r="XDO5" s="59"/>
      <c r="XDP5" s="59"/>
      <c r="XDQ5" s="59"/>
      <c r="XDR5" s="59"/>
      <c r="XDS5" s="59"/>
      <c r="XDT5" s="59"/>
      <c r="XDU5" s="59"/>
      <c r="XDV5" s="59"/>
      <c r="XDW5" s="59"/>
      <c r="XDX5" s="59"/>
      <c r="XDY5" s="59"/>
      <c r="XDZ5" s="59"/>
      <c r="XEA5" s="59"/>
      <c r="XEB5" s="59"/>
      <c r="XEC5" s="59"/>
      <c r="XED5" s="59"/>
      <c r="XEE5" s="59"/>
      <c r="XEF5" s="59"/>
      <c r="XEG5" s="59"/>
      <c r="XEH5" s="59"/>
      <c r="XEI5" s="59"/>
      <c r="XEJ5" s="59"/>
      <c r="XEK5" s="59"/>
      <c r="XEL5" s="59"/>
      <c r="XEM5" s="59"/>
      <c r="XEN5" s="59"/>
      <c r="XEO5" s="59"/>
      <c r="XEP5" s="59"/>
      <c r="XEQ5" s="59"/>
      <c r="XER5" s="59"/>
      <c r="XES5" s="59"/>
      <c r="XET5" s="59"/>
      <c r="XEU5" s="59"/>
      <c r="XEV5" s="59"/>
      <c r="XEW5" s="59"/>
      <c r="XEX5" s="59"/>
      <c r="XEY5" s="59"/>
      <c r="XEZ5" s="59"/>
      <c r="XFA5" s="59"/>
      <c r="XFB5" s="59"/>
      <c r="XFC5" s="59"/>
      <c r="XFD5" s="59"/>
    </row>
    <row r="6" spans="1:16384" ht="9" customHeight="1">
      <c r="A6" s="59"/>
      <c r="B6" s="59"/>
      <c r="C6" s="59"/>
      <c r="D6" s="59"/>
      <c r="E6" s="180" t="s">
        <v>688</v>
      </c>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30" customHeight="1">
      <c r="A7" s="59"/>
      <c r="B7" s="59"/>
      <c r="C7" s="59"/>
      <c r="D7" t="s">
        <v>4680</v>
      </c>
      <c r="E7" s="53" t="s">
        <v>4816</v>
      </c>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c r="IW7" s="59"/>
      <c r="IX7" s="59"/>
      <c r="IY7" s="59"/>
      <c r="IZ7" s="59"/>
      <c r="JA7" s="59"/>
      <c r="JB7" s="59"/>
      <c r="JC7" s="59"/>
      <c r="JD7" s="59"/>
      <c r="JE7" s="59"/>
      <c r="JF7" s="59"/>
      <c r="JG7" s="59"/>
      <c r="JH7" s="59"/>
      <c r="JI7" s="59"/>
      <c r="JJ7" s="59"/>
      <c r="JK7" s="59"/>
      <c r="JL7" s="59"/>
      <c r="JM7" s="59"/>
      <c r="JN7" s="59"/>
      <c r="JO7" s="59"/>
      <c r="JP7" s="59"/>
      <c r="JQ7" s="59"/>
      <c r="JR7" s="59"/>
      <c r="JS7" s="59"/>
      <c r="JT7" s="59"/>
      <c r="JU7" s="59"/>
      <c r="JV7" s="59"/>
      <c r="JW7" s="59"/>
      <c r="JX7" s="59"/>
      <c r="JY7" s="59"/>
      <c r="JZ7" s="59"/>
      <c r="KA7" s="59"/>
      <c r="KB7" s="59"/>
      <c r="KC7" s="59"/>
      <c r="KD7" s="59"/>
      <c r="KE7" s="59"/>
      <c r="KF7" s="59"/>
      <c r="KG7" s="59"/>
      <c r="KH7" s="59"/>
      <c r="KI7" s="59"/>
      <c r="KJ7" s="59"/>
      <c r="KK7" s="59"/>
      <c r="KL7" s="59"/>
      <c r="KM7" s="59"/>
      <c r="KN7" s="59"/>
      <c r="KO7" s="59"/>
      <c r="KP7" s="59"/>
      <c r="KQ7" s="59"/>
      <c r="KR7" s="59"/>
      <c r="KS7" s="59"/>
      <c r="KT7" s="59"/>
      <c r="KU7" s="59"/>
      <c r="KV7" s="59"/>
      <c r="KW7" s="59"/>
      <c r="KX7" s="59"/>
      <c r="KY7" s="59"/>
      <c r="KZ7" s="59"/>
      <c r="LA7" s="59"/>
      <c r="LB7" s="59"/>
      <c r="LC7" s="59"/>
      <c r="LD7" s="59"/>
      <c r="LE7" s="59"/>
      <c r="LF7" s="59"/>
      <c r="LG7" s="59"/>
      <c r="LH7" s="59"/>
      <c r="LI7" s="59"/>
      <c r="LJ7" s="59"/>
      <c r="LK7" s="59"/>
      <c r="LL7" s="59"/>
      <c r="LM7" s="59"/>
      <c r="LN7" s="59"/>
      <c r="LO7" s="59"/>
      <c r="LP7" s="59"/>
      <c r="LQ7" s="59"/>
      <c r="LR7" s="59"/>
      <c r="LS7" s="59"/>
      <c r="LT7" s="59"/>
      <c r="LU7" s="59"/>
      <c r="LV7" s="59"/>
      <c r="LW7" s="59"/>
      <c r="LX7" s="59"/>
      <c r="LY7" s="59"/>
      <c r="LZ7" s="59"/>
      <c r="MA7" s="59"/>
      <c r="MB7" s="59"/>
      <c r="MC7" s="59"/>
      <c r="MD7" s="59"/>
      <c r="ME7" s="59"/>
      <c r="MF7" s="59"/>
      <c r="MG7" s="59"/>
      <c r="MH7" s="59"/>
      <c r="MI7" s="59"/>
      <c r="MJ7" s="59"/>
      <c r="MK7" s="59"/>
      <c r="ML7" s="59"/>
      <c r="MM7" s="59"/>
      <c r="MN7" s="59"/>
      <c r="MO7" s="59"/>
      <c r="MP7" s="59"/>
      <c r="MQ7" s="59"/>
      <c r="MR7" s="59"/>
      <c r="MS7" s="59"/>
      <c r="MT7" s="59"/>
      <c r="MU7" s="59"/>
      <c r="MV7" s="59"/>
      <c r="MW7" s="59"/>
      <c r="MX7" s="59"/>
      <c r="MY7" s="59"/>
      <c r="MZ7" s="59"/>
      <c r="NA7" s="59"/>
      <c r="NB7" s="59"/>
      <c r="NC7" s="59"/>
      <c r="ND7" s="59"/>
      <c r="NE7" s="59"/>
      <c r="NF7" s="59"/>
      <c r="NG7" s="59"/>
      <c r="NH7" s="59"/>
      <c r="NI7" s="59"/>
      <c r="NJ7" s="59"/>
      <c r="NK7" s="59"/>
      <c r="NL7" s="59"/>
      <c r="NM7" s="59"/>
      <c r="NN7" s="59"/>
      <c r="NO7" s="59"/>
      <c r="NP7" s="59"/>
      <c r="NQ7" s="59"/>
      <c r="NR7" s="59"/>
      <c r="NS7" s="59"/>
      <c r="NT7" s="59"/>
      <c r="NU7" s="59"/>
      <c r="NV7" s="59"/>
      <c r="NW7" s="59"/>
      <c r="NX7" s="59"/>
      <c r="NY7" s="59"/>
      <c r="NZ7" s="59"/>
      <c r="OA7" s="59"/>
      <c r="OB7" s="59"/>
      <c r="OC7" s="59"/>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59"/>
      <c r="QE7" s="59"/>
      <c r="QF7" s="59"/>
      <c r="QG7" s="59"/>
      <c r="QH7" s="59"/>
      <c r="QI7" s="59"/>
      <c r="QJ7" s="59"/>
      <c r="QK7" s="59"/>
      <c r="QL7" s="59"/>
      <c r="QM7" s="59"/>
      <c r="QN7" s="59"/>
      <c r="QO7" s="59"/>
      <c r="QP7" s="59"/>
      <c r="QQ7" s="59"/>
      <c r="QR7" s="59"/>
      <c r="QS7" s="59"/>
      <c r="QT7" s="59"/>
      <c r="QU7" s="59"/>
      <c r="QV7" s="59"/>
      <c r="QW7" s="59"/>
      <c r="QX7" s="59"/>
      <c r="QY7" s="59"/>
      <c r="QZ7" s="59"/>
      <c r="RA7" s="59"/>
      <c r="RB7" s="59"/>
      <c r="RC7" s="59"/>
      <c r="RD7" s="59"/>
      <c r="RE7" s="59"/>
      <c r="RF7" s="59"/>
      <c r="RG7" s="59"/>
      <c r="RH7" s="59"/>
      <c r="RI7" s="59"/>
      <c r="RJ7" s="59"/>
      <c r="RK7" s="59"/>
      <c r="RL7" s="59"/>
      <c r="RM7" s="59"/>
      <c r="RN7" s="59"/>
      <c r="RO7" s="59"/>
      <c r="RP7" s="59"/>
      <c r="RQ7" s="59"/>
      <c r="RR7" s="59"/>
      <c r="RS7" s="59"/>
      <c r="RT7" s="59"/>
      <c r="RU7" s="59"/>
      <c r="RV7" s="59"/>
      <c r="RW7" s="59"/>
      <c r="RX7" s="59"/>
      <c r="RY7" s="59"/>
      <c r="RZ7" s="59"/>
      <c r="SA7" s="59"/>
      <c r="SB7" s="59"/>
      <c r="SC7" s="59"/>
      <c r="SD7" s="59"/>
      <c r="SE7" s="59"/>
      <c r="SF7" s="59"/>
      <c r="SG7" s="59"/>
      <c r="SH7" s="59"/>
      <c r="SI7" s="59"/>
      <c r="SJ7" s="59"/>
      <c r="SK7" s="59"/>
      <c r="SL7" s="59"/>
      <c r="SM7" s="59"/>
      <c r="SN7" s="59"/>
      <c r="SO7" s="59"/>
      <c r="SP7" s="59"/>
      <c r="SQ7" s="59"/>
      <c r="SR7" s="59"/>
      <c r="SS7" s="59"/>
      <c r="ST7" s="59"/>
      <c r="SU7" s="59"/>
      <c r="SV7" s="59"/>
      <c r="SW7" s="59"/>
      <c r="SX7" s="59"/>
      <c r="SY7" s="59"/>
      <c r="SZ7" s="59"/>
      <c r="TA7" s="59"/>
      <c r="TB7" s="59"/>
      <c r="TC7" s="59"/>
      <c r="TD7" s="59"/>
      <c r="TE7" s="59"/>
      <c r="TF7" s="59"/>
      <c r="TG7" s="59"/>
      <c r="TH7" s="59"/>
      <c r="TI7" s="59"/>
      <c r="TJ7" s="59"/>
      <c r="TK7" s="59"/>
      <c r="TL7" s="59"/>
      <c r="TM7" s="59"/>
      <c r="TN7" s="59"/>
      <c r="TO7" s="59"/>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59"/>
      <c r="VE7" s="59"/>
      <c r="VF7" s="59"/>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c r="YB7" s="59"/>
      <c r="YC7" s="59"/>
      <c r="YD7" s="59"/>
      <c r="YE7" s="59"/>
      <c r="YF7" s="59"/>
      <c r="YG7" s="59"/>
      <c r="YH7" s="59"/>
      <c r="YI7" s="59"/>
      <c r="YJ7" s="59"/>
      <c r="YK7" s="59"/>
      <c r="YL7" s="59"/>
      <c r="YM7" s="59"/>
      <c r="YN7" s="59"/>
      <c r="YO7" s="59"/>
      <c r="YP7" s="59"/>
      <c r="YQ7" s="59"/>
      <c r="YR7" s="59"/>
      <c r="YS7" s="59"/>
      <c r="YT7" s="59"/>
      <c r="YU7" s="59"/>
      <c r="YV7" s="59"/>
      <c r="YW7" s="59"/>
      <c r="YX7" s="59"/>
      <c r="YY7" s="59"/>
      <c r="YZ7" s="59"/>
      <c r="ZA7" s="59"/>
      <c r="ZB7" s="59"/>
      <c r="ZC7" s="59"/>
      <c r="ZD7" s="59"/>
      <c r="ZE7" s="59"/>
      <c r="ZF7" s="59"/>
      <c r="ZG7" s="59"/>
      <c r="ZH7" s="59"/>
      <c r="ZI7" s="59"/>
      <c r="ZJ7" s="59"/>
      <c r="ZK7" s="59"/>
      <c r="ZL7" s="59"/>
      <c r="ZM7" s="59"/>
      <c r="ZN7" s="59"/>
      <c r="ZO7" s="59"/>
      <c r="ZP7" s="59"/>
      <c r="ZQ7" s="59"/>
      <c r="ZR7" s="59"/>
      <c r="ZS7" s="59"/>
      <c r="ZT7" s="59"/>
      <c r="ZU7" s="59"/>
      <c r="ZV7" s="59"/>
      <c r="ZW7" s="59"/>
      <c r="ZX7" s="59"/>
      <c r="ZY7" s="59"/>
      <c r="ZZ7" s="59"/>
      <c r="AAA7" s="59"/>
      <c r="AAB7" s="59"/>
      <c r="AAC7" s="59"/>
      <c r="AAD7" s="59"/>
      <c r="AAE7" s="59"/>
      <c r="AAF7" s="59"/>
      <c r="AAG7" s="59"/>
      <c r="AAH7" s="59"/>
      <c r="AAI7" s="59"/>
      <c r="AAJ7" s="59"/>
      <c r="AAK7" s="59"/>
      <c r="AAL7" s="59"/>
      <c r="AAM7" s="59"/>
      <c r="AAN7" s="59"/>
      <c r="AAO7" s="59"/>
      <c r="AAP7" s="59"/>
      <c r="AAQ7" s="59"/>
      <c r="AAR7" s="59"/>
      <c r="AAS7" s="59"/>
      <c r="AAT7" s="59"/>
      <c r="AAU7" s="59"/>
      <c r="AAV7" s="59"/>
      <c r="AAW7" s="59"/>
      <c r="AAX7" s="59"/>
      <c r="AAY7" s="59"/>
      <c r="AAZ7" s="59"/>
      <c r="ABA7" s="59"/>
      <c r="ABB7" s="59"/>
      <c r="ABC7" s="59"/>
      <c r="ABD7" s="59"/>
      <c r="ABE7" s="59"/>
      <c r="ABF7" s="59"/>
      <c r="ABG7" s="59"/>
      <c r="ABH7" s="59"/>
      <c r="ABI7" s="59"/>
      <c r="ABJ7" s="59"/>
      <c r="ABK7" s="59"/>
      <c r="ABL7" s="59"/>
      <c r="ABM7" s="59"/>
      <c r="ABN7" s="59"/>
      <c r="ABO7" s="59"/>
      <c r="ABP7" s="59"/>
      <c r="ABQ7" s="59"/>
      <c r="ABR7" s="59"/>
      <c r="ABS7" s="59"/>
      <c r="ABT7" s="59"/>
      <c r="ABU7" s="59"/>
      <c r="ABV7" s="59"/>
      <c r="ABW7" s="59"/>
      <c r="ABX7" s="59"/>
      <c r="ABY7" s="59"/>
      <c r="ABZ7" s="59"/>
      <c r="ACA7" s="59"/>
      <c r="ACB7" s="59"/>
      <c r="ACC7" s="59"/>
      <c r="ACD7" s="59"/>
      <c r="ACE7" s="59"/>
      <c r="ACF7" s="59"/>
      <c r="ACG7" s="59"/>
      <c r="ACH7" s="59"/>
      <c r="ACI7" s="59"/>
      <c r="ACJ7" s="59"/>
      <c r="ACK7" s="59"/>
      <c r="ACL7" s="59"/>
      <c r="ACM7" s="59"/>
      <c r="ACN7" s="59"/>
      <c r="ACO7" s="59"/>
      <c r="ACP7" s="59"/>
      <c r="ACQ7" s="59"/>
      <c r="ACR7" s="59"/>
      <c r="ACS7" s="59"/>
      <c r="ACT7" s="59"/>
      <c r="ACU7" s="59"/>
      <c r="ACV7" s="59"/>
      <c r="ACW7" s="59"/>
      <c r="ACX7" s="59"/>
      <c r="ACY7" s="59"/>
      <c r="ACZ7" s="59"/>
      <c r="ADA7" s="59"/>
      <c r="ADB7" s="59"/>
      <c r="ADC7" s="59"/>
      <c r="ADD7" s="59"/>
      <c r="ADE7" s="59"/>
      <c r="ADF7" s="59"/>
      <c r="ADG7" s="59"/>
      <c r="ADH7" s="59"/>
      <c r="ADI7" s="59"/>
      <c r="ADJ7" s="59"/>
      <c r="ADK7" s="59"/>
      <c r="ADL7" s="59"/>
      <c r="ADM7" s="59"/>
      <c r="ADN7" s="59"/>
      <c r="ADO7" s="59"/>
      <c r="ADP7" s="59"/>
      <c r="ADQ7" s="59"/>
      <c r="ADR7" s="59"/>
      <c r="ADS7" s="59"/>
      <c r="ADT7" s="59"/>
      <c r="ADU7" s="59"/>
      <c r="ADV7" s="59"/>
      <c r="ADW7" s="59"/>
      <c r="ADX7" s="59"/>
      <c r="ADY7" s="59"/>
      <c r="ADZ7" s="59"/>
      <c r="AEA7" s="59"/>
      <c r="AEB7" s="59"/>
      <c r="AEC7" s="59"/>
      <c r="AED7" s="59"/>
      <c r="AEE7" s="59"/>
      <c r="AEF7" s="59"/>
      <c r="AEG7" s="59"/>
      <c r="AEH7" s="59"/>
      <c r="AEI7" s="59"/>
      <c r="AEJ7" s="59"/>
      <c r="AEK7" s="59"/>
      <c r="AEL7" s="59"/>
      <c r="AEM7" s="59"/>
      <c r="AEN7" s="59"/>
      <c r="AEO7" s="59"/>
      <c r="AEP7" s="59"/>
      <c r="AEQ7" s="59"/>
      <c r="AER7" s="59"/>
      <c r="AES7" s="59"/>
      <c r="AET7" s="59"/>
      <c r="AEU7" s="59"/>
      <c r="AEV7" s="59"/>
      <c r="AEW7" s="59"/>
      <c r="AEX7" s="59"/>
      <c r="AEY7" s="59"/>
      <c r="AEZ7" s="59"/>
      <c r="AFA7" s="59"/>
      <c r="AFB7" s="59"/>
      <c r="AFC7" s="59"/>
      <c r="AFD7" s="59"/>
      <c r="AFE7" s="59"/>
      <c r="AFF7" s="59"/>
      <c r="AFG7" s="59"/>
      <c r="AFH7" s="59"/>
      <c r="AFI7" s="59"/>
      <c r="AFJ7" s="59"/>
      <c r="AFK7" s="59"/>
      <c r="AFL7" s="59"/>
      <c r="AFM7" s="59"/>
      <c r="AFN7" s="59"/>
      <c r="AFO7" s="59"/>
      <c r="AFP7" s="59"/>
      <c r="AFQ7" s="59"/>
      <c r="AFR7" s="59"/>
      <c r="AFS7" s="59"/>
      <c r="AFT7" s="59"/>
      <c r="AFU7" s="59"/>
      <c r="AFV7" s="59"/>
      <c r="AFW7" s="59"/>
      <c r="AFX7" s="59"/>
      <c r="AFY7" s="59"/>
      <c r="AFZ7" s="59"/>
      <c r="AGA7" s="59"/>
      <c r="AGB7" s="59"/>
      <c r="AGC7" s="59"/>
      <c r="AGD7" s="59"/>
      <c r="AGE7" s="59"/>
      <c r="AGF7" s="59"/>
      <c r="AGG7" s="59"/>
      <c r="AGH7" s="59"/>
      <c r="AGI7" s="59"/>
      <c r="AGJ7" s="59"/>
      <c r="AGK7" s="59"/>
      <c r="AGL7" s="59"/>
      <c r="AGM7" s="59"/>
      <c r="AGN7" s="59"/>
      <c r="AGO7" s="59"/>
      <c r="AGP7" s="59"/>
      <c r="AGQ7" s="59"/>
      <c r="AGR7" s="59"/>
      <c r="AGS7" s="59"/>
      <c r="AGT7" s="59"/>
      <c r="AGU7" s="59"/>
      <c r="AGV7" s="59"/>
      <c r="AGW7" s="59"/>
      <c r="AGX7" s="59"/>
      <c r="AGY7" s="59"/>
      <c r="AGZ7" s="59"/>
      <c r="AHA7" s="59"/>
      <c r="AHB7" s="59"/>
      <c r="AHC7" s="59"/>
      <c r="AHD7" s="59"/>
      <c r="AHE7" s="59"/>
      <c r="AHF7" s="59"/>
      <c r="AHG7" s="59"/>
      <c r="AHH7" s="59"/>
      <c r="AHI7" s="59"/>
      <c r="AHJ7" s="59"/>
      <c r="AHK7" s="59"/>
      <c r="AHL7" s="59"/>
      <c r="AHM7" s="59"/>
      <c r="AHN7" s="59"/>
      <c r="AHO7" s="59"/>
      <c r="AHP7" s="59"/>
      <c r="AHQ7" s="59"/>
      <c r="AHR7" s="59"/>
      <c r="AHS7" s="59"/>
      <c r="AHT7" s="59"/>
      <c r="AHU7" s="59"/>
      <c r="AHV7" s="59"/>
      <c r="AHW7" s="59"/>
      <c r="AHX7" s="59"/>
      <c r="AHY7" s="59"/>
      <c r="AHZ7" s="59"/>
      <c r="AIA7" s="59"/>
      <c r="AIB7" s="59"/>
      <c r="AIC7" s="59"/>
      <c r="AID7" s="59"/>
      <c r="AIE7" s="59"/>
      <c r="AIF7" s="59"/>
      <c r="AIG7" s="59"/>
      <c r="AIH7" s="59"/>
      <c r="AII7" s="59"/>
      <c r="AIJ7" s="59"/>
      <c r="AIK7" s="59"/>
      <c r="AIL7" s="59"/>
      <c r="AIM7" s="59"/>
      <c r="AIN7" s="59"/>
      <c r="AIO7" s="59"/>
      <c r="AIP7" s="59"/>
      <c r="AIQ7" s="59"/>
      <c r="AIR7" s="59"/>
      <c r="AIS7" s="59"/>
      <c r="AIT7" s="59"/>
      <c r="AIU7" s="59"/>
      <c r="AIV7" s="59"/>
      <c r="AIW7" s="59"/>
      <c r="AIX7" s="59"/>
      <c r="AIY7" s="59"/>
      <c r="AIZ7" s="59"/>
      <c r="AJA7" s="59"/>
      <c r="AJB7" s="59"/>
      <c r="AJC7" s="59"/>
      <c r="AJD7" s="59"/>
      <c r="AJE7" s="59"/>
      <c r="AJF7" s="59"/>
      <c r="AJG7" s="59"/>
      <c r="AJH7" s="59"/>
      <c r="AJI7" s="59"/>
      <c r="AJJ7" s="59"/>
      <c r="AJK7" s="59"/>
      <c r="AJL7" s="59"/>
      <c r="AJM7" s="59"/>
      <c r="AJN7" s="59"/>
      <c r="AJO7" s="59"/>
      <c r="AJP7" s="59"/>
      <c r="AJQ7" s="59"/>
      <c r="AJR7" s="59"/>
      <c r="AJS7" s="59"/>
      <c r="AJT7" s="59"/>
      <c r="AJU7" s="59"/>
      <c r="AJV7" s="59"/>
      <c r="AJW7" s="59"/>
      <c r="AJX7" s="59"/>
      <c r="AJY7" s="59"/>
      <c r="AJZ7" s="59"/>
      <c r="AKA7" s="59"/>
      <c r="AKB7" s="59"/>
      <c r="AKC7" s="59"/>
      <c r="AKD7" s="59"/>
      <c r="AKE7" s="59"/>
      <c r="AKF7" s="59"/>
      <c r="AKG7" s="59"/>
      <c r="AKH7" s="59"/>
      <c r="AKI7" s="59"/>
      <c r="AKJ7" s="59"/>
      <c r="AKK7" s="59"/>
      <c r="AKL7" s="59"/>
      <c r="AKM7" s="59"/>
      <c r="AKN7" s="59"/>
      <c r="AKO7" s="59"/>
      <c r="AKP7" s="59"/>
      <c r="AKQ7" s="59"/>
      <c r="AKR7" s="59"/>
      <c r="AKS7" s="59"/>
      <c r="AKT7" s="59"/>
      <c r="AKU7" s="59"/>
      <c r="AKV7" s="59"/>
      <c r="AKW7" s="59"/>
      <c r="AKX7" s="59"/>
      <c r="AKY7" s="59"/>
      <c r="AKZ7" s="59"/>
      <c r="ALA7" s="59"/>
      <c r="ALB7" s="59"/>
      <c r="ALC7" s="59"/>
      <c r="ALD7" s="59"/>
      <c r="ALE7" s="59"/>
      <c r="ALF7" s="59"/>
      <c r="ALG7" s="59"/>
      <c r="ALH7" s="59"/>
      <c r="ALI7" s="59"/>
      <c r="ALJ7" s="59"/>
      <c r="ALK7" s="59"/>
      <c r="ALL7" s="59"/>
      <c r="ALM7" s="59"/>
      <c r="ALN7" s="59"/>
      <c r="ALO7" s="59"/>
      <c r="ALP7" s="59"/>
      <c r="ALQ7" s="59"/>
      <c r="ALR7" s="59"/>
      <c r="ALS7" s="59"/>
      <c r="ALT7" s="59"/>
      <c r="ALU7" s="59"/>
      <c r="ALV7" s="59"/>
      <c r="ALW7" s="59"/>
      <c r="ALX7" s="59"/>
      <c r="ALY7" s="59"/>
      <c r="ALZ7" s="59"/>
      <c r="AMA7" s="59"/>
      <c r="AMB7" s="59"/>
      <c r="AMC7" s="59"/>
      <c r="AMD7" s="59"/>
      <c r="AME7" s="59"/>
      <c r="AMF7" s="59"/>
      <c r="AMG7" s="59"/>
      <c r="AMH7" s="59"/>
      <c r="AMI7" s="59"/>
      <c r="AMJ7" s="59"/>
      <c r="AMK7" s="59"/>
      <c r="AML7" s="59"/>
      <c r="AMM7" s="59"/>
      <c r="AMN7" s="59"/>
      <c r="AMO7" s="59"/>
      <c r="AMP7" s="59"/>
      <c r="AMQ7" s="59"/>
      <c r="AMR7" s="59"/>
      <c r="AMS7" s="59"/>
      <c r="AMT7" s="59"/>
      <c r="AMU7" s="59"/>
      <c r="AMV7" s="59"/>
      <c r="AMW7" s="59"/>
      <c r="AMX7" s="59"/>
      <c r="AMY7" s="59"/>
      <c r="AMZ7" s="59"/>
      <c r="ANA7" s="59"/>
      <c r="ANB7" s="59"/>
      <c r="ANC7" s="59"/>
      <c r="AND7" s="59"/>
      <c r="ANE7" s="59"/>
      <c r="ANF7" s="59"/>
      <c r="ANG7" s="59"/>
      <c r="ANH7" s="59"/>
      <c r="ANI7" s="59"/>
      <c r="ANJ7" s="59"/>
      <c r="ANK7" s="59"/>
      <c r="ANL7" s="59"/>
      <c r="ANM7" s="59"/>
      <c r="ANN7" s="59"/>
      <c r="ANO7" s="59"/>
      <c r="ANP7" s="59"/>
      <c r="ANQ7" s="59"/>
      <c r="ANR7" s="59"/>
      <c r="ANS7" s="59"/>
      <c r="ANT7" s="59"/>
      <c r="ANU7" s="59"/>
      <c r="ANV7" s="59"/>
      <c r="ANW7" s="59"/>
      <c r="ANX7" s="59"/>
      <c r="ANY7" s="59"/>
      <c r="ANZ7" s="59"/>
      <c r="AOA7" s="59"/>
      <c r="AOB7" s="59"/>
      <c r="AOC7" s="59"/>
      <c r="AOD7" s="59"/>
      <c r="AOE7" s="59"/>
      <c r="AOF7" s="59"/>
      <c r="AOG7" s="59"/>
      <c r="AOH7" s="59"/>
      <c r="AOI7" s="59"/>
      <c r="AOJ7" s="59"/>
      <c r="AOK7" s="59"/>
      <c r="AOL7" s="59"/>
      <c r="AOM7" s="59"/>
      <c r="AON7" s="59"/>
      <c r="AOO7" s="59"/>
      <c r="AOP7" s="59"/>
      <c r="AOQ7" s="59"/>
      <c r="AOR7" s="59"/>
      <c r="AOS7" s="59"/>
      <c r="AOT7" s="59"/>
      <c r="AOU7" s="59"/>
      <c r="AOV7" s="59"/>
      <c r="AOW7" s="59"/>
      <c r="AOX7" s="59"/>
      <c r="AOY7" s="59"/>
      <c r="AOZ7" s="59"/>
      <c r="APA7" s="59"/>
      <c r="APB7" s="59"/>
      <c r="APC7" s="59"/>
      <c r="APD7" s="59"/>
      <c r="APE7" s="59"/>
      <c r="APF7" s="59"/>
      <c r="APG7" s="59"/>
      <c r="APH7" s="59"/>
      <c r="API7" s="59"/>
      <c r="APJ7" s="59"/>
      <c r="APK7" s="59"/>
      <c r="APL7" s="59"/>
      <c r="APM7" s="59"/>
      <c r="APN7" s="59"/>
      <c r="APO7" s="59"/>
      <c r="APP7" s="59"/>
      <c r="APQ7" s="59"/>
      <c r="APR7" s="59"/>
      <c r="APS7" s="59"/>
      <c r="APT7" s="59"/>
      <c r="APU7" s="59"/>
      <c r="APV7" s="59"/>
      <c r="APW7" s="59"/>
      <c r="APX7" s="59"/>
      <c r="APY7" s="59"/>
      <c r="APZ7" s="59"/>
      <c r="AQA7" s="59"/>
      <c r="AQB7" s="59"/>
      <c r="AQC7" s="59"/>
      <c r="AQD7" s="59"/>
      <c r="AQE7" s="59"/>
      <c r="AQF7" s="59"/>
      <c r="AQG7" s="59"/>
      <c r="AQH7" s="59"/>
      <c r="AQI7" s="59"/>
      <c r="AQJ7" s="59"/>
      <c r="AQK7" s="59"/>
      <c r="AQL7" s="59"/>
      <c r="AQM7" s="59"/>
      <c r="AQN7" s="59"/>
      <c r="AQO7" s="59"/>
      <c r="AQP7" s="59"/>
      <c r="AQQ7" s="59"/>
      <c r="AQR7" s="59"/>
      <c r="AQS7" s="59"/>
      <c r="AQT7" s="59"/>
      <c r="AQU7" s="59"/>
      <c r="AQV7" s="59"/>
      <c r="AQW7" s="59"/>
      <c r="AQX7" s="59"/>
      <c r="AQY7" s="59"/>
      <c r="AQZ7" s="59"/>
      <c r="ARA7" s="59"/>
      <c r="ARB7" s="59"/>
      <c r="ARC7" s="59"/>
      <c r="ARD7" s="59"/>
      <c r="ARE7" s="59"/>
      <c r="ARF7" s="59"/>
      <c r="ARG7" s="59"/>
      <c r="ARH7" s="59"/>
      <c r="ARI7" s="59"/>
      <c r="ARJ7" s="59"/>
      <c r="ARK7" s="59"/>
      <c r="ARL7" s="59"/>
      <c r="ARM7" s="59"/>
      <c r="ARN7" s="59"/>
      <c r="ARO7" s="59"/>
      <c r="ARP7" s="59"/>
      <c r="ARQ7" s="59"/>
      <c r="ARR7" s="59"/>
      <c r="ARS7" s="59"/>
      <c r="ART7" s="59"/>
      <c r="ARU7" s="59"/>
      <c r="ARV7" s="59"/>
      <c r="ARW7" s="59"/>
      <c r="ARX7" s="59"/>
      <c r="ARY7" s="59"/>
      <c r="ARZ7" s="59"/>
      <c r="ASA7" s="59"/>
      <c r="ASB7" s="59"/>
      <c r="ASC7" s="59"/>
      <c r="ASD7" s="59"/>
      <c r="ASE7" s="59"/>
      <c r="ASF7" s="59"/>
      <c r="ASG7" s="59"/>
      <c r="ASH7" s="59"/>
      <c r="ASI7" s="59"/>
      <c r="ASJ7" s="59"/>
      <c r="ASK7" s="59"/>
      <c r="ASL7" s="59"/>
      <c r="ASM7" s="59"/>
      <c r="ASN7" s="59"/>
      <c r="ASO7" s="59"/>
      <c r="ASP7" s="59"/>
      <c r="ASQ7" s="59"/>
      <c r="ASR7" s="59"/>
      <c r="ASS7" s="59"/>
      <c r="AST7" s="59"/>
      <c r="ASU7" s="59"/>
      <c r="ASV7" s="59"/>
      <c r="ASW7" s="59"/>
      <c r="ASX7" s="59"/>
      <c r="ASY7" s="59"/>
      <c r="ASZ7" s="59"/>
      <c r="ATA7" s="59"/>
      <c r="ATB7" s="59"/>
      <c r="ATC7" s="59"/>
      <c r="ATD7" s="59"/>
      <c r="ATE7" s="59"/>
      <c r="ATF7" s="59"/>
      <c r="ATG7" s="59"/>
      <c r="ATH7" s="59"/>
      <c r="ATI7" s="59"/>
      <c r="ATJ7" s="59"/>
      <c r="ATK7" s="59"/>
      <c r="ATL7" s="59"/>
      <c r="ATM7" s="59"/>
      <c r="ATN7" s="59"/>
      <c r="ATO7" s="59"/>
      <c r="ATP7" s="59"/>
      <c r="ATQ7" s="59"/>
      <c r="ATR7" s="59"/>
      <c r="ATS7" s="59"/>
      <c r="ATT7" s="59"/>
      <c r="ATU7" s="59"/>
      <c r="ATV7" s="59"/>
      <c r="ATW7" s="59"/>
      <c r="ATX7" s="59"/>
      <c r="ATY7" s="59"/>
      <c r="ATZ7" s="59"/>
      <c r="AUA7" s="59"/>
      <c r="AUB7" s="59"/>
      <c r="AUC7" s="59"/>
      <c r="AUD7" s="59"/>
      <c r="AUE7" s="59"/>
      <c r="AUF7" s="59"/>
      <c r="AUG7" s="59"/>
      <c r="AUH7" s="59"/>
      <c r="AUI7" s="59"/>
      <c r="AUJ7" s="59"/>
      <c r="AUK7" s="59"/>
      <c r="AUL7" s="59"/>
      <c r="AUM7" s="59"/>
      <c r="AUN7" s="59"/>
      <c r="AUO7" s="59"/>
      <c r="AUP7" s="59"/>
      <c r="AUQ7" s="59"/>
      <c r="AUR7" s="59"/>
      <c r="AUS7" s="59"/>
      <c r="AUT7" s="59"/>
      <c r="AUU7" s="59"/>
      <c r="AUV7" s="59"/>
      <c r="AUW7" s="59"/>
      <c r="AUX7" s="59"/>
      <c r="AUY7" s="59"/>
      <c r="AUZ7" s="59"/>
      <c r="AVA7" s="59"/>
      <c r="AVB7" s="59"/>
      <c r="AVC7" s="59"/>
      <c r="AVD7" s="59"/>
      <c r="AVE7" s="59"/>
      <c r="AVF7" s="59"/>
      <c r="AVG7" s="59"/>
      <c r="AVH7" s="59"/>
      <c r="AVI7" s="59"/>
      <c r="AVJ7" s="59"/>
      <c r="AVK7" s="59"/>
      <c r="AVL7" s="59"/>
      <c r="AVM7" s="59"/>
      <c r="AVN7" s="59"/>
      <c r="AVO7" s="59"/>
      <c r="AVP7" s="59"/>
      <c r="AVQ7" s="59"/>
      <c r="AVR7" s="59"/>
      <c r="AVS7" s="59"/>
      <c r="AVT7" s="59"/>
      <c r="AVU7" s="59"/>
      <c r="AVV7" s="59"/>
      <c r="AVW7" s="59"/>
      <c r="AVX7" s="59"/>
      <c r="AVY7" s="59"/>
      <c r="AVZ7" s="59"/>
      <c r="AWA7" s="59"/>
      <c r="AWB7" s="59"/>
      <c r="AWC7" s="59"/>
      <c r="AWD7" s="59"/>
      <c r="AWE7" s="59"/>
      <c r="AWF7" s="59"/>
      <c r="AWG7" s="59"/>
      <c r="AWH7" s="59"/>
      <c r="AWI7" s="59"/>
      <c r="AWJ7" s="59"/>
      <c r="AWK7" s="59"/>
      <c r="AWL7" s="59"/>
      <c r="AWM7" s="59"/>
      <c r="AWN7" s="59"/>
      <c r="AWO7" s="59"/>
      <c r="AWP7" s="59"/>
      <c r="AWQ7" s="59"/>
      <c r="AWR7" s="59"/>
      <c r="AWS7" s="59"/>
      <c r="AWT7" s="59"/>
      <c r="AWU7" s="59"/>
      <c r="AWV7" s="59"/>
      <c r="AWW7" s="59"/>
      <c r="AWX7" s="59"/>
      <c r="AWY7" s="59"/>
      <c r="AWZ7" s="59"/>
      <c r="AXA7" s="59"/>
      <c r="AXB7" s="59"/>
      <c r="AXC7" s="59"/>
      <c r="AXD7" s="59"/>
      <c r="AXE7" s="59"/>
      <c r="AXF7" s="59"/>
      <c r="AXG7" s="59"/>
      <c r="AXH7" s="59"/>
      <c r="AXI7" s="59"/>
      <c r="AXJ7" s="59"/>
      <c r="AXK7" s="59"/>
      <c r="AXL7" s="59"/>
      <c r="AXM7" s="59"/>
      <c r="AXN7" s="59"/>
      <c r="AXO7" s="59"/>
      <c r="AXP7" s="59"/>
      <c r="AXQ7" s="59"/>
      <c r="AXR7" s="59"/>
      <c r="AXS7" s="59"/>
      <c r="AXT7" s="59"/>
      <c r="AXU7" s="59"/>
      <c r="AXV7" s="59"/>
      <c r="AXW7" s="59"/>
      <c r="AXX7" s="59"/>
      <c r="AXY7" s="59"/>
      <c r="AXZ7" s="59"/>
      <c r="AYA7" s="59"/>
      <c r="AYB7" s="59"/>
      <c r="AYC7" s="59"/>
      <c r="AYD7" s="59"/>
      <c r="AYE7" s="59"/>
      <c r="AYF7" s="59"/>
      <c r="AYG7" s="59"/>
      <c r="AYH7" s="59"/>
      <c r="AYI7" s="59"/>
      <c r="AYJ7" s="59"/>
      <c r="AYK7" s="59"/>
      <c r="AYL7" s="59"/>
      <c r="AYM7" s="59"/>
      <c r="AYN7" s="59"/>
      <c r="AYO7" s="59"/>
      <c r="AYP7" s="59"/>
      <c r="AYQ7" s="59"/>
      <c r="AYR7" s="59"/>
      <c r="AYS7" s="59"/>
      <c r="AYT7" s="59"/>
      <c r="AYU7" s="59"/>
      <c r="AYV7" s="59"/>
      <c r="AYW7" s="59"/>
      <c r="AYX7" s="59"/>
      <c r="AYY7" s="59"/>
      <c r="AYZ7" s="59"/>
      <c r="AZA7" s="59"/>
      <c r="AZB7" s="59"/>
      <c r="AZC7" s="59"/>
      <c r="AZD7" s="59"/>
      <c r="AZE7" s="59"/>
      <c r="AZF7" s="59"/>
      <c r="AZG7" s="59"/>
      <c r="AZH7" s="59"/>
      <c r="AZI7" s="59"/>
      <c r="AZJ7" s="59"/>
      <c r="AZK7" s="59"/>
      <c r="AZL7" s="59"/>
      <c r="AZM7" s="59"/>
      <c r="AZN7" s="59"/>
      <c r="AZO7" s="59"/>
      <c r="AZP7" s="59"/>
      <c r="AZQ7" s="59"/>
      <c r="AZR7" s="59"/>
      <c r="AZS7" s="59"/>
      <c r="AZT7" s="59"/>
      <c r="AZU7" s="59"/>
      <c r="AZV7" s="59"/>
      <c r="AZW7" s="59"/>
      <c r="AZX7" s="59"/>
      <c r="AZY7" s="59"/>
      <c r="AZZ7" s="59"/>
      <c r="BAA7" s="59"/>
      <c r="BAB7" s="59"/>
      <c r="BAC7" s="59"/>
      <c r="BAD7" s="59"/>
      <c r="BAE7" s="59"/>
      <c r="BAF7" s="59"/>
      <c r="BAG7" s="59"/>
      <c r="BAH7" s="59"/>
      <c r="BAI7" s="59"/>
      <c r="BAJ7" s="59"/>
      <c r="BAK7" s="59"/>
      <c r="BAL7" s="59"/>
      <c r="BAM7" s="59"/>
      <c r="BAN7" s="59"/>
      <c r="BAO7" s="59"/>
      <c r="BAP7" s="59"/>
      <c r="BAQ7" s="59"/>
      <c r="BAR7" s="59"/>
      <c r="BAS7" s="59"/>
      <c r="BAT7" s="59"/>
      <c r="BAU7" s="59"/>
      <c r="BAV7" s="59"/>
      <c r="BAW7" s="59"/>
      <c r="BAX7" s="59"/>
      <c r="BAY7" s="59"/>
      <c r="BAZ7" s="59"/>
      <c r="BBA7" s="59"/>
      <c r="BBB7" s="59"/>
      <c r="BBC7" s="59"/>
      <c r="BBD7" s="59"/>
      <c r="BBE7" s="59"/>
      <c r="BBF7" s="59"/>
      <c r="BBG7" s="59"/>
      <c r="BBH7" s="59"/>
      <c r="BBI7" s="59"/>
      <c r="BBJ7" s="59"/>
      <c r="BBK7" s="59"/>
      <c r="BBL7" s="59"/>
      <c r="BBM7" s="59"/>
      <c r="BBN7" s="59"/>
      <c r="BBO7" s="59"/>
      <c r="BBP7" s="59"/>
      <c r="BBQ7" s="59"/>
      <c r="BBR7" s="59"/>
      <c r="BBS7" s="59"/>
      <c r="BBT7" s="59"/>
      <c r="BBU7" s="59"/>
      <c r="BBV7" s="59"/>
      <c r="BBW7" s="59"/>
      <c r="BBX7" s="59"/>
      <c r="BBY7" s="59"/>
      <c r="BBZ7" s="59"/>
      <c r="BCA7" s="59"/>
      <c r="BCB7" s="59"/>
      <c r="BCC7" s="59"/>
      <c r="BCD7" s="59"/>
      <c r="BCE7" s="59"/>
      <c r="BCF7" s="59"/>
      <c r="BCG7" s="59"/>
      <c r="BCH7" s="59"/>
      <c r="BCI7" s="59"/>
      <c r="BCJ7" s="59"/>
      <c r="BCK7" s="59"/>
      <c r="BCL7" s="59"/>
      <c r="BCM7" s="59"/>
      <c r="BCN7" s="59"/>
      <c r="BCO7" s="59"/>
      <c r="BCP7" s="59"/>
      <c r="BCQ7" s="59"/>
      <c r="BCR7" s="59"/>
      <c r="BCS7" s="59"/>
      <c r="BCT7" s="59"/>
      <c r="BCU7" s="59"/>
      <c r="BCV7" s="59"/>
      <c r="BCW7" s="59"/>
      <c r="BCX7" s="59"/>
      <c r="BCY7" s="59"/>
      <c r="BCZ7" s="59"/>
      <c r="BDA7" s="59"/>
      <c r="BDB7" s="59"/>
      <c r="BDC7" s="59"/>
      <c r="BDD7" s="59"/>
      <c r="BDE7" s="59"/>
      <c r="BDF7" s="59"/>
      <c r="BDG7" s="59"/>
      <c r="BDH7" s="59"/>
      <c r="BDI7" s="59"/>
      <c r="BDJ7" s="59"/>
      <c r="BDK7" s="59"/>
      <c r="BDL7" s="59"/>
      <c r="BDM7" s="59"/>
      <c r="BDN7" s="59"/>
      <c r="BDO7" s="59"/>
      <c r="BDP7" s="59"/>
      <c r="BDQ7" s="59"/>
      <c r="BDR7" s="59"/>
      <c r="BDS7" s="59"/>
      <c r="BDT7" s="59"/>
      <c r="BDU7" s="59"/>
      <c r="BDV7" s="59"/>
      <c r="BDW7" s="59"/>
      <c r="BDX7" s="59"/>
      <c r="BDY7" s="59"/>
      <c r="BDZ7" s="59"/>
      <c r="BEA7" s="59"/>
      <c r="BEB7" s="59"/>
      <c r="BEC7" s="59"/>
      <c r="BED7" s="59"/>
      <c r="BEE7" s="59"/>
      <c r="BEF7" s="59"/>
      <c r="BEG7" s="59"/>
      <c r="BEH7" s="59"/>
      <c r="BEI7" s="59"/>
      <c r="BEJ7" s="59"/>
      <c r="BEK7" s="59"/>
      <c r="BEL7" s="59"/>
      <c r="BEM7" s="59"/>
      <c r="BEN7" s="59"/>
      <c r="BEO7" s="59"/>
      <c r="BEP7" s="59"/>
      <c r="BEQ7" s="59"/>
      <c r="BER7" s="59"/>
      <c r="BES7" s="59"/>
      <c r="BET7" s="59"/>
      <c r="BEU7" s="59"/>
      <c r="BEV7" s="59"/>
      <c r="BEW7" s="59"/>
      <c r="BEX7" s="59"/>
      <c r="BEY7" s="59"/>
      <c r="BEZ7" s="59"/>
      <c r="BFA7" s="59"/>
      <c r="BFB7" s="59"/>
      <c r="BFC7" s="59"/>
      <c r="BFD7" s="59"/>
      <c r="BFE7" s="59"/>
      <c r="BFF7" s="59"/>
      <c r="BFG7" s="59"/>
      <c r="BFH7" s="59"/>
      <c r="BFI7" s="59"/>
      <c r="BFJ7" s="59"/>
      <c r="BFK7" s="59"/>
      <c r="BFL7" s="59"/>
      <c r="BFM7" s="59"/>
      <c r="BFN7" s="59"/>
      <c r="BFO7" s="59"/>
      <c r="BFP7" s="59"/>
      <c r="BFQ7" s="59"/>
      <c r="BFR7" s="59"/>
      <c r="BFS7" s="59"/>
      <c r="BFT7" s="59"/>
      <c r="BFU7" s="59"/>
      <c r="BFV7" s="59"/>
      <c r="BFW7" s="59"/>
      <c r="BFX7" s="59"/>
      <c r="BFY7" s="59"/>
      <c r="BFZ7" s="59"/>
      <c r="BGA7" s="59"/>
      <c r="BGB7" s="59"/>
      <c r="BGC7" s="59"/>
      <c r="BGD7" s="59"/>
      <c r="BGE7" s="59"/>
      <c r="BGF7" s="59"/>
      <c r="BGG7" s="59"/>
      <c r="BGH7" s="59"/>
      <c r="BGI7" s="59"/>
      <c r="BGJ7" s="59"/>
      <c r="BGK7" s="59"/>
      <c r="BGL7" s="59"/>
      <c r="BGM7" s="59"/>
      <c r="BGN7" s="59"/>
      <c r="BGO7" s="59"/>
      <c r="BGP7" s="59"/>
      <c r="BGQ7" s="59"/>
      <c r="BGR7" s="59"/>
      <c r="BGS7" s="59"/>
      <c r="BGT7" s="59"/>
      <c r="BGU7" s="59"/>
      <c r="BGV7" s="59"/>
      <c r="BGW7" s="59"/>
      <c r="BGX7" s="59"/>
      <c r="BGY7" s="59"/>
      <c r="BGZ7" s="59"/>
      <c r="BHA7" s="59"/>
      <c r="BHB7" s="59"/>
      <c r="BHC7" s="59"/>
      <c r="BHD7" s="59"/>
      <c r="BHE7" s="59"/>
      <c r="BHF7" s="59"/>
      <c r="BHG7" s="59"/>
      <c r="BHH7" s="59"/>
      <c r="BHI7" s="59"/>
      <c r="BHJ7" s="59"/>
      <c r="BHK7" s="59"/>
      <c r="BHL7" s="59"/>
      <c r="BHM7" s="59"/>
      <c r="BHN7" s="59"/>
      <c r="BHO7" s="59"/>
      <c r="BHP7" s="59"/>
      <c r="BHQ7" s="59"/>
      <c r="BHR7" s="59"/>
      <c r="BHS7" s="59"/>
      <c r="BHT7" s="59"/>
      <c r="BHU7" s="59"/>
      <c r="BHV7" s="59"/>
      <c r="BHW7" s="59"/>
      <c r="BHX7" s="59"/>
      <c r="BHY7" s="59"/>
      <c r="BHZ7" s="59"/>
      <c r="BIA7" s="59"/>
      <c r="BIB7" s="59"/>
      <c r="BIC7" s="59"/>
      <c r="BID7" s="59"/>
      <c r="BIE7" s="59"/>
      <c r="BIF7" s="59"/>
      <c r="BIG7" s="59"/>
      <c r="BIH7" s="59"/>
      <c r="BII7" s="59"/>
      <c r="BIJ7" s="59"/>
      <c r="BIK7" s="59"/>
      <c r="BIL7" s="59"/>
      <c r="BIM7" s="59"/>
      <c r="BIN7" s="59"/>
      <c r="BIO7" s="59"/>
      <c r="BIP7" s="59"/>
      <c r="BIQ7" s="59"/>
      <c r="BIR7" s="59"/>
      <c r="BIS7" s="59"/>
      <c r="BIT7" s="59"/>
      <c r="BIU7" s="59"/>
      <c r="BIV7" s="59"/>
      <c r="BIW7" s="59"/>
      <c r="BIX7" s="59"/>
      <c r="BIY7" s="59"/>
      <c r="BIZ7" s="59"/>
      <c r="BJA7" s="59"/>
      <c r="BJB7" s="59"/>
      <c r="BJC7" s="59"/>
      <c r="BJD7" s="59"/>
      <c r="BJE7" s="59"/>
      <c r="BJF7" s="59"/>
      <c r="BJG7" s="59"/>
      <c r="BJH7" s="59"/>
      <c r="BJI7" s="59"/>
      <c r="BJJ7" s="59"/>
      <c r="BJK7" s="59"/>
      <c r="BJL7" s="59"/>
      <c r="BJM7" s="59"/>
      <c r="BJN7" s="59"/>
      <c r="BJO7" s="59"/>
      <c r="BJP7" s="59"/>
      <c r="BJQ7" s="59"/>
      <c r="BJR7" s="59"/>
      <c r="BJS7" s="59"/>
      <c r="BJT7" s="59"/>
      <c r="BJU7" s="59"/>
      <c r="BJV7" s="59"/>
      <c r="BJW7" s="59"/>
      <c r="BJX7" s="59"/>
      <c r="BJY7" s="59"/>
      <c r="BJZ7" s="59"/>
      <c r="BKA7" s="59"/>
      <c r="BKB7" s="59"/>
      <c r="BKC7" s="59"/>
      <c r="BKD7" s="59"/>
      <c r="BKE7" s="59"/>
      <c r="BKF7" s="59"/>
      <c r="BKG7" s="59"/>
      <c r="BKH7" s="59"/>
      <c r="BKI7" s="59"/>
      <c r="BKJ7" s="59"/>
      <c r="BKK7" s="59"/>
      <c r="BKL7" s="59"/>
      <c r="BKM7" s="59"/>
      <c r="BKN7" s="59"/>
      <c r="BKO7" s="59"/>
      <c r="BKP7" s="59"/>
      <c r="BKQ7" s="59"/>
      <c r="BKR7" s="59"/>
      <c r="BKS7" s="59"/>
      <c r="BKT7" s="59"/>
      <c r="BKU7" s="59"/>
      <c r="BKV7" s="59"/>
      <c r="BKW7" s="59"/>
      <c r="BKX7" s="59"/>
      <c r="BKY7" s="59"/>
      <c r="BKZ7" s="59"/>
      <c r="BLA7" s="59"/>
      <c r="BLB7" s="59"/>
      <c r="BLC7" s="59"/>
      <c r="BLD7" s="59"/>
      <c r="BLE7" s="59"/>
      <c r="BLF7" s="59"/>
      <c r="BLG7" s="59"/>
      <c r="BLH7" s="59"/>
      <c r="BLI7" s="59"/>
      <c r="BLJ7" s="59"/>
      <c r="BLK7" s="59"/>
      <c r="BLL7" s="59"/>
      <c r="BLM7" s="59"/>
      <c r="BLN7" s="59"/>
      <c r="BLO7" s="59"/>
      <c r="BLP7" s="59"/>
      <c r="BLQ7" s="59"/>
      <c r="BLR7" s="59"/>
      <c r="BLS7" s="59"/>
      <c r="BLT7" s="59"/>
      <c r="BLU7" s="59"/>
      <c r="BLV7" s="59"/>
      <c r="BLW7" s="59"/>
      <c r="BLX7" s="59"/>
      <c r="BLY7" s="59"/>
      <c r="BLZ7" s="59"/>
      <c r="BMA7" s="59"/>
      <c r="BMB7" s="59"/>
      <c r="BMC7" s="59"/>
      <c r="BMD7" s="59"/>
      <c r="BME7" s="59"/>
      <c r="BMF7" s="59"/>
      <c r="BMG7" s="59"/>
      <c r="BMH7" s="59"/>
      <c r="BMI7" s="59"/>
      <c r="BMJ7" s="59"/>
      <c r="BMK7" s="59"/>
      <c r="BML7" s="59"/>
      <c r="BMM7" s="59"/>
      <c r="BMN7" s="59"/>
      <c r="BMO7" s="59"/>
      <c r="BMP7" s="59"/>
      <c r="BMQ7" s="59"/>
      <c r="BMR7" s="59"/>
      <c r="BMS7" s="59"/>
      <c r="BMT7" s="59"/>
      <c r="BMU7" s="59"/>
      <c r="BMV7" s="59"/>
      <c r="BMW7" s="59"/>
      <c r="BMX7" s="59"/>
      <c r="BMY7" s="59"/>
      <c r="BMZ7" s="59"/>
      <c r="BNA7" s="59"/>
      <c r="BNB7" s="59"/>
      <c r="BNC7" s="59"/>
      <c r="BND7" s="59"/>
      <c r="BNE7" s="59"/>
      <c r="BNF7" s="59"/>
      <c r="BNG7" s="59"/>
      <c r="BNH7" s="59"/>
      <c r="BNI7" s="59"/>
      <c r="BNJ7" s="59"/>
      <c r="BNK7" s="59"/>
      <c r="BNL7" s="59"/>
      <c r="BNM7" s="59"/>
      <c r="BNN7" s="59"/>
      <c r="BNO7" s="59"/>
      <c r="BNP7" s="59"/>
      <c r="BNQ7" s="59"/>
      <c r="BNR7" s="59"/>
      <c r="BNS7" s="59"/>
      <c r="BNT7" s="59"/>
      <c r="BNU7" s="59"/>
      <c r="BNV7" s="59"/>
      <c r="BNW7" s="59"/>
      <c r="BNX7" s="59"/>
      <c r="BNY7" s="59"/>
      <c r="BNZ7" s="59"/>
      <c r="BOA7" s="59"/>
      <c r="BOB7" s="59"/>
      <c r="BOC7" s="59"/>
      <c r="BOD7" s="59"/>
      <c r="BOE7" s="59"/>
      <c r="BOF7" s="59"/>
      <c r="BOG7" s="59"/>
      <c r="BOH7" s="59"/>
      <c r="BOI7" s="59"/>
      <c r="BOJ7" s="59"/>
      <c r="BOK7" s="59"/>
      <c r="BOL7" s="59"/>
      <c r="BOM7" s="59"/>
      <c r="BON7" s="59"/>
      <c r="BOO7" s="59"/>
      <c r="BOP7" s="59"/>
      <c r="BOQ7" s="59"/>
      <c r="BOR7" s="59"/>
      <c r="BOS7" s="59"/>
      <c r="BOT7" s="59"/>
      <c r="BOU7" s="59"/>
      <c r="BOV7" s="59"/>
      <c r="BOW7" s="59"/>
      <c r="BOX7" s="59"/>
      <c r="BOY7" s="59"/>
      <c r="BOZ7" s="59"/>
      <c r="BPA7" s="59"/>
      <c r="BPB7" s="59"/>
      <c r="BPC7" s="59"/>
      <c r="BPD7" s="59"/>
      <c r="BPE7" s="59"/>
      <c r="BPF7" s="59"/>
      <c r="BPG7" s="59"/>
      <c r="BPH7" s="59"/>
      <c r="BPI7" s="59"/>
      <c r="BPJ7" s="59"/>
      <c r="BPK7" s="59"/>
      <c r="BPL7" s="59"/>
      <c r="BPM7" s="59"/>
      <c r="BPN7" s="59"/>
      <c r="BPO7" s="59"/>
      <c r="BPP7" s="59"/>
      <c r="BPQ7" s="59"/>
      <c r="BPR7" s="59"/>
      <c r="BPS7" s="59"/>
      <c r="BPT7" s="59"/>
      <c r="BPU7" s="59"/>
      <c r="BPV7" s="59"/>
      <c r="BPW7" s="59"/>
      <c r="BPX7" s="59"/>
      <c r="BPY7" s="59"/>
      <c r="BPZ7" s="59"/>
      <c r="BQA7" s="59"/>
      <c r="BQB7" s="59"/>
      <c r="BQC7" s="59"/>
      <c r="BQD7" s="59"/>
      <c r="BQE7" s="59"/>
      <c r="BQF7" s="59"/>
      <c r="BQG7" s="59"/>
      <c r="BQH7" s="59"/>
      <c r="BQI7" s="59"/>
      <c r="BQJ7" s="59"/>
      <c r="BQK7" s="59"/>
      <c r="BQL7" s="59"/>
      <c r="BQM7" s="59"/>
      <c r="BQN7" s="59"/>
      <c r="BQO7" s="59"/>
      <c r="BQP7" s="59"/>
      <c r="BQQ7" s="59"/>
      <c r="BQR7" s="59"/>
      <c r="BQS7" s="59"/>
      <c r="BQT7" s="59"/>
      <c r="BQU7" s="59"/>
      <c r="BQV7" s="59"/>
      <c r="BQW7" s="59"/>
      <c r="BQX7" s="59"/>
      <c r="BQY7" s="59"/>
      <c r="BQZ7" s="59"/>
      <c r="BRA7" s="59"/>
      <c r="BRB7" s="59"/>
      <c r="BRC7" s="59"/>
      <c r="BRD7" s="59"/>
      <c r="BRE7" s="59"/>
      <c r="BRF7" s="59"/>
      <c r="BRG7" s="59"/>
      <c r="BRH7" s="59"/>
      <c r="BRI7" s="59"/>
      <c r="BRJ7" s="59"/>
      <c r="BRK7" s="59"/>
      <c r="BRL7" s="59"/>
      <c r="BRM7" s="59"/>
      <c r="BRN7" s="59"/>
      <c r="BRO7" s="59"/>
      <c r="BRP7" s="59"/>
      <c r="BRQ7" s="59"/>
      <c r="BRR7" s="59"/>
      <c r="BRS7" s="59"/>
      <c r="BRT7" s="59"/>
      <c r="BRU7" s="59"/>
      <c r="BRV7" s="59"/>
      <c r="BRW7" s="59"/>
      <c r="BRX7" s="59"/>
      <c r="BRY7" s="59"/>
      <c r="BRZ7" s="59"/>
      <c r="BSA7" s="59"/>
      <c r="BSB7" s="59"/>
      <c r="BSC7" s="59"/>
      <c r="BSD7" s="59"/>
      <c r="BSE7" s="59"/>
      <c r="BSF7" s="59"/>
      <c r="BSG7" s="59"/>
      <c r="BSH7" s="59"/>
      <c r="BSI7" s="59"/>
      <c r="BSJ7" s="59"/>
      <c r="BSK7" s="59"/>
      <c r="BSL7" s="59"/>
      <c r="BSM7" s="59"/>
      <c r="BSN7" s="59"/>
      <c r="BSO7" s="59"/>
      <c r="BSP7" s="59"/>
      <c r="BSQ7" s="59"/>
      <c r="BSR7" s="59"/>
      <c r="BSS7" s="59"/>
      <c r="BST7" s="59"/>
      <c r="BSU7" s="59"/>
      <c r="BSV7" s="59"/>
      <c r="BSW7" s="59"/>
      <c r="BSX7" s="59"/>
      <c r="BSY7" s="59"/>
      <c r="BSZ7" s="59"/>
      <c r="BTA7" s="59"/>
      <c r="BTB7" s="59"/>
      <c r="BTC7" s="59"/>
      <c r="BTD7" s="59"/>
      <c r="BTE7" s="59"/>
      <c r="BTF7" s="59"/>
      <c r="BTG7" s="59"/>
      <c r="BTH7" s="59"/>
      <c r="BTI7" s="59"/>
      <c r="BTJ7" s="59"/>
      <c r="BTK7" s="59"/>
      <c r="BTL7" s="59"/>
      <c r="BTM7" s="59"/>
      <c r="BTN7" s="59"/>
      <c r="BTO7" s="59"/>
      <c r="BTP7" s="59"/>
      <c r="BTQ7" s="59"/>
      <c r="BTR7" s="59"/>
      <c r="BTS7" s="59"/>
      <c r="BTT7" s="59"/>
      <c r="BTU7" s="59"/>
      <c r="BTV7" s="59"/>
      <c r="BTW7" s="59"/>
      <c r="BTX7" s="59"/>
      <c r="BTY7" s="59"/>
      <c r="BTZ7" s="59"/>
      <c r="BUA7" s="59"/>
      <c r="BUB7" s="59"/>
      <c r="BUC7" s="59"/>
      <c r="BUD7" s="59"/>
      <c r="BUE7" s="59"/>
      <c r="BUF7" s="59"/>
      <c r="BUG7" s="59"/>
      <c r="BUH7" s="59"/>
      <c r="BUI7" s="59"/>
      <c r="BUJ7" s="59"/>
      <c r="BUK7" s="59"/>
      <c r="BUL7" s="59"/>
      <c r="BUM7" s="59"/>
      <c r="BUN7" s="59"/>
      <c r="BUO7" s="59"/>
      <c r="BUP7" s="59"/>
      <c r="BUQ7" s="59"/>
      <c r="BUR7" s="59"/>
      <c r="BUS7" s="59"/>
      <c r="BUT7" s="59"/>
      <c r="BUU7" s="59"/>
      <c r="BUV7" s="59"/>
      <c r="BUW7" s="59"/>
      <c r="BUX7" s="59"/>
      <c r="BUY7" s="59"/>
      <c r="BUZ7" s="59"/>
      <c r="BVA7" s="59"/>
      <c r="BVB7" s="59"/>
      <c r="BVC7" s="59"/>
      <c r="BVD7" s="59"/>
      <c r="BVE7" s="59"/>
      <c r="BVF7" s="59"/>
      <c r="BVG7" s="59"/>
      <c r="BVH7" s="59"/>
      <c r="BVI7" s="59"/>
      <c r="BVJ7" s="59"/>
      <c r="BVK7" s="59"/>
      <c r="BVL7" s="59"/>
      <c r="BVM7" s="59"/>
      <c r="BVN7" s="59"/>
      <c r="BVO7" s="59"/>
      <c r="BVP7" s="59"/>
      <c r="BVQ7" s="59"/>
      <c r="BVR7" s="59"/>
      <c r="BVS7" s="59"/>
      <c r="BVT7" s="59"/>
      <c r="BVU7" s="59"/>
      <c r="BVV7" s="59"/>
      <c r="BVW7" s="59"/>
      <c r="BVX7" s="59"/>
      <c r="BVY7" s="59"/>
      <c r="BVZ7" s="59"/>
      <c r="BWA7" s="59"/>
      <c r="BWB7" s="59"/>
      <c r="BWC7" s="59"/>
      <c r="BWD7" s="59"/>
      <c r="BWE7" s="59"/>
      <c r="BWF7" s="59"/>
      <c r="BWG7" s="59"/>
      <c r="BWH7" s="59"/>
      <c r="BWI7" s="59"/>
      <c r="BWJ7" s="59"/>
      <c r="BWK7" s="59"/>
      <c r="BWL7" s="59"/>
      <c r="BWM7" s="59"/>
      <c r="BWN7" s="59"/>
      <c r="BWO7" s="59"/>
      <c r="BWP7" s="59"/>
      <c r="BWQ7" s="59"/>
      <c r="BWR7" s="59"/>
      <c r="BWS7" s="59"/>
      <c r="BWT7" s="59"/>
      <c r="BWU7" s="59"/>
      <c r="BWV7" s="59"/>
      <c r="BWW7" s="59"/>
      <c r="BWX7" s="59"/>
      <c r="BWY7" s="59"/>
      <c r="BWZ7" s="59"/>
      <c r="BXA7" s="59"/>
      <c r="BXB7" s="59"/>
      <c r="BXC7" s="59"/>
      <c r="BXD7" s="59"/>
      <c r="BXE7" s="59"/>
      <c r="BXF7" s="59"/>
      <c r="BXG7" s="59"/>
      <c r="BXH7" s="59"/>
      <c r="BXI7" s="59"/>
      <c r="BXJ7" s="59"/>
      <c r="BXK7" s="59"/>
      <c r="BXL7" s="59"/>
      <c r="BXM7" s="59"/>
      <c r="BXN7" s="59"/>
      <c r="BXO7" s="59"/>
      <c r="BXP7" s="59"/>
      <c r="BXQ7" s="59"/>
      <c r="BXR7" s="59"/>
      <c r="BXS7" s="59"/>
      <c r="BXT7" s="59"/>
      <c r="BXU7" s="59"/>
      <c r="BXV7" s="59"/>
      <c r="BXW7" s="59"/>
      <c r="BXX7" s="59"/>
      <c r="BXY7" s="59"/>
      <c r="BXZ7" s="59"/>
      <c r="BYA7" s="59"/>
      <c r="BYB7" s="59"/>
      <c r="BYC7" s="59"/>
      <c r="BYD7" s="59"/>
      <c r="BYE7" s="59"/>
      <c r="BYF7" s="59"/>
      <c r="BYG7" s="59"/>
      <c r="BYH7" s="59"/>
      <c r="BYI7" s="59"/>
      <c r="BYJ7" s="59"/>
      <c r="BYK7" s="59"/>
      <c r="BYL7" s="59"/>
      <c r="BYM7" s="59"/>
      <c r="BYN7" s="59"/>
      <c r="BYO7" s="59"/>
      <c r="BYP7" s="59"/>
      <c r="BYQ7" s="59"/>
      <c r="BYR7" s="59"/>
      <c r="BYS7" s="59"/>
      <c r="BYT7" s="59"/>
      <c r="BYU7" s="59"/>
      <c r="BYV7" s="59"/>
      <c r="BYW7" s="59"/>
      <c r="BYX7" s="59"/>
      <c r="BYY7" s="59"/>
      <c r="BYZ7" s="59"/>
      <c r="BZA7" s="59"/>
      <c r="BZB7" s="59"/>
      <c r="BZC7" s="59"/>
      <c r="BZD7" s="59"/>
      <c r="BZE7" s="59"/>
      <c r="BZF7" s="59"/>
      <c r="BZG7" s="59"/>
      <c r="BZH7" s="59"/>
      <c r="BZI7" s="59"/>
      <c r="BZJ7" s="59"/>
      <c r="BZK7" s="59"/>
      <c r="BZL7" s="59"/>
      <c r="BZM7" s="59"/>
      <c r="BZN7" s="59"/>
      <c r="BZO7" s="59"/>
      <c r="BZP7" s="59"/>
      <c r="BZQ7" s="59"/>
      <c r="BZR7" s="59"/>
      <c r="BZS7" s="59"/>
      <c r="BZT7" s="59"/>
      <c r="BZU7" s="59"/>
      <c r="BZV7" s="59"/>
      <c r="BZW7" s="59"/>
      <c r="BZX7" s="59"/>
      <c r="BZY7" s="59"/>
      <c r="BZZ7" s="59"/>
      <c r="CAA7" s="59"/>
      <c r="CAB7" s="59"/>
      <c r="CAC7" s="59"/>
      <c r="CAD7" s="59"/>
      <c r="CAE7" s="59"/>
      <c r="CAF7" s="59"/>
      <c r="CAG7" s="59"/>
      <c r="CAH7" s="59"/>
      <c r="CAI7" s="59"/>
      <c r="CAJ7" s="59"/>
      <c r="CAK7" s="59"/>
      <c r="CAL7" s="59"/>
      <c r="CAM7" s="59"/>
      <c r="CAN7" s="59"/>
      <c r="CAO7" s="59"/>
      <c r="CAP7" s="59"/>
      <c r="CAQ7" s="59"/>
      <c r="CAR7" s="59"/>
      <c r="CAS7" s="59"/>
      <c r="CAT7" s="59"/>
      <c r="CAU7" s="59"/>
      <c r="CAV7" s="59"/>
      <c r="CAW7" s="59"/>
      <c r="CAX7" s="59"/>
      <c r="CAY7" s="59"/>
      <c r="CAZ7" s="59"/>
      <c r="CBA7" s="59"/>
      <c r="CBB7" s="59"/>
      <c r="CBC7" s="59"/>
      <c r="CBD7" s="59"/>
      <c r="CBE7" s="59"/>
      <c r="CBF7" s="59"/>
      <c r="CBG7" s="59"/>
      <c r="CBH7" s="59"/>
      <c r="CBI7" s="59"/>
      <c r="CBJ7" s="59"/>
      <c r="CBK7" s="59"/>
      <c r="CBL7" s="59"/>
      <c r="CBM7" s="59"/>
      <c r="CBN7" s="59"/>
      <c r="CBO7" s="59"/>
      <c r="CBP7" s="59"/>
      <c r="CBQ7" s="59"/>
      <c r="CBR7" s="59"/>
      <c r="CBS7" s="59"/>
      <c r="CBT7" s="59"/>
      <c r="CBU7" s="59"/>
      <c r="CBV7" s="59"/>
      <c r="CBW7" s="59"/>
      <c r="CBX7" s="59"/>
      <c r="CBY7" s="59"/>
      <c r="CBZ7" s="59"/>
      <c r="CCA7" s="59"/>
      <c r="CCB7" s="59"/>
      <c r="CCC7" s="59"/>
      <c r="CCD7" s="59"/>
      <c r="CCE7" s="59"/>
      <c r="CCF7" s="59"/>
      <c r="CCG7" s="59"/>
      <c r="CCH7" s="59"/>
      <c r="CCI7" s="59"/>
      <c r="CCJ7" s="59"/>
      <c r="CCK7" s="59"/>
      <c r="CCL7" s="59"/>
      <c r="CCM7" s="59"/>
      <c r="CCN7" s="59"/>
      <c r="CCO7" s="59"/>
      <c r="CCP7" s="59"/>
      <c r="CCQ7" s="59"/>
      <c r="CCR7" s="59"/>
      <c r="CCS7" s="59"/>
      <c r="CCT7" s="59"/>
      <c r="CCU7" s="59"/>
      <c r="CCV7" s="59"/>
      <c r="CCW7" s="59"/>
      <c r="CCX7" s="59"/>
      <c r="CCY7" s="59"/>
      <c r="CCZ7" s="59"/>
      <c r="CDA7" s="59"/>
      <c r="CDB7" s="59"/>
      <c r="CDC7" s="59"/>
      <c r="CDD7" s="59"/>
      <c r="CDE7" s="59"/>
      <c r="CDF7" s="59"/>
      <c r="CDG7" s="59"/>
      <c r="CDH7" s="59"/>
      <c r="CDI7" s="59"/>
      <c r="CDJ7" s="59"/>
      <c r="CDK7" s="59"/>
      <c r="CDL7" s="59"/>
      <c r="CDM7" s="59"/>
      <c r="CDN7" s="59"/>
      <c r="CDO7" s="59"/>
      <c r="CDP7" s="59"/>
      <c r="CDQ7" s="59"/>
      <c r="CDR7" s="59"/>
      <c r="CDS7" s="59"/>
      <c r="CDT7" s="59"/>
      <c r="CDU7" s="59"/>
      <c r="CDV7" s="59"/>
      <c r="CDW7" s="59"/>
      <c r="CDX7" s="59"/>
      <c r="CDY7" s="59"/>
      <c r="CDZ7" s="59"/>
      <c r="CEA7" s="59"/>
      <c r="CEB7" s="59"/>
      <c r="CEC7" s="59"/>
      <c r="CED7" s="59"/>
      <c r="CEE7" s="59"/>
      <c r="CEF7" s="59"/>
      <c r="CEG7" s="59"/>
      <c r="CEH7" s="59"/>
      <c r="CEI7" s="59"/>
      <c r="CEJ7" s="59"/>
      <c r="CEK7" s="59"/>
      <c r="CEL7" s="59"/>
      <c r="CEM7" s="59"/>
      <c r="CEN7" s="59"/>
      <c r="CEO7" s="59"/>
      <c r="CEP7" s="59"/>
      <c r="CEQ7" s="59"/>
      <c r="CER7" s="59"/>
      <c r="CES7" s="59"/>
      <c r="CET7" s="59"/>
      <c r="CEU7" s="59"/>
      <c r="CEV7" s="59"/>
      <c r="CEW7" s="59"/>
      <c r="CEX7" s="59"/>
      <c r="CEY7" s="59"/>
      <c r="CEZ7" s="59"/>
      <c r="CFA7" s="59"/>
      <c r="CFB7" s="59"/>
      <c r="CFC7" s="59"/>
      <c r="CFD7" s="59"/>
      <c r="CFE7" s="59"/>
      <c r="CFF7" s="59"/>
      <c r="CFG7" s="59"/>
      <c r="CFH7" s="59"/>
      <c r="CFI7" s="59"/>
      <c r="CFJ7" s="59"/>
      <c r="CFK7" s="59"/>
      <c r="CFL7" s="59"/>
      <c r="CFM7" s="59"/>
      <c r="CFN7" s="59"/>
      <c r="CFO7" s="59"/>
      <c r="CFP7" s="59"/>
      <c r="CFQ7" s="59"/>
      <c r="CFR7" s="59"/>
      <c r="CFS7" s="59"/>
      <c r="CFT7" s="59"/>
      <c r="CFU7" s="59"/>
      <c r="CFV7" s="59"/>
      <c r="CFW7" s="59"/>
      <c r="CFX7" s="59"/>
      <c r="CFY7" s="59"/>
      <c r="CFZ7" s="59"/>
      <c r="CGA7" s="59"/>
      <c r="CGB7" s="59"/>
      <c r="CGC7" s="59"/>
      <c r="CGD7" s="59"/>
      <c r="CGE7" s="59"/>
      <c r="CGF7" s="59"/>
      <c r="CGG7" s="59"/>
      <c r="CGH7" s="59"/>
      <c r="CGI7" s="59"/>
      <c r="CGJ7" s="59"/>
      <c r="CGK7" s="59"/>
      <c r="CGL7" s="59"/>
      <c r="CGM7" s="59"/>
      <c r="CGN7" s="59"/>
      <c r="CGO7" s="59"/>
      <c r="CGP7" s="59"/>
      <c r="CGQ7" s="59"/>
      <c r="CGR7" s="59"/>
      <c r="CGS7" s="59"/>
      <c r="CGT7" s="59"/>
      <c r="CGU7" s="59"/>
      <c r="CGV7" s="59"/>
      <c r="CGW7" s="59"/>
      <c r="CGX7" s="59"/>
      <c r="CGY7" s="59"/>
      <c r="CGZ7" s="59"/>
      <c r="CHA7" s="59"/>
      <c r="CHB7" s="59"/>
      <c r="CHC7" s="59"/>
      <c r="CHD7" s="59"/>
      <c r="CHE7" s="59"/>
      <c r="CHF7" s="59"/>
      <c r="CHG7" s="59"/>
      <c r="CHH7" s="59"/>
      <c r="CHI7" s="59"/>
      <c r="CHJ7" s="59"/>
      <c r="CHK7" s="59"/>
      <c r="CHL7" s="59"/>
      <c r="CHM7" s="59"/>
      <c r="CHN7" s="59"/>
      <c r="CHO7" s="59"/>
      <c r="CHP7" s="59"/>
      <c r="CHQ7" s="59"/>
      <c r="CHR7" s="59"/>
      <c r="CHS7" s="59"/>
      <c r="CHT7" s="59"/>
      <c r="CHU7" s="59"/>
      <c r="CHV7" s="59"/>
      <c r="CHW7" s="59"/>
      <c r="CHX7" s="59"/>
      <c r="CHY7" s="59"/>
      <c r="CHZ7" s="59"/>
      <c r="CIA7" s="59"/>
      <c r="CIB7" s="59"/>
      <c r="CIC7" s="59"/>
      <c r="CID7" s="59"/>
      <c r="CIE7" s="59"/>
      <c r="CIF7" s="59"/>
      <c r="CIG7" s="59"/>
      <c r="CIH7" s="59"/>
      <c r="CII7" s="59"/>
      <c r="CIJ7" s="59"/>
      <c r="CIK7" s="59"/>
      <c r="CIL7" s="59"/>
      <c r="CIM7" s="59"/>
      <c r="CIN7" s="59"/>
      <c r="CIO7" s="59"/>
      <c r="CIP7" s="59"/>
      <c r="CIQ7" s="59"/>
      <c r="CIR7" s="59"/>
      <c r="CIS7" s="59"/>
      <c r="CIT7" s="59"/>
      <c r="CIU7" s="59"/>
      <c r="CIV7" s="59"/>
      <c r="CIW7" s="59"/>
      <c r="CIX7" s="59"/>
      <c r="CIY7" s="59"/>
      <c r="CIZ7" s="59"/>
      <c r="CJA7" s="59"/>
      <c r="CJB7" s="59"/>
      <c r="CJC7" s="59"/>
      <c r="CJD7" s="59"/>
      <c r="CJE7" s="59"/>
      <c r="CJF7" s="59"/>
      <c r="CJG7" s="59"/>
      <c r="CJH7" s="59"/>
      <c r="CJI7" s="59"/>
      <c r="CJJ7" s="59"/>
      <c r="CJK7" s="59"/>
      <c r="CJL7" s="59"/>
      <c r="CJM7" s="59"/>
      <c r="CJN7" s="59"/>
      <c r="CJO7" s="59"/>
      <c r="CJP7" s="59"/>
      <c r="CJQ7" s="59"/>
      <c r="CJR7" s="59"/>
      <c r="CJS7" s="59"/>
      <c r="CJT7" s="59"/>
      <c r="CJU7" s="59"/>
      <c r="CJV7" s="59"/>
      <c r="CJW7" s="59"/>
      <c r="CJX7" s="59"/>
      <c r="CJY7" s="59"/>
      <c r="CJZ7" s="59"/>
      <c r="CKA7" s="59"/>
      <c r="CKB7" s="59"/>
      <c r="CKC7" s="59"/>
      <c r="CKD7" s="59"/>
      <c r="CKE7" s="59"/>
      <c r="CKF7" s="59"/>
      <c r="CKG7" s="59"/>
      <c r="CKH7" s="59"/>
      <c r="CKI7" s="59"/>
      <c r="CKJ7" s="59"/>
      <c r="CKK7" s="59"/>
      <c r="CKL7" s="59"/>
      <c r="CKM7" s="59"/>
      <c r="CKN7" s="59"/>
      <c r="CKO7" s="59"/>
      <c r="CKP7" s="59"/>
      <c r="CKQ7" s="59"/>
      <c r="CKR7" s="59"/>
      <c r="CKS7" s="59"/>
      <c r="CKT7" s="59"/>
      <c r="CKU7" s="59"/>
      <c r="CKV7" s="59"/>
      <c r="CKW7" s="59"/>
      <c r="CKX7" s="59"/>
      <c r="CKY7" s="59"/>
      <c r="CKZ7" s="59"/>
      <c r="CLA7" s="59"/>
      <c r="CLB7" s="59"/>
      <c r="CLC7" s="59"/>
      <c r="CLD7" s="59"/>
      <c r="CLE7" s="59"/>
      <c r="CLF7" s="59"/>
      <c r="CLG7" s="59"/>
      <c r="CLH7" s="59"/>
      <c r="CLI7" s="59"/>
      <c r="CLJ7" s="59"/>
      <c r="CLK7" s="59"/>
      <c r="CLL7" s="59"/>
      <c r="CLM7" s="59"/>
      <c r="CLN7" s="59"/>
      <c r="CLO7" s="59"/>
      <c r="CLP7" s="59"/>
      <c r="CLQ7" s="59"/>
      <c r="CLR7" s="59"/>
      <c r="CLS7" s="59"/>
      <c r="CLT7" s="59"/>
      <c r="CLU7" s="59"/>
      <c r="CLV7" s="59"/>
      <c r="CLW7" s="59"/>
      <c r="CLX7" s="59"/>
      <c r="CLY7" s="59"/>
      <c r="CLZ7" s="59"/>
      <c r="CMA7" s="59"/>
      <c r="CMB7" s="59"/>
      <c r="CMC7" s="59"/>
      <c r="CMD7" s="59"/>
      <c r="CME7" s="59"/>
      <c r="CMF7" s="59"/>
      <c r="CMG7" s="59"/>
      <c r="CMH7" s="59"/>
      <c r="CMI7" s="59"/>
      <c r="CMJ7" s="59"/>
      <c r="CMK7" s="59"/>
      <c r="CML7" s="59"/>
      <c r="CMM7" s="59"/>
      <c r="CMN7" s="59"/>
      <c r="CMO7" s="59"/>
      <c r="CMP7" s="59"/>
      <c r="CMQ7" s="59"/>
      <c r="CMR7" s="59"/>
      <c r="CMS7" s="59"/>
      <c r="CMT7" s="59"/>
      <c r="CMU7" s="59"/>
      <c r="CMV7" s="59"/>
      <c r="CMW7" s="59"/>
      <c r="CMX7" s="59"/>
      <c r="CMY7" s="59"/>
      <c r="CMZ7" s="59"/>
      <c r="CNA7" s="59"/>
      <c r="CNB7" s="59"/>
      <c r="CNC7" s="59"/>
      <c r="CND7" s="59"/>
      <c r="CNE7" s="59"/>
      <c r="CNF7" s="59"/>
      <c r="CNG7" s="59"/>
      <c r="CNH7" s="59"/>
      <c r="CNI7" s="59"/>
      <c r="CNJ7" s="59"/>
      <c r="CNK7" s="59"/>
      <c r="CNL7" s="59"/>
      <c r="CNM7" s="59"/>
      <c r="CNN7" s="59"/>
      <c r="CNO7" s="59"/>
      <c r="CNP7" s="59"/>
      <c r="CNQ7" s="59"/>
      <c r="CNR7" s="59"/>
      <c r="CNS7" s="59"/>
      <c r="CNT7" s="59"/>
      <c r="CNU7" s="59"/>
      <c r="CNV7" s="59"/>
      <c r="CNW7" s="59"/>
      <c r="CNX7" s="59"/>
      <c r="CNY7" s="59"/>
      <c r="CNZ7" s="59"/>
      <c r="COA7" s="59"/>
      <c r="COB7" s="59"/>
      <c r="COC7" s="59"/>
      <c r="COD7" s="59"/>
      <c r="COE7" s="59"/>
      <c r="COF7" s="59"/>
      <c r="COG7" s="59"/>
      <c r="COH7" s="59"/>
      <c r="COI7" s="59"/>
      <c r="COJ7" s="59"/>
      <c r="COK7" s="59"/>
      <c r="COL7" s="59"/>
      <c r="COM7" s="59"/>
      <c r="CON7" s="59"/>
      <c r="COO7" s="59"/>
      <c r="COP7" s="59"/>
      <c r="COQ7" s="59"/>
      <c r="COR7" s="59"/>
      <c r="COS7" s="59"/>
      <c r="COT7" s="59"/>
      <c r="COU7" s="59"/>
      <c r="COV7" s="59"/>
      <c r="COW7" s="59"/>
      <c r="COX7" s="59"/>
      <c r="COY7" s="59"/>
      <c r="COZ7" s="59"/>
      <c r="CPA7" s="59"/>
      <c r="CPB7" s="59"/>
      <c r="CPC7" s="59"/>
      <c r="CPD7" s="59"/>
      <c r="CPE7" s="59"/>
      <c r="CPF7" s="59"/>
      <c r="CPG7" s="59"/>
      <c r="CPH7" s="59"/>
      <c r="CPI7" s="59"/>
      <c r="CPJ7" s="59"/>
      <c r="CPK7" s="59"/>
      <c r="CPL7" s="59"/>
      <c r="CPM7" s="59"/>
      <c r="CPN7" s="59"/>
      <c r="CPO7" s="59"/>
      <c r="CPP7" s="59"/>
      <c r="CPQ7" s="59"/>
      <c r="CPR7" s="59"/>
      <c r="CPS7" s="59"/>
      <c r="CPT7" s="59"/>
      <c r="CPU7" s="59"/>
      <c r="CPV7" s="59"/>
      <c r="CPW7" s="59"/>
      <c r="CPX7" s="59"/>
      <c r="CPY7" s="59"/>
      <c r="CPZ7" s="59"/>
      <c r="CQA7" s="59"/>
      <c r="CQB7" s="59"/>
      <c r="CQC7" s="59"/>
      <c r="CQD7" s="59"/>
      <c r="CQE7" s="59"/>
      <c r="CQF7" s="59"/>
      <c r="CQG7" s="59"/>
      <c r="CQH7" s="59"/>
      <c r="CQI7" s="59"/>
      <c r="CQJ7" s="59"/>
      <c r="CQK7" s="59"/>
      <c r="CQL7" s="59"/>
      <c r="CQM7" s="59"/>
      <c r="CQN7" s="59"/>
      <c r="CQO7" s="59"/>
      <c r="CQP7" s="59"/>
      <c r="CQQ7" s="59"/>
      <c r="CQR7" s="59"/>
      <c r="CQS7" s="59"/>
      <c r="CQT7" s="59"/>
      <c r="CQU7" s="59"/>
      <c r="CQV7" s="59"/>
      <c r="CQW7" s="59"/>
      <c r="CQX7" s="59"/>
      <c r="CQY7" s="59"/>
      <c r="CQZ7" s="59"/>
      <c r="CRA7" s="59"/>
      <c r="CRB7" s="59"/>
      <c r="CRC7" s="59"/>
      <c r="CRD7" s="59"/>
      <c r="CRE7" s="59"/>
      <c r="CRF7" s="59"/>
      <c r="CRG7" s="59"/>
      <c r="CRH7" s="59"/>
      <c r="CRI7" s="59"/>
      <c r="CRJ7" s="59"/>
      <c r="CRK7" s="59"/>
      <c r="CRL7" s="59"/>
      <c r="CRM7" s="59"/>
      <c r="CRN7" s="59"/>
      <c r="CRO7" s="59"/>
      <c r="CRP7" s="59"/>
      <c r="CRQ7" s="59"/>
      <c r="CRR7" s="59"/>
      <c r="CRS7" s="59"/>
      <c r="CRT7" s="59"/>
      <c r="CRU7" s="59"/>
      <c r="CRV7" s="59"/>
      <c r="CRW7" s="59"/>
      <c r="CRX7" s="59"/>
      <c r="CRY7" s="59"/>
      <c r="CRZ7" s="59"/>
      <c r="CSA7" s="59"/>
      <c r="CSB7" s="59"/>
      <c r="CSC7" s="59"/>
      <c r="CSD7" s="59"/>
      <c r="CSE7" s="59"/>
      <c r="CSF7" s="59"/>
      <c r="CSG7" s="59"/>
      <c r="CSH7" s="59"/>
      <c r="CSI7" s="59"/>
      <c r="CSJ7" s="59"/>
      <c r="CSK7" s="59"/>
      <c r="CSL7" s="59"/>
      <c r="CSM7" s="59"/>
      <c r="CSN7" s="59"/>
      <c r="CSO7" s="59"/>
      <c r="CSP7" s="59"/>
      <c r="CSQ7" s="59"/>
      <c r="CSR7" s="59"/>
      <c r="CSS7" s="59"/>
      <c r="CST7" s="59"/>
      <c r="CSU7" s="59"/>
      <c r="CSV7" s="59"/>
      <c r="CSW7" s="59"/>
      <c r="CSX7" s="59"/>
      <c r="CSY7" s="59"/>
      <c r="CSZ7" s="59"/>
      <c r="CTA7" s="59"/>
      <c r="CTB7" s="59"/>
      <c r="CTC7" s="59"/>
      <c r="CTD7" s="59"/>
      <c r="CTE7" s="59"/>
      <c r="CTF7" s="59"/>
      <c r="CTG7" s="59"/>
      <c r="CTH7" s="59"/>
      <c r="CTI7" s="59"/>
      <c r="CTJ7" s="59"/>
      <c r="CTK7" s="59"/>
      <c r="CTL7" s="59"/>
      <c r="CTM7" s="59"/>
      <c r="CTN7" s="59"/>
      <c r="CTO7" s="59"/>
      <c r="CTP7" s="59"/>
      <c r="CTQ7" s="59"/>
      <c r="CTR7" s="59"/>
      <c r="CTS7" s="59"/>
      <c r="CTT7" s="59"/>
      <c r="CTU7" s="59"/>
      <c r="CTV7" s="59"/>
      <c r="CTW7" s="59"/>
      <c r="CTX7" s="59"/>
      <c r="CTY7" s="59"/>
      <c r="CTZ7" s="59"/>
      <c r="CUA7" s="59"/>
      <c r="CUB7" s="59"/>
      <c r="CUC7" s="59"/>
      <c r="CUD7" s="59"/>
      <c r="CUE7" s="59"/>
      <c r="CUF7" s="59"/>
      <c r="CUG7" s="59"/>
      <c r="CUH7" s="59"/>
      <c r="CUI7" s="59"/>
      <c r="CUJ7" s="59"/>
      <c r="CUK7" s="59"/>
      <c r="CUL7" s="59"/>
      <c r="CUM7" s="59"/>
      <c r="CUN7" s="59"/>
      <c r="CUO7" s="59"/>
      <c r="CUP7" s="59"/>
      <c r="CUQ7" s="59"/>
      <c r="CUR7" s="59"/>
      <c r="CUS7" s="59"/>
      <c r="CUT7" s="59"/>
      <c r="CUU7" s="59"/>
      <c r="CUV7" s="59"/>
      <c r="CUW7" s="59"/>
      <c r="CUX7" s="59"/>
      <c r="CUY7" s="59"/>
      <c r="CUZ7" s="59"/>
      <c r="CVA7" s="59"/>
      <c r="CVB7" s="59"/>
      <c r="CVC7" s="59"/>
      <c r="CVD7" s="59"/>
      <c r="CVE7" s="59"/>
      <c r="CVF7" s="59"/>
      <c r="CVG7" s="59"/>
      <c r="CVH7" s="59"/>
      <c r="CVI7" s="59"/>
      <c r="CVJ7" s="59"/>
      <c r="CVK7" s="59"/>
      <c r="CVL7" s="59"/>
      <c r="CVM7" s="59"/>
      <c r="CVN7" s="59"/>
      <c r="CVO7" s="59"/>
      <c r="CVP7" s="59"/>
      <c r="CVQ7" s="59"/>
      <c r="CVR7" s="59"/>
      <c r="CVS7" s="59"/>
      <c r="CVT7" s="59"/>
      <c r="CVU7" s="59"/>
      <c r="CVV7" s="59"/>
      <c r="CVW7" s="59"/>
      <c r="CVX7" s="59"/>
      <c r="CVY7" s="59"/>
      <c r="CVZ7" s="59"/>
      <c r="CWA7" s="59"/>
      <c r="CWB7" s="59"/>
      <c r="CWC7" s="59"/>
      <c r="CWD7" s="59"/>
      <c r="CWE7" s="59"/>
      <c r="CWF7" s="59"/>
      <c r="CWG7" s="59"/>
      <c r="CWH7" s="59"/>
      <c r="CWI7" s="59"/>
      <c r="CWJ7" s="59"/>
      <c r="CWK7" s="59"/>
      <c r="CWL7" s="59"/>
      <c r="CWM7" s="59"/>
      <c r="CWN7" s="59"/>
      <c r="CWO7" s="59"/>
      <c r="CWP7" s="59"/>
      <c r="CWQ7" s="59"/>
      <c r="CWR7" s="59"/>
      <c r="CWS7" s="59"/>
      <c r="CWT7" s="59"/>
      <c r="CWU7" s="59"/>
      <c r="CWV7" s="59"/>
      <c r="CWW7" s="59"/>
      <c r="CWX7" s="59"/>
      <c r="CWY7" s="59"/>
      <c r="CWZ7" s="59"/>
      <c r="CXA7" s="59"/>
      <c r="CXB7" s="59"/>
      <c r="CXC7" s="59"/>
      <c r="CXD7" s="59"/>
      <c r="CXE7" s="59"/>
      <c r="CXF7" s="59"/>
      <c r="CXG7" s="59"/>
      <c r="CXH7" s="59"/>
      <c r="CXI7" s="59"/>
      <c r="CXJ7" s="59"/>
      <c r="CXK7" s="59"/>
      <c r="CXL7" s="59"/>
      <c r="CXM7" s="59"/>
      <c r="CXN7" s="59"/>
      <c r="CXO7" s="59"/>
      <c r="CXP7" s="59"/>
      <c r="CXQ7" s="59"/>
      <c r="CXR7" s="59"/>
      <c r="CXS7" s="59"/>
      <c r="CXT7" s="59"/>
      <c r="CXU7" s="59"/>
      <c r="CXV7" s="59"/>
      <c r="CXW7" s="59"/>
      <c r="CXX7" s="59"/>
      <c r="CXY7" s="59"/>
      <c r="CXZ7" s="59"/>
      <c r="CYA7" s="59"/>
      <c r="CYB7" s="59"/>
      <c r="CYC7" s="59"/>
      <c r="CYD7" s="59"/>
      <c r="CYE7" s="59"/>
      <c r="CYF7" s="59"/>
      <c r="CYG7" s="59"/>
      <c r="CYH7" s="59"/>
      <c r="CYI7" s="59"/>
      <c r="CYJ7" s="59"/>
      <c r="CYK7" s="59"/>
      <c r="CYL7" s="59"/>
      <c r="CYM7" s="59"/>
      <c r="CYN7" s="59"/>
      <c r="CYO7" s="59"/>
      <c r="CYP7" s="59"/>
      <c r="CYQ7" s="59"/>
      <c r="CYR7" s="59"/>
      <c r="CYS7" s="59"/>
      <c r="CYT7" s="59"/>
      <c r="CYU7" s="59"/>
      <c r="CYV7" s="59"/>
      <c r="CYW7" s="59"/>
      <c r="CYX7" s="59"/>
      <c r="CYY7" s="59"/>
      <c r="CYZ7" s="59"/>
      <c r="CZA7" s="59"/>
      <c r="CZB7" s="59"/>
      <c r="CZC7" s="59"/>
      <c r="CZD7" s="59"/>
      <c r="CZE7" s="59"/>
      <c r="CZF7" s="59"/>
      <c r="CZG7" s="59"/>
      <c r="CZH7" s="59"/>
      <c r="CZI7" s="59"/>
      <c r="CZJ7" s="59"/>
      <c r="CZK7" s="59"/>
      <c r="CZL7" s="59"/>
      <c r="CZM7" s="59"/>
      <c r="CZN7" s="59"/>
      <c r="CZO7" s="59"/>
      <c r="CZP7" s="59"/>
      <c r="CZQ7" s="59"/>
      <c r="CZR7" s="59"/>
      <c r="CZS7" s="59"/>
      <c r="CZT7" s="59"/>
      <c r="CZU7" s="59"/>
      <c r="CZV7" s="59"/>
      <c r="CZW7" s="59"/>
      <c r="CZX7" s="59"/>
      <c r="CZY7" s="59"/>
      <c r="CZZ7" s="59"/>
      <c r="DAA7" s="59"/>
      <c r="DAB7" s="59"/>
      <c r="DAC7" s="59"/>
      <c r="DAD7" s="59"/>
      <c r="DAE7" s="59"/>
      <c r="DAF7" s="59"/>
      <c r="DAG7" s="59"/>
      <c r="DAH7" s="59"/>
      <c r="DAI7" s="59"/>
      <c r="DAJ7" s="59"/>
      <c r="DAK7" s="59"/>
      <c r="DAL7" s="59"/>
      <c r="DAM7" s="59"/>
      <c r="DAN7" s="59"/>
      <c r="DAO7" s="59"/>
      <c r="DAP7" s="59"/>
      <c r="DAQ7" s="59"/>
      <c r="DAR7" s="59"/>
      <c r="DAS7" s="59"/>
      <c r="DAT7" s="59"/>
      <c r="DAU7" s="59"/>
      <c r="DAV7" s="59"/>
      <c r="DAW7" s="59"/>
      <c r="DAX7" s="59"/>
      <c r="DAY7" s="59"/>
      <c r="DAZ7" s="59"/>
      <c r="DBA7" s="59"/>
      <c r="DBB7" s="59"/>
      <c r="DBC7" s="59"/>
      <c r="DBD7" s="59"/>
      <c r="DBE7" s="59"/>
      <c r="DBF7" s="59"/>
      <c r="DBG7" s="59"/>
      <c r="DBH7" s="59"/>
      <c r="DBI7" s="59"/>
      <c r="DBJ7" s="59"/>
      <c r="DBK7" s="59"/>
      <c r="DBL7" s="59"/>
      <c r="DBM7" s="59"/>
      <c r="DBN7" s="59"/>
      <c r="DBO7" s="59"/>
      <c r="DBP7" s="59"/>
      <c r="DBQ7" s="59"/>
      <c r="DBR7" s="59"/>
      <c r="DBS7" s="59"/>
      <c r="DBT7" s="59"/>
      <c r="DBU7" s="59"/>
      <c r="DBV7" s="59"/>
      <c r="DBW7" s="59"/>
      <c r="DBX7" s="59"/>
      <c r="DBY7" s="59"/>
      <c r="DBZ7" s="59"/>
      <c r="DCA7" s="59"/>
      <c r="DCB7" s="59"/>
      <c r="DCC7" s="59"/>
      <c r="DCD7" s="59"/>
      <c r="DCE7" s="59"/>
      <c r="DCF7" s="59"/>
      <c r="DCG7" s="59"/>
      <c r="DCH7" s="59"/>
      <c r="DCI7" s="59"/>
      <c r="DCJ7" s="59"/>
      <c r="DCK7" s="59"/>
      <c r="DCL7" s="59"/>
      <c r="DCM7" s="59"/>
      <c r="DCN7" s="59"/>
      <c r="DCO7" s="59"/>
      <c r="DCP7" s="59"/>
      <c r="DCQ7" s="59"/>
      <c r="DCR7" s="59"/>
      <c r="DCS7" s="59"/>
      <c r="DCT7" s="59"/>
      <c r="DCU7" s="59"/>
      <c r="DCV7" s="59"/>
      <c r="DCW7" s="59"/>
      <c r="DCX7" s="59"/>
      <c r="DCY7" s="59"/>
      <c r="DCZ7" s="59"/>
      <c r="DDA7" s="59"/>
      <c r="DDB7" s="59"/>
      <c r="DDC7" s="59"/>
      <c r="DDD7" s="59"/>
      <c r="DDE7" s="59"/>
      <c r="DDF7" s="59"/>
      <c r="DDG7" s="59"/>
      <c r="DDH7" s="59"/>
      <c r="DDI7" s="59"/>
      <c r="DDJ7" s="59"/>
      <c r="DDK7" s="59"/>
      <c r="DDL7" s="59"/>
      <c r="DDM7" s="59"/>
      <c r="DDN7" s="59"/>
      <c r="DDO7" s="59"/>
      <c r="DDP7" s="59"/>
      <c r="DDQ7" s="59"/>
      <c r="DDR7" s="59"/>
      <c r="DDS7" s="59"/>
      <c r="DDT7" s="59"/>
      <c r="DDU7" s="59"/>
      <c r="DDV7" s="59"/>
      <c r="DDW7" s="59"/>
      <c r="DDX7" s="59"/>
      <c r="DDY7" s="59"/>
      <c r="DDZ7" s="59"/>
      <c r="DEA7" s="59"/>
      <c r="DEB7" s="59"/>
      <c r="DEC7" s="59"/>
      <c r="DED7" s="59"/>
      <c r="DEE7" s="59"/>
      <c r="DEF7" s="59"/>
      <c r="DEG7" s="59"/>
      <c r="DEH7" s="59"/>
      <c r="DEI7" s="59"/>
      <c r="DEJ7" s="59"/>
      <c r="DEK7" s="59"/>
      <c r="DEL7" s="59"/>
      <c r="DEM7" s="59"/>
      <c r="DEN7" s="59"/>
      <c r="DEO7" s="59"/>
      <c r="DEP7" s="59"/>
      <c r="DEQ7" s="59"/>
      <c r="DER7" s="59"/>
      <c r="DES7" s="59"/>
      <c r="DET7" s="59"/>
      <c r="DEU7" s="59"/>
      <c r="DEV7" s="59"/>
      <c r="DEW7" s="59"/>
      <c r="DEX7" s="59"/>
      <c r="DEY7" s="59"/>
      <c r="DEZ7" s="59"/>
      <c r="DFA7" s="59"/>
      <c r="DFB7" s="59"/>
      <c r="DFC7" s="59"/>
      <c r="DFD7" s="59"/>
      <c r="DFE7" s="59"/>
      <c r="DFF7" s="59"/>
      <c r="DFG7" s="59"/>
      <c r="DFH7" s="59"/>
      <c r="DFI7" s="59"/>
      <c r="DFJ7" s="59"/>
      <c r="DFK7" s="59"/>
      <c r="DFL7" s="59"/>
      <c r="DFM7" s="59"/>
      <c r="DFN7" s="59"/>
      <c r="DFO7" s="59"/>
      <c r="DFP7" s="59"/>
      <c r="DFQ7" s="59"/>
      <c r="DFR7" s="59"/>
      <c r="DFS7" s="59"/>
      <c r="DFT7" s="59"/>
      <c r="DFU7" s="59"/>
      <c r="DFV7" s="59"/>
      <c r="DFW7" s="59"/>
      <c r="DFX7" s="59"/>
      <c r="DFY7" s="59"/>
      <c r="DFZ7" s="59"/>
      <c r="DGA7" s="59"/>
      <c r="DGB7" s="59"/>
      <c r="DGC7" s="59"/>
      <c r="DGD7" s="59"/>
      <c r="DGE7" s="59"/>
      <c r="DGF7" s="59"/>
      <c r="DGG7" s="59"/>
      <c r="DGH7" s="59"/>
      <c r="DGI7" s="59"/>
      <c r="DGJ7" s="59"/>
      <c r="DGK7" s="59"/>
      <c r="DGL7" s="59"/>
      <c r="DGM7" s="59"/>
      <c r="DGN7" s="59"/>
      <c r="DGO7" s="59"/>
      <c r="DGP7" s="59"/>
      <c r="DGQ7" s="59"/>
      <c r="DGR7" s="59"/>
      <c r="DGS7" s="59"/>
      <c r="DGT7" s="59"/>
      <c r="DGU7" s="59"/>
      <c r="DGV7" s="59"/>
      <c r="DGW7" s="59"/>
      <c r="DGX7" s="59"/>
      <c r="DGY7" s="59"/>
      <c r="DGZ7" s="59"/>
      <c r="DHA7" s="59"/>
      <c r="DHB7" s="59"/>
      <c r="DHC7" s="59"/>
      <c r="DHD7" s="59"/>
      <c r="DHE7" s="59"/>
      <c r="DHF7" s="59"/>
      <c r="DHG7" s="59"/>
      <c r="DHH7" s="59"/>
      <c r="DHI7" s="59"/>
      <c r="DHJ7" s="59"/>
      <c r="DHK7" s="59"/>
      <c r="DHL7" s="59"/>
      <c r="DHM7" s="59"/>
      <c r="DHN7" s="59"/>
      <c r="DHO7" s="59"/>
      <c r="DHP7" s="59"/>
      <c r="DHQ7" s="59"/>
      <c r="DHR7" s="59"/>
      <c r="DHS7" s="59"/>
      <c r="DHT7" s="59"/>
      <c r="DHU7" s="59"/>
      <c r="DHV7" s="59"/>
      <c r="DHW7" s="59"/>
      <c r="DHX7" s="59"/>
      <c r="DHY7" s="59"/>
      <c r="DHZ7" s="59"/>
      <c r="DIA7" s="59"/>
      <c r="DIB7" s="59"/>
      <c r="DIC7" s="59"/>
      <c r="DID7" s="59"/>
      <c r="DIE7" s="59"/>
      <c r="DIF7" s="59"/>
      <c r="DIG7" s="59"/>
      <c r="DIH7" s="59"/>
      <c r="DII7" s="59"/>
      <c r="DIJ7" s="59"/>
      <c r="DIK7" s="59"/>
      <c r="DIL7" s="59"/>
      <c r="DIM7" s="59"/>
      <c r="DIN7" s="59"/>
      <c r="DIO7" s="59"/>
      <c r="DIP7" s="59"/>
      <c r="DIQ7" s="59"/>
      <c r="DIR7" s="59"/>
      <c r="DIS7" s="59"/>
      <c r="DIT7" s="59"/>
      <c r="DIU7" s="59"/>
      <c r="DIV7" s="59"/>
      <c r="DIW7" s="59"/>
      <c r="DIX7" s="59"/>
      <c r="DIY7" s="59"/>
      <c r="DIZ7" s="59"/>
      <c r="DJA7" s="59"/>
      <c r="DJB7" s="59"/>
      <c r="DJC7" s="59"/>
      <c r="DJD7" s="59"/>
      <c r="DJE7" s="59"/>
      <c r="DJF7" s="59"/>
      <c r="DJG7" s="59"/>
      <c r="DJH7" s="59"/>
      <c r="DJI7" s="59"/>
      <c r="DJJ7" s="59"/>
      <c r="DJK7" s="59"/>
      <c r="DJL7" s="59"/>
      <c r="DJM7" s="59"/>
      <c r="DJN7" s="59"/>
      <c r="DJO7" s="59"/>
      <c r="DJP7" s="59"/>
      <c r="DJQ7" s="59"/>
      <c r="DJR7" s="59"/>
      <c r="DJS7" s="59"/>
      <c r="DJT7" s="59"/>
      <c r="DJU7" s="59"/>
      <c r="DJV7" s="59"/>
      <c r="DJW7" s="59"/>
      <c r="DJX7" s="59"/>
      <c r="DJY7" s="59"/>
      <c r="DJZ7" s="59"/>
      <c r="DKA7" s="59"/>
      <c r="DKB7" s="59"/>
      <c r="DKC7" s="59"/>
      <c r="DKD7" s="59"/>
      <c r="DKE7" s="59"/>
      <c r="DKF7" s="59"/>
      <c r="DKG7" s="59"/>
      <c r="DKH7" s="59"/>
      <c r="DKI7" s="59"/>
      <c r="DKJ7" s="59"/>
      <c r="DKK7" s="59"/>
      <c r="DKL7" s="59"/>
      <c r="DKM7" s="59"/>
      <c r="DKN7" s="59"/>
      <c r="DKO7" s="59"/>
      <c r="DKP7" s="59"/>
      <c r="DKQ7" s="59"/>
      <c r="DKR7" s="59"/>
      <c r="DKS7" s="59"/>
      <c r="DKT7" s="59"/>
      <c r="DKU7" s="59"/>
      <c r="DKV7" s="59"/>
      <c r="DKW7" s="59"/>
      <c r="DKX7" s="59"/>
      <c r="DKY7" s="59"/>
      <c r="DKZ7" s="59"/>
      <c r="DLA7" s="59"/>
      <c r="DLB7" s="59"/>
      <c r="DLC7" s="59"/>
      <c r="DLD7" s="59"/>
      <c r="DLE7" s="59"/>
      <c r="DLF7" s="59"/>
      <c r="DLG7" s="59"/>
      <c r="DLH7" s="59"/>
      <c r="DLI7" s="59"/>
      <c r="DLJ7" s="59"/>
      <c r="DLK7" s="59"/>
      <c r="DLL7" s="59"/>
      <c r="DLM7" s="59"/>
      <c r="DLN7" s="59"/>
      <c r="DLO7" s="59"/>
      <c r="DLP7" s="59"/>
      <c r="DLQ7" s="59"/>
      <c r="DLR7" s="59"/>
      <c r="DLS7" s="59"/>
      <c r="DLT7" s="59"/>
      <c r="DLU7" s="59"/>
      <c r="DLV7" s="59"/>
      <c r="DLW7" s="59"/>
      <c r="DLX7" s="59"/>
      <c r="DLY7" s="59"/>
      <c r="DLZ7" s="59"/>
      <c r="DMA7" s="59"/>
      <c r="DMB7" s="59"/>
      <c r="DMC7" s="59"/>
      <c r="DMD7" s="59"/>
      <c r="DME7" s="59"/>
      <c r="DMF7" s="59"/>
      <c r="DMG7" s="59"/>
      <c r="DMH7" s="59"/>
      <c r="DMI7" s="59"/>
      <c r="DMJ7" s="59"/>
      <c r="DMK7" s="59"/>
      <c r="DML7" s="59"/>
      <c r="DMM7" s="59"/>
      <c r="DMN7" s="59"/>
      <c r="DMO7" s="59"/>
      <c r="DMP7" s="59"/>
      <c r="DMQ7" s="59"/>
      <c r="DMR7" s="59"/>
      <c r="DMS7" s="59"/>
      <c r="DMT7" s="59"/>
      <c r="DMU7" s="59"/>
      <c r="DMV7" s="59"/>
      <c r="DMW7" s="59"/>
      <c r="DMX7" s="59"/>
      <c r="DMY7" s="59"/>
      <c r="DMZ7" s="59"/>
      <c r="DNA7" s="59"/>
      <c r="DNB7" s="59"/>
      <c r="DNC7" s="59"/>
      <c r="DND7" s="59"/>
      <c r="DNE7" s="59"/>
      <c r="DNF7" s="59"/>
      <c r="DNG7" s="59"/>
      <c r="DNH7" s="59"/>
      <c r="DNI7" s="59"/>
      <c r="DNJ7" s="59"/>
      <c r="DNK7" s="59"/>
      <c r="DNL7" s="59"/>
      <c r="DNM7" s="59"/>
      <c r="DNN7" s="59"/>
      <c r="DNO7" s="59"/>
      <c r="DNP7" s="59"/>
      <c r="DNQ7" s="59"/>
      <c r="DNR7" s="59"/>
      <c r="DNS7" s="59"/>
      <c r="DNT7" s="59"/>
      <c r="DNU7" s="59"/>
      <c r="DNV7" s="59"/>
      <c r="DNW7" s="59"/>
      <c r="DNX7" s="59"/>
      <c r="DNY7" s="59"/>
      <c r="DNZ7" s="59"/>
      <c r="DOA7" s="59"/>
      <c r="DOB7" s="59"/>
      <c r="DOC7" s="59"/>
      <c r="DOD7" s="59"/>
      <c r="DOE7" s="59"/>
      <c r="DOF7" s="59"/>
      <c r="DOG7" s="59"/>
      <c r="DOH7" s="59"/>
      <c r="DOI7" s="59"/>
      <c r="DOJ7" s="59"/>
      <c r="DOK7" s="59"/>
      <c r="DOL7" s="59"/>
      <c r="DOM7" s="59"/>
      <c r="DON7" s="59"/>
      <c r="DOO7" s="59"/>
      <c r="DOP7" s="59"/>
      <c r="DOQ7" s="59"/>
      <c r="DOR7" s="59"/>
      <c r="DOS7" s="59"/>
      <c r="DOT7" s="59"/>
      <c r="DOU7" s="59"/>
      <c r="DOV7" s="59"/>
      <c r="DOW7" s="59"/>
      <c r="DOX7" s="59"/>
      <c r="DOY7" s="59"/>
      <c r="DOZ7" s="59"/>
      <c r="DPA7" s="59"/>
      <c r="DPB7" s="59"/>
      <c r="DPC7" s="59"/>
      <c r="DPD7" s="59"/>
      <c r="DPE7" s="59"/>
      <c r="DPF7" s="59"/>
      <c r="DPG7" s="59"/>
      <c r="DPH7" s="59"/>
      <c r="DPI7" s="59"/>
      <c r="DPJ7" s="59"/>
      <c r="DPK7" s="59"/>
      <c r="DPL7" s="59"/>
      <c r="DPM7" s="59"/>
      <c r="DPN7" s="59"/>
      <c r="DPO7" s="59"/>
      <c r="DPP7" s="59"/>
      <c r="DPQ7" s="59"/>
      <c r="DPR7" s="59"/>
      <c r="DPS7" s="59"/>
      <c r="DPT7" s="59"/>
      <c r="DPU7" s="59"/>
      <c r="DPV7" s="59"/>
      <c r="DPW7" s="59"/>
      <c r="DPX7" s="59"/>
      <c r="DPY7" s="59"/>
      <c r="DPZ7" s="59"/>
      <c r="DQA7" s="59"/>
      <c r="DQB7" s="59"/>
      <c r="DQC7" s="59"/>
      <c r="DQD7" s="59"/>
      <c r="DQE7" s="59"/>
      <c r="DQF7" s="59"/>
      <c r="DQG7" s="59"/>
      <c r="DQH7" s="59"/>
      <c r="DQI7" s="59"/>
      <c r="DQJ7" s="59"/>
      <c r="DQK7" s="59"/>
      <c r="DQL7" s="59"/>
      <c r="DQM7" s="59"/>
      <c r="DQN7" s="59"/>
      <c r="DQO7" s="59"/>
      <c r="DQP7" s="59"/>
      <c r="DQQ7" s="59"/>
      <c r="DQR7" s="59"/>
      <c r="DQS7" s="59"/>
      <c r="DQT7" s="59"/>
      <c r="DQU7" s="59"/>
      <c r="DQV7" s="59"/>
      <c r="DQW7" s="59"/>
      <c r="DQX7" s="59"/>
      <c r="DQY7" s="59"/>
      <c r="DQZ7" s="59"/>
      <c r="DRA7" s="59"/>
      <c r="DRB7" s="59"/>
      <c r="DRC7" s="59"/>
      <c r="DRD7" s="59"/>
      <c r="DRE7" s="59"/>
      <c r="DRF7" s="59"/>
      <c r="DRG7" s="59"/>
      <c r="DRH7" s="59"/>
      <c r="DRI7" s="59"/>
      <c r="DRJ7" s="59"/>
      <c r="DRK7" s="59"/>
      <c r="DRL7" s="59"/>
      <c r="DRM7" s="59"/>
      <c r="DRN7" s="59"/>
      <c r="DRO7" s="59"/>
      <c r="DRP7" s="59"/>
      <c r="DRQ7" s="59"/>
      <c r="DRR7" s="59"/>
      <c r="DRS7" s="59"/>
      <c r="DRT7" s="59"/>
      <c r="DRU7" s="59"/>
      <c r="DRV7" s="59"/>
      <c r="DRW7" s="59"/>
      <c r="DRX7" s="59"/>
      <c r="DRY7" s="59"/>
      <c r="DRZ7" s="59"/>
      <c r="DSA7" s="59"/>
      <c r="DSB7" s="59"/>
      <c r="DSC7" s="59"/>
      <c r="DSD7" s="59"/>
      <c r="DSE7" s="59"/>
      <c r="DSF7" s="59"/>
      <c r="DSG7" s="59"/>
      <c r="DSH7" s="59"/>
      <c r="DSI7" s="59"/>
      <c r="DSJ7" s="59"/>
      <c r="DSK7" s="59"/>
      <c r="DSL7" s="59"/>
      <c r="DSM7" s="59"/>
      <c r="DSN7" s="59"/>
      <c r="DSO7" s="59"/>
      <c r="DSP7" s="59"/>
      <c r="DSQ7" s="59"/>
      <c r="DSR7" s="59"/>
      <c r="DSS7" s="59"/>
      <c r="DST7" s="59"/>
      <c r="DSU7" s="59"/>
      <c r="DSV7" s="59"/>
      <c r="DSW7" s="59"/>
      <c r="DSX7" s="59"/>
      <c r="DSY7" s="59"/>
      <c r="DSZ7" s="59"/>
      <c r="DTA7" s="59"/>
      <c r="DTB7" s="59"/>
      <c r="DTC7" s="59"/>
      <c r="DTD7" s="59"/>
      <c r="DTE7" s="59"/>
      <c r="DTF7" s="59"/>
      <c r="DTG7" s="59"/>
      <c r="DTH7" s="59"/>
      <c r="DTI7" s="59"/>
      <c r="DTJ7" s="59"/>
      <c r="DTK7" s="59"/>
      <c r="DTL7" s="59"/>
      <c r="DTM7" s="59"/>
      <c r="DTN7" s="59"/>
      <c r="DTO7" s="59"/>
      <c r="DTP7" s="59"/>
      <c r="DTQ7" s="59"/>
      <c r="DTR7" s="59"/>
      <c r="DTS7" s="59"/>
      <c r="DTT7" s="59"/>
      <c r="DTU7" s="59"/>
      <c r="DTV7" s="59"/>
      <c r="DTW7" s="59"/>
      <c r="DTX7" s="59"/>
      <c r="DTY7" s="59"/>
      <c r="DTZ7" s="59"/>
      <c r="DUA7" s="59"/>
      <c r="DUB7" s="59"/>
      <c r="DUC7" s="59"/>
      <c r="DUD7" s="59"/>
      <c r="DUE7" s="59"/>
      <c r="DUF7" s="59"/>
      <c r="DUG7" s="59"/>
      <c r="DUH7" s="59"/>
      <c r="DUI7" s="59"/>
      <c r="DUJ7" s="59"/>
      <c r="DUK7" s="59"/>
      <c r="DUL7" s="59"/>
      <c r="DUM7" s="59"/>
      <c r="DUN7" s="59"/>
      <c r="DUO7" s="59"/>
      <c r="DUP7" s="59"/>
      <c r="DUQ7" s="59"/>
      <c r="DUR7" s="59"/>
      <c r="DUS7" s="59"/>
      <c r="DUT7" s="59"/>
      <c r="DUU7" s="59"/>
      <c r="DUV7" s="59"/>
      <c r="DUW7" s="59"/>
      <c r="DUX7" s="59"/>
      <c r="DUY7" s="59"/>
      <c r="DUZ7" s="59"/>
      <c r="DVA7" s="59"/>
      <c r="DVB7" s="59"/>
      <c r="DVC7" s="59"/>
      <c r="DVD7" s="59"/>
      <c r="DVE7" s="59"/>
      <c r="DVF7" s="59"/>
      <c r="DVG7" s="59"/>
      <c r="DVH7" s="59"/>
      <c r="DVI7" s="59"/>
      <c r="DVJ7" s="59"/>
      <c r="DVK7" s="59"/>
      <c r="DVL7" s="59"/>
      <c r="DVM7" s="59"/>
      <c r="DVN7" s="59"/>
      <c r="DVO7" s="59"/>
      <c r="DVP7" s="59"/>
      <c r="DVQ7" s="59"/>
      <c r="DVR7" s="59"/>
      <c r="DVS7" s="59"/>
      <c r="DVT7" s="59"/>
      <c r="DVU7" s="59"/>
      <c r="DVV7" s="59"/>
      <c r="DVW7" s="59"/>
      <c r="DVX7" s="59"/>
      <c r="DVY7" s="59"/>
      <c r="DVZ7" s="59"/>
      <c r="DWA7" s="59"/>
      <c r="DWB7" s="59"/>
      <c r="DWC7" s="59"/>
      <c r="DWD7" s="59"/>
      <c r="DWE7" s="59"/>
      <c r="DWF7" s="59"/>
      <c r="DWG7" s="59"/>
      <c r="DWH7" s="59"/>
      <c r="DWI7" s="59"/>
      <c r="DWJ7" s="59"/>
      <c r="DWK7" s="59"/>
      <c r="DWL7" s="59"/>
      <c r="DWM7" s="59"/>
      <c r="DWN7" s="59"/>
      <c r="DWO7" s="59"/>
      <c r="DWP7" s="59"/>
      <c r="DWQ7" s="59"/>
      <c r="DWR7" s="59"/>
      <c r="DWS7" s="59"/>
      <c r="DWT7" s="59"/>
      <c r="DWU7" s="59"/>
      <c r="DWV7" s="59"/>
      <c r="DWW7" s="59"/>
      <c r="DWX7" s="59"/>
      <c r="DWY7" s="59"/>
      <c r="DWZ7" s="59"/>
      <c r="DXA7" s="59"/>
      <c r="DXB7" s="59"/>
      <c r="DXC7" s="59"/>
      <c r="DXD7" s="59"/>
      <c r="DXE7" s="59"/>
      <c r="DXF7" s="59"/>
      <c r="DXG7" s="59"/>
      <c r="DXH7" s="59"/>
      <c r="DXI7" s="59"/>
      <c r="DXJ7" s="59"/>
      <c r="DXK7" s="59"/>
      <c r="DXL7" s="59"/>
      <c r="DXM7" s="59"/>
      <c r="DXN7" s="59"/>
      <c r="DXO7" s="59"/>
      <c r="DXP7" s="59"/>
      <c r="DXQ7" s="59"/>
      <c r="DXR7" s="59"/>
      <c r="DXS7" s="59"/>
      <c r="DXT7" s="59"/>
      <c r="DXU7" s="59"/>
      <c r="DXV7" s="59"/>
      <c r="DXW7" s="59"/>
      <c r="DXX7" s="59"/>
      <c r="DXY7" s="59"/>
      <c r="DXZ7" s="59"/>
      <c r="DYA7" s="59"/>
      <c r="DYB7" s="59"/>
      <c r="DYC7" s="59"/>
      <c r="DYD7" s="59"/>
      <c r="DYE7" s="59"/>
      <c r="DYF7" s="59"/>
      <c r="DYG7" s="59"/>
      <c r="DYH7" s="59"/>
      <c r="DYI7" s="59"/>
      <c r="DYJ7" s="59"/>
      <c r="DYK7" s="59"/>
      <c r="DYL7" s="59"/>
      <c r="DYM7" s="59"/>
      <c r="DYN7" s="59"/>
      <c r="DYO7" s="59"/>
      <c r="DYP7" s="59"/>
      <c r="DYQ7" s="59"/>
      <c r="DYR7" s="59"/>
      <c r="DYS7" s="59"/>
      <c r="DYT7" s="59"/>
      <c r="DYU7" s="59"/>
      <c r="DYV7" s="59"/>
      <c r="DYW7" s="59"/>
      <c r="DYX7" s="59"/>
      <c r="DYY7" s="59"/>
      <c r="DYZ7" s="59"/>
      <c r="DZA7" s="59"/>
      <c r="DZB7" s="59"/>
      <c r="DZC7" s="59"/>
      <c r="DZD7" s="59"/>
      <c r="DZE7" s="59"/>
      <c r="DZF7" s="59"/>
      <c r="DZG7" s="59"/>
      <c r="DZH7" s="59"/>
      <c r="DZI7" s="59"/>
      <c r="DZJ7" s="59"/>
      <c r="DZK7" s="59"/>
      <c r="DZL7" s="59"/>
      <c r="DZM7" s="59"/>
      <c r="DZN7" s="59"/>
      <c r="DZO7" s="59"/>
      <c r="DZP7" s="59"/>
      <c r="DZQ7" s="59"/>
      <c r="DZR7" s="59"/>
      <c r="DZS7" s="59"/>
      <c r="DZT7" s="59"/>
      <c r="DZU7" s="59"/>
      <c r="DZV7" s="59"/>
      <c r="DZW7" s="59"/>
      <c r="DZX7" s="59"/>
      <c r="DZY7" s="59"/>
      <c r="DZZ7" s="59"/>
      <c r="EAA7" s="59"/>
      <c r="EAB7" s="59"/>
      <c r="EAC7" s="59"/>
      <c r="EAD7" s="59"/>
      <c r="EAE7" s="59"/>
      <c r="EAF7" s="59"/>
      <c r="EAG7" s="59"/>
      <c r="EAH7" s="59"/>
      <c r="EAI7" s="59"/>
      <c r="EAJ7" s="59"/>
      <c r="EAK7" s="59"/>
      <c r="EAL7" s="59"/>
      <c r="EAM7" s="59"/>
      <c r="EAN7" s="59"/>
      <c r="EAO7" s="59"/>
      <c r="EAP7" s="59"/>
      <c r="EAQ7" s="59"/>
      <c r="EAR7" s="59"/>
      <c r="EAS7" s="59"/>
      <c r="EAT7" s="59"/>
      <c r="EAU7" s="59"/>
      <c r="EAV7" s="59"/>
      <c r="EAW7" s="59"/>
      <c r="EAX7" s="59"/>
      <c r="EAY7" s="59"/>
      <c r="EAZ7" s="59"/>
      <c r="EBA7" s="59"/>
      <c r="EBB7" s="59"/>
      <c r="EBC7" s="59"/>
      <c r="EBD7" s="59"/>
      <c r="EBE7" s="59"/>
      <c r="EBF7" s="59"/>
      <c r="EBG7" s="59"/>
      <c r="EBH7" s="59"/>
      <c r="EBI7" s="59"/>
      <c r="EBJ7" s="59"/>
      <c r="EBK7" s="59"/>
      <c r="EBL7" s="59"/>
      <c r="EBM7" s="59"/>
      <c r="EBN7" s="59"/>
      <c r="EBO7" s="59"/>
      <c r="EBP7" s="59"/>
      <c r="EBQ7" s="59"/>
      <c r="EBR7" s="59"/>
      <c r="EBS7" s="59"/>
      <c r="EBT7" s="59"/>
      <c r="EBU7" s="59"/>
      <c r="EBV7" s="59"/>
      <c r="EBW7" s="59"/>
      <c r="EBX7" s="59"/>
      <c r="EBY7" s="59"/>
      <c r="EBZ7" s="59"/>
      <c r="ECA7" s="59"/>
      <c r="ECB7" s="59"/>
      <c r="ECC7" s="59"/>
      <c r="ECD7" s="59"/>
      <c r="ECE7" s="59"/>
      <c r="ECF7" s="59"/>
      <c r="ECG7" s="59"/>
      <c r="ECH7" s="59"/>
      <c r="ECI7" s="59"/>
      <c r="ECJ7" s="59"/>
      <c r="ECK7" s="59"/>
      <c r="ECL7" s="59"/>
      <c r="ECM7" s="59"/>
      <c r="ECN7" s="59"/>
      <c r="ECO7" s="59"/>
      <c r="ECP7" s="59"/>
      <c r="ECQ7" s="59"/>
      <c r="ECR7" s="59"/>
      <c r="ECS7" s="59"/>
      <c r="ECT7" s="59"/>
      <c r="ECU7" s="59"/>
      <c r="ECV7" s="59"/>
      <c r="ECW7" s="59"/>
      <c r="ECX7" s="59"/>
      <c r="ECY7" s="59"/>
      <c r="ECZ7" s="59"/>
      <c r="EDA7" s="59"/>
      <c r="EDB7" s="59"/>
      <c r="EDC7" s="59"/>
      <c r="EDD7" s="59"/>
      <c r="EDE7" s="59"/>
      <c r="EDF7" s="59"/>
      <c r="EDG7" s="59"/>
      <c r="EDH7" s="59"/>
      <c r="EDI7" s="59"/>
      <c r="EDJ7" s="59"/>
      <c r="EDK7" s="59"/>
      <c r="EDL7" s="59"/>
      <c r="EDM7" s="59"/>
      <c r="EDN7" s="59"/>
      <c r="EDO7" s="59"/>
      <c r="EDP7" s="59"/>
      <c r="EDQ7" s="59"/>
      <c r="EDR7" s="59"/>
      <c r="EDS7" s="59"/>
      <c r="EDT7" s="59"/>
      <c r="EDU7" s="59"/>
      <c r="EDV7" s="59"/>
      <c r="EDW7" s="59"/>
      <c r="EDX7" s="59"/>
      <c r="EDY7" s="59"/>
      <c r="EDZ7" s="59"/>
      <c r="EEA7" s="59"/>
      <c r="EEB7" s="59"/>
      <c r="EEC7" s="59"/>
      <c r="EED7" s="59"/>
      <c r="EEE7" s="59"/>
      <c r="EEF7" s="59"/>
      <c r="EEG7" s="59"/>
      <c r="EEH7" s="59"/>
      <c r="EEI7" s="59"/>
      <c r="EEJ7" s="59"/>
      <c r="EEK7" s="59"/>
      <c r="EEL7" s="59"/>
      <c r="EEM7" s="59"/>
      <c r="EEN7" s="59"/>
      <c r="EEO7" s="59"/>
      <c r="EEP7" s="59"/>
      <c r="EEQ7" s="59"/>
      <c r="EER7" s="59"/>
      <c r="EES7" s="59"/>
      <c r="EET7" s="59"/>
      <c r="EEU7" s="59"/>
      <c r="EEV7" s="59"/>
      <c r="EEW7" s="59"/>
      <c r="EEX7" s="59"/>
      <c r="EEY7" s="59"/>
      <c r="EEZ7" s="59"/>
      <c r="EFA7" s="59"/>
      <c r="EFB7" s="59"/>
      <c r="EFC7" s="59"/>
      <c r="EFD7" s="59"/>
      <c r="EFE7" s="59"/>
      <c r="EFF7" s="59"/>
      <c r="EFG7" s="59"/>
      <c r="EFH7" s="59"/>
      <c r="EFI7" s="59"/>
      <c r="EFJ7" s="59"/>
      <c r="EFK7" s="59"/>
      <c r="EFL7" s="59"/>
      <c r="EFM7" s="59"/>
      <c r="EFN7" s="59"/>
      <c r="EFO7" s="59"/>
      <c r="EFP7" s="59"/>
      <c r="EFQ7" s="59"/>
      <c r="EFR7" s="59"/>
      <c r="EFS7" s="59"/>
      <c r="EFT7" s="59"/>
      <c r="EFU7" s="59"/>
      <c r="EFV7" s="59"/>
      <c r="EFW7" s="59"/>
      <c r="EFX7" s="59"/>
      <c r="EFY7" s="59"/>
      <c r="EFZ7" s="59"/>
      <c r="EGA7" s="59"/>
      <c r="EGB7" s="59"/>
      <c r="EGC7" s="59"/>
      <c r="EGD7" s="59"/>
      <c r="EGE7" s="59"/>
      <c r="EGF7" s="59"/>
      <c r="EGG7" s="59"/>
      <c r="EGH7" s="59"/>
      <c r="EGI7" s="59"/>
      <c r="EGJ7" s="59"/>
      <c r="EGK7" s="59"/>
      <c r="EGL7" s="59"/>
      <c r="EGM7" s="59"/>
      <c r="EGN7" s="59"/>
      <c r="EGO7" s="59"/>
      <c r="EGP7" s="59"/>
      <c r="EGQ7" s="59"/>
      <c r="EGR7" s="59"/>
      <c r="EGS7" s="59"/>
      <c r="EGT7" s="59"/>
      <c r="EGU7" s="59"/>
      <c r="EGV7" s="59"/>
      <c r="EGW7" s="59"/>
      <c r="EGX7" s="59"/>
      <c r="EGY7" s="59"/>
      <c r="EGZ7" s="59"/>
      <c r="EHA7" s="59"/>
      <c r="EHB7" s="59"/>
      <c r="EHC7" s="59"/>
      <c r="EHD7" s="59"/>
      <c r="EHE7" s="59"/>
      <c r="EHF7" s="59"/>
      <c r="EHG7" s="59"/>
      <c r="EHH7" s="59"/>
      <c r="EHI7" s="59"/>
      <c r="EHJ7" s="59"/>
      <c r="EHK7" s="59"/>
      <c r="EHL7" s="59"/>
      <c r="EHM7" s="59"/>
      <c r="EHN7" s="59"/>
      <c r="EHO7" s="59"/>
      <c r="EHP7" s="59"/>
      <c r="EHQ7" s="59"/>
      <c r="EHR7" s="59"/>
      <c r="EHS7" s="59"/>
      <c r="EHT7" s="59"/>
      <c r="EHU7" s="59"/>
      <c r="EHV7" s="59"/>
      <c r="EHW7" s="59"/>
      <c r="EHX7" s="59"/>
      <c r="EHY7" s="59"/>
      <c r="EHZ7" s="59"/>
      <c r="EIA7" s="59"/>
      <c r="EIB7" s="59"/>
      <c r="EIC7" s="59"/>
      <c r="EID7" s="59"/>
      <c r="EIE7" s="59"/>
      <c r="EIF7" s="59"/>
      <c r="EIG7" s="59"/>
      <c r="EIH7" s="59"/>
      <c r="EII7" s="59"/>
      <c r="EIJ7" s="59"/>
      <c r="EIK7" s="59"/>
      <c r="EIL7" s="59"/>
      <c r="EIM7" s="59"/>
      <c r="EIN7" s="59"/>
      <c r="EIO7" s="59"/>
      <c r="EIP7" s="59"/>
      <c r="EIQ7" s="59"/>
      <c r="EIR7" s="59"/>
      <c r="EIS7" s="59"/>
      <c r="EIT7" s="59"/>
      <c r="EIU7" s="59"/>
      <c r="EIV7" s="59"/>
      <c r="EIW7" s="59"/>
      <c r="EIX7" s="59"/>
      <c r="EIY7" s="59"/>
      <c r="EIZ7" s="59"/>
      <c r="EJA7" s="59"/>
      <c r="EJB7" s="59"/>
      <c r="EJC7" s="59"/>
      <c r="EJD7" s="59"/>
      <c r="EJE7" s="59"/>
      <c r="EJF7" s="59"/>
      <c r="EJG7" s="59"/>
      <c r="EJH7" s="59"/>
      <c r="EJI7" s="59"/>
      <c r="EJJ7" s="59"/>
      <c r="EJK7" s="59"/>
      <c r="EJL7" s="59"/>
      <c r="EJM7" s="59"/>
      <c r="EJN7" s="59"/>
      <c r="EJO7" s="59"/>
      <c r="EJP7" s="59"/>
      <c r="EJQ7" s="59"/>
      <c r="EJR7" s="59"/>
      <c r="EJS7" s="59"/>
      <c r="EJT7" s="59"/>
      <c r="EJU7" s="59"/>
      <c r="EJV7" s="59"/>
      <c r="EJW7" s="59"/>
      <c r="EJX7" s="59"/>
      <c r="EJY7" s="59"/>
      <c r="EJZ7" s="59"/>
      <c r="EKA7" s="59"/>
      <c r="EKB7" s="59"/>
      <c r="EKC7" s="59"/>
      <c r="EKD7" s="59"/>
      <c r="EKE7" s="59"/>
      <c r="EKF7" s="59"/>
      <c r="EKG7" s="59"/>
      <c r="EKH7" s="59"/>
      <c r="EKI7" s="59"/>
      <c r="EKJ7" s="59"/>
      <c r="EKK7" s="59"/>
      <c r="EKL7" s="59"/>
      <c r="EKM7" s="59"/>
      <c r="EKN7" s="59"/>
      <c r="EKO7" s="59"/>
      <c r="EKP7" s="59"/>
      <c r="EKQ7" s="59"/>
      <c r="EKR7" s="59"/>
      <c r="EKS7" s="59"/>
      <c r="EKT7" s="59"/>
      <c r="EKU7" s="59"/>
      <c r="EKV7" s="59"/>
      <c r="EKW7" s="59"/>
      <c r="EKX7" s="59"/>
      <c r="EKY7" s="59"/>
      <c r="EKZ7" s="59"/>
      <c r="ELA7" s="59"/>
      <c r="ELB7" s="59"/>
      <c r="ELC7" s="59"/>
      <c r="ELD7" s="59"/>
      <c r="ELE7" s="59"/>
      <c r="ELF7" s="59"/>
      <c r="ELG7" s="59"/>
      <c r="ELH7" s="59"/>
      <c r="ELI7" s="59"/>
      <c r="ELJ7" s="59"/>
      <c r="ELK7" s="59"/>
      <c r="ELL7" s="59"/>
      <c r="ELM7" s="59"/>
      <c r="ELN7" s="59"/>
      <c r="ELO7" s="59"/>
      <c r="ELP7" s="59"/>
      <c r="ELQ7" s="59"/>
      <c r="ELR7" s="59"/>
      <c r="ELS7" s="59"/>
      <c r="ELT7" s="59"/>
      <c r="ELU7" s="59"/>
      <c r="ELV7" s="59"/>
      <c r="ELW7" s="59"/>
      <c r="ELX7" s="59"/>
      <c r="ELY7" s="59"/>
      <c r="ELZ7" s="59"/>
      <c r="EMA7" s="59"/>
      <c r="EMB7" s="59"/>
      <c r="EMC7" s="59"/>
      <c r="EMD7" s="59"/>
      <c r="EME7" s="59"/>
      <c r="EMF7" s="59"/>
      <c r="EMG7" s="59"/>
      <c r="EMH7" s="59"/>
      <c r="EMI7" s="59"/>
      <c r="EMJ7" s="59"/>
      <c r="EMK7" s="59"/>
      <c r="EML7" s="59"/>
      <c r="EMM7" s="59"/>
      <c r="EMN7" s="59"/>
      <c r="EMO7" s="59"/>
      <c r="EMP7" s="59"/>
      <c r="EMQ7" s="59"/>
      <c r="EMR7" s="59"/>
      <c r="EMS7" s="59"/>
      <c r="EMT7" s="59"/>
      <c r="EMU7" s="59"/>
      <c r="EMV7" s="59"/>
      <c r="EMW7" s="59"/>
      <c r="EMX7" s="59"/>
      <c r="EMY7" s="59"/>
      <c r="EMZ7" s="59"/>
      <c r="ENA7" s="59"/>
      <c r="ENB7" s="59"/>
      <c r="ENC7" s="59"/>
      <c r="END7" s="59"/>
      <c r="ENE7" s="59"/>
      <c r="ENF7" s="59"/>
      <c r="ENG7" s="59"/>
      <c r="ENH7" s="59"/>
      <c r="ENI7" s="59"/>
      <c r="ENJ7" s="59"/>
      <c r="ENK7" s="59"/>
      <c r="ENL7" s="59"/>
      <c r="ENM7" s="59"/>
      <c r="ENN7" s="59"/>
      <c r="ENO7" s="59"/>
      <c r="ENP7" s="59"/>
      <c r="ENQ7" s="59"/>
      <c r="ENR7" s="59"/>
      <c r="ENS7" s="59"/>
      <c r="ENT7" s="59"/>
      <c r="ENU7" s="59"/>
      <c r="ENV7" s="59"/>
      <c r="ENW7" s="59"/>
      <c r="ENX7" s="59"/>
      <c r="ENY7" s="59"/>
      <c r="ENZ7" s="59"/>
      <c r="EOA7" s="59"/>
      <c r="EOB7" s="59"/>
      <c r="EOC7" s="59"/>
      <c r="EOD7" s="59"/>
      <c r="EOE7" s="59"/>
      <c r="EOF7" s="59"/>
      <c r="EOG7" s="59"/>
      <c r="EOH7" s="59"/>
      <c r="EOI7" s="59"/>
      <c r="EOJ7" s="59"/>
      <c r="EOK7" s="59"/>
      <c r="EOL7" s="59"/>
      <c r="EOM7" s="59"/>
      <c r="EON7" s="59"/>
      <c r="EOO7" s="59"/>
      <c r="EOP7" s="59"/>
      <c r="EOQ7" s="59"/>
      <c r="EOR7" s="59"/>
      <c r="EOS7" s="59"/>
      <c r="EOT7" s="59"/>
      <c r="EOU7" s="59"/>
      <c r="EOV7" s="59"/>
      <c r="EOW7" s="59"/>
      <c r="EOX7" s="59"/>
      <c r="EOY7" s="59"/>
      <c r="EOZ7" s="59"/>
      <c r="EPA7" s="59"/>
      <c r="EPB7" s="59"/>
      <c r="EPC7" s="59"/>
      <c r="EPD7" s="59"/>
      <c r="EPE7" s="59"/>
      <c r="EPF7" s="59"/>
      <c r="EPG7" s="59"/>
      <c r="EPH7" s="59"/>
      <c r="EPI7" s="59"/>
      <c r="EPJ7" s="59"/>
      <c r="EPK7" s="59"/>
      <c r="EPL7" s="59"/>
      <c r="EPM7" s="59"/>
      <c r="EPN7" s="59"/>
      <c r="EPO7" s="59"/>
      <c r="EPP7" s="59"/>
      <c r="EPQ7" s="59"/>
      <c r="EPR7" s="59"/>
      <c r="EPS7" s="59"/>
      <c r="EPT7" s="59"/>
      <c r="EPU7" s="59"/>
      <c r="EPV7" s="59"/>
      <c r="EPW7" s="59"/>
      <c r="EPX7" s="59"/>
      <c r="EPY7" s="59"/>
      <c r="EPZ7" s="59"/>
      <c r="EQA7" s="59"/>
      <c r="EQB7" s="59"/>
      <c r="EQC7" s="59"/>
      <c r="EQD7" s="59"/>
      <c r="EQE7" s="59"/>
      <c r="EQF7" s="59"/>
      <c r="EQG7" s="59"/>
      <c r="EQH7" s="59"/>
      <c r="EQI7" s="59"/>
      <c r="EQJ7" s="59"/>
      <c r="EQK7" s="59"/>
      <c r="EQL7" s="59"/>
      <c r="EQM7" s="59"/>
      <c r="EQN7" s="59"/>
      <c r="EQO7" s="59"/>
      <c r="EQP7" s="59"/>
      <c r="EQQ7" s="59"/>
      <c r="EQR7" s="59"/>
      <c r="EQS7" s="59"/>
      <c r="EQT7" s="59"/>
      <c r="EQU7" s="59"/>
      <c r="EQV7" s="59"/>
      <c r="EQW7" s="59"/>
      <c r="EQX7" s="59"/>
      <c r="EQY7" s="59"/>
      <c r="EQZ7" s="59"/>
      <c r="ERA7" s="59"/>
      <c r="ERB7" s="59"/>
      <c r="ERC7" s="59"/>
      <c r="ERD7" s="59"/>
      <c r="ERE7" s="59"/>
      <c r="ERF7" s="59"/>
      <c r="ERG7" s="59"/>
      <c r="ERH7" s="59"/>
      <c r="ERI7" s="59"/>
      <c r="ERJ7" s="59"/>
      <c r="ERK7" s="59"/>
      <c r="ERL7" s="59"/>
      <c r="ERM7" s="59"/>
      <c r="ERN7" s="59"/>
      <c r="ERO7" s="59"/>
      <c r="ERP7" s="59"/>
      <c r="ERQ7" s="59"/>
      <c r="ERR7" s="59"/>
      <c r="ERS7" s="59"/>
      <c r="ERT7" s="59"/>
      <c r="ERU7" s="59"/>
      <c r="ERV7" s="59"/>
      <c r="ERW7" s="59"/>
      <c r="ERX7" s="59"/>
      <c r="ERY7" s="59"/>
      <c r="ERZ7" s="59"/>
      <c r="ESA7" s="59"/>
      <c r="ESB7" s="59"/>
      <c r="ESC7" s="59"/>
      <c r="ESD7" s="59"/>
      <c r="ESE7" s="59"/>
      <c r="ESF7" s="59"/>
      <c r="ESG7" s="59"/>
      <c r="ESH7" s="59"/>
      <c r="ESI7" s="59"/>
      <c r="ESJ7" s="59"/>
      <c r="ESK7" s="59"/>
      <c r="ESL7" s="59"/>
      <c r="ESM7" s="59"/>
      <c r="ESN7" s="59"/>
      <c r="ESO7" s="59"/>
      <c r="ESP7" s="59"/>
      <c r="ESQ7" s="59"/>
      <c r="ESR7" s="59"/>
      <c r="ESS7" s="59"/>
      <c r="EST7" s="59"/>
      <c r="ESU7" s="59"/>
      <c r="ESV7" s="59"/>
      <c r="ESW7" s="59"/>
      <c r="ESX7" s="59"/>
      <c r="ESY7" s="59"/>
      <c r="ESZ7" s="59"/>
      <c r="ETA7" s="59"/>
      <c r="ETB7" s="59"/>
      <c r="ETC7" s="59"/>
      <c r="ETD7" s="59"/>
      <c r="ETE7" s="59"/>
      <c r="ETF7" s="59"/>
      <c r="ETG7" s="59"/>
      <c r="ETH7" s="59"/>
      <c r="ETI7" s="59"/>
      <c r="ETJ7" s="59"/>
      <c r="ETK7" s="59"/>
      <c r="ETL7" s="59"/>
      <c r="ETM7" s="59"/>
      <c r="ETN7" s="59"/>
      <c r="ETO7" s="59"/>
      <c r="ETP7" s="59"/>
      <c r="ETQ7" s="59"/>
      <c r="ETR7" s="59"/>
      <c r="ETS7" s="59"/>
      <c r="ETT7" s="59"/>
      <c r="ETU7" s="59"/>
      <c r="ETV7" s="59"/>
      <c r="ETW7" s="59"/>
      <c r="ETX7" s="59"/>
      <c r="ETY7" s="59"/>
      <c r="ETZ7" s="59"/>
      <c r="EUA7" s="59"/>
      <c r="EUB7" s="59"/>
      <c r="EUC7" s="59"/>
      <c r="EUD7" s="59"/>
      <c r="EUE7" s="59"/>
      <c r="EUF7" s="59"/>
      <c r="EUG7" s="59"/>
      <c r="EUH7" s="59"/>
      <c r="EUI7" s="59"/>
      <c r="EUJ7" s="59"/>
      <c r="EUK7" s="59"/>
      <c r="EUL7" s="59"/>
      <c r="EUM7" s="59"/>
      <c r="EUN7" s="59"/>
      <c r="EUO7" s="59"/>
      <c r="EUP7" s="59"/>
      <c r="EUQ7" s="59"/>
      <c r="EUR7" s="59"/>
      <c r="EUS7" s="59"/>
      <c r="EUT7" s="59"/>
      <c r="EUU7" s="59"/>
      <c r="EUV7" s="59"/>
      <c r="EUW7" s="59"/>
      <c r="EUX7" s="59"/>
      <c r="EUY7" s="59"/>
      <c r="EUZ7" s="59"/>
      <c r="EVA7" s="59"/>
      <c r="EVB7" s="59"/>
      <c r="EVC7" s="59"/>
      <c r="EVD7" s="59"/>
      <c r="EVE7" s="59"/>
      <c r="EVF7" s="59"/>
      <c r="EVG7" s="59"/>
      <c r="EVH7" s="59"/>
      <c r="EVI7" s="59"/>
      <c r="EVJ7" s="59"/>
      <c r="EVK7" s="59"/>
      <c r="EVL7" s="59"/>
      <c r="EVM7" s="59"/>
      <c r="EVN7" s="59"/>
      <c r="EVO7" s="59"/>
      <c r="EVP7" s="59"/>
      <c r="EVQ7" s="59"/>
      <c r="EVR7" s="59"/>
      <c r="EVS7" s="59"/>
      <c r="EVT7" s="59"/>
      <c r="EVU7" s="59"/>
      <c r="EVV7" s="59"/>
      <c r="EVW7" s="59"/>
      <c r="EVX7" s="59"/>
      <c r="EVY7" s="59"/>
      <c r="EVZ7" s="59"/>
      <c r="EWA7" s="59"/>
      <c r="EWB7" s="59"/>
      <c r="EWC7" s="59"/>
      <c r="EWD7" s="59"/>
      <c r="EWE7" s="59"/>
      <c r="EWF7" s="59"/>
      <c r="EWG7" s="59"/>
      <c r="EWH7" s="59"/>
      <c r="EWI7" s="59"/>
      <c r="EWJ7" s="59"/>
      <c r="EWK7" s="59"/>
      <c r="EWL7" s="59"/>
      <c r="EWM7" s="59"/>
      <c r="EWN7" s="59"/>
      <c r="EWO7" s="59"/>
      <c r="EWP7" s="59"/>
      <c r="EWQ7" s="59"/>
      <c r="EWR7" s="59"/>
      <c r="EWS7" s="59"/>
      <c r="EWT7" s="59"/>
      <c r="EWU7" s="59"/>
      <c r="EWV7" s="59"/>
      <c r="EWW7" s="59"/>
      <c r="EWX7" s="59"/>
      <c r="EWY7" s="59"/>
      <c r="EWZ7" s="59"/>
      <c r="EXA7" s="59"/>
      <c r="EXB7" s="59"/>
      <c r="EXC7" s="59"/>
      <c r="EXD7" s="59"/>
      <c r="EXE7" s="59"/>
      <c r="EXF7" s="59"/>
      <c r="EXG7" s="59"/>
      <c r="EXH7" s="59"/>
      <c r="EXI7" s="59"/>
      <c r="EXJ7" s="59"/>
      <c r="EXK7" s="59"/>
      <c r="EXL7" s="59"/>
      <c r="EXM7" s="59"/>
      <c r="EXN7" s="59"/>
      <c r="EXO7" s="59"/>
      <c r="EXP7" s="59"/>
      <c r="EXQ7" s="59"/>
      <c r="EXR7" s="59"/>
      <c r="EXS7" s="59"/>
      <c r="EXT7" s="59"/>
      <c r="EXU7" s="59"/>
      <c r="EXV7" s="59"/>
      <c r="EXW7" s="59"/>
      <c r="EXX7" s="59"/>
      <c r="EXY7" s="59"/>
      <c r="EXZ7" s="59"/>
      <c r="EYA7" s="59"/>
      <c r="EYB7" s="59"/>
      <c r="EYC7" s="59"/>
      <c r="EYD7" s="59"/>
      <c r="EYE7" s="59"/>
      <c r="EYF7" s="59"/>
      <c r="EYG7" s="59"/>
      <c r="EYH7" s="59"/>
      <c r="EYI7" s="59"/>
      <c r="EYJ7" s="59"/>
      <c r="EYK7" s="59"/>
      <c r="EYL7" s="59"/>
      <c r="EYM7" s="59"/>
      <c r="EYN7" s="59"/>
      <c r="EYO7" s="59"/>
      <c r="EYP7" s="59"/>
      <c r="EYQ7" s="59"/>
      <c r="EYR7" s="59"/>
      <c r="EYS7" s="59"/>
      <c r="EYT7" s="59"/>
      <c r="EYU7" s="59"/>
      <c r="EYV7" s="59"/>
      <c r="EYW7" s="59"/>
      <c r="EYX7" s="59"/>
      <c r="EYY7" s="59"/>
      <c r="EYZ7" s="59"/>
      <c r="EZA7" s="59"/>
      <c r="EZB7" s="59"/>
      <c r="EZC7" s="59"/>
      <c r="EZD7" s="59"/>
      <c r="EZE7" s="59"/>
      <c r="EZF7" s="59"/>
      <c r="EZG7" s="59"/>
      <c r="EZH7" s="59"/>
      <c r="EZI7" s="59"/>
      <c r="EZJ7" s="59"/>
      <c r="EZK7" s="59"/>
      <c r="EZL7" s="59"/>
      <c r="EZM7" s="59"/>
      <c r="EZN7" s="59"/>
      <c r="EZO7" s="59"/>
      <c r="EZP7" s="59"/>
      <c r="EZQ7" s="59"/>
      <c r="EZR7" s="59"/>
      <c r="EZS7" s="59"/>
      <c r="EZT7" s="59"/>
      <c r="EZU7" s="59"/>
      <c r="EZV7" s="59"/>
      <c r="EZW7" s="59"/>
      <c r="EZX7" s="59"/>
      <c r="EZY7" s="59"/>
      <c r="EZZ7" s="59"/>
      <c r="FAA7" s="59"/>
      <c r="FAB7" s="59"/>
      <c r="FAC7" s="59"/>
      <c r="FAD7" s="59"/>
      <c r="FAE7" s="59"/>
      <c r="FAF7" s="59"/>
      <c r="FAG7" s="59"/>
      <c r="FAH7" s="59"/>
      <c r="FAI7" s="59"/>
      <c r="FAJ7" s="59"/>
      <c r="FAK7" s="59"/>
      <c r="FAL7" s="59"/>
      <c r="FAM7" s="59"/>
      <c r="FAN7" s="59"/>
      <c r="FAO7" s="59"/>
      <c r="FAP7" s="59"/>
      <c r="FAQ7" s="59"/>
      <c r="FAR7" s="59"/>
      <c r="FAS7" s="59"/>
      <c r="FAT7" s="59"/>
      <c r="FAU7" s="59"/>
      <c r="FAV7" s="59"/>
      <c r="FAW7" s="59"/>
      <c r="FAX7" s="59"/>
      <c r="FAY7" s="59"/>
      <c r="FAZ7" s="59"/>
      <c r="FBA7" s="59"/>
      <c r="FBB7" s="59"/>
      <c r="FBC7" s="59"/>
      <c r="FBD7" s="59"/>
      <c r="FBE7" s="59"/>
      <c r="FBF7" s="59"/>
      <c r="FBG7" s="59"/>
      <c r="FBH7" s="59"/>
      <c r="FBI7" s="59"/>
      <c r="FBJ7" s="59"/>
      <c r="FBK7" s="59"/>
      <c r="FBL7" s="59"/>
      <c r="FBM7" s="59"/>
      <c r="FBN7" s="59"/>
      <c r="FBO7" s="59"/>
      <c r="FBP7" s="59"/>
      <c r="FBQ7" s="59"/>
      <c r="FBR7" s="59"/>
      <c r="FBS7" s="59"/>
      <c r="FBT7" s="59"/>
      <c r="FBU7" s="59"/>
      <c r="FBV7" s="59"/>
      <c r="FBW7" s="59"/>
      <c r="FBX7" s="59"/>
      <c r="FBY7" s="59"/>
      <c r="FBZ7" s="59"/>
      <c r="FCA7" s="59"/>
      <c r="FCB7" s="59"/>
      <c r="FCC7" s="59"/>
      <c r="FCD7" s="59"/>
      <c r="FCE7" s="59"/>
      <c r="FCF7" s="59"/>
      <c r="FCG7" s="59"/>
      <c r="FCH7" s="59"/>
      <c r="FCI7" s="59"/>
      <c r="FCJ7" s="59"/>
      <c r="FCK7" s="59"/>
      <c r="FCL7" s="59"/>
      <c r="FCM7" s="59"/>
      <c r="FCN7" s="59"/>
      <c r="FCO7" s="59"/>
      <c r="FCP7" s="59"/>
      <c r="FCQ7" s="59"/>
      <c r="FCR7" s="59"/>
      <c r="FCS7" s="59"/>
      <c r="FCT7" s="59"/>
      <c r="FCU7" s="59"/>
      <c r="FCV7" s="59"/>
      <c r="FCW7" s="59"/>
      <c r="FCX7" s="59"/>
      <c r="FCY7" s="59"/>
      <c r="FCZ7" s="59"/>
      <c r="FDA7" s="59"/>
      <c r="FDB7" s="59"/>
      <c r="FDC7" s="59"/>
      <c r="FDD7" s="59"/>
      <c r="FDE7" s="59"/>
      <c r="FDF7" s="59"/>
      <c r="FDG7" s="59"/>
      <c r="FDH7" s="59"/>
      <c r="FDI7" s="59"/>
      <c r="FDJ7" s="59"/>
      <c r="FDK7" s="59"/>
      <c r="FDL7" s="59"/>
      <c r="FDM7" s="59"/>
      <c r="FDN7" s="59"/>
      <c r="FDO7" s="59"/>
      <c r="FDP7" s="59"/>
      <c r="FDQ7" s="59"/>
      <c r="FDR7" s="59"/>
      <c r="FDS7" s="59"/>
      <c r="FDT7" s="59"/>
      <c r="FDU7" s="59"/>
      <c r="FDV7" s="59"/>
      <c r="FDW7" s="59"/>
      <c r="FDX7" s="59"/>
      <c r="FDY7" s="59"/>
      <c r="FDZ7" s="59"/>
      <c r="FEA7" s="59"/>
      <c r="FEB7" s="59"/>
      <c r="FEC7" s="59"/>
      <c r="FED7" s="59"/>
      <c r="FEE7" s="59"/>
      <c r="FEF7" s="59"/>
      <c r="FEG7" s="59"/>
      <c r="FEH7" s="59"/>
      <c r="FEI7" s="59"/>
      <c r="FEJ7" s="59"/>
      <c r="FEK7" s="59"/>
      <c r="FEL7" s="59"/>
      <c r="FEM7" s="59"/>
      <c r="FEN7" s="59"/>
      <c r="FEO7" s="59"/>
      <c r="FEP7" s="59"/>
      <c r="FEQ7" s="59"/>
      <c r="FER7" s="59"/>
      <c r="FES7" s="59"/>
      <c r="FET7" s="59"/>
      <c r="FEU7" s="59"/>
      <c r="FEV7" s="59"/>
      <c r="FEW7" s="59"/>
      <c r="FEX7" s="59"/>
      <c r="FEY7" s="59"/>
      <c r="FEZ7" s="59"/>
      <c r="FFA7" s="59"/>
      <c r="FFB7" s="59"/>
      <c r="FFC7" s="59"/>
      <c r="FFD7" s="59"/>
      <c r="FFE7" s="59"/>
      <c r="FFF7" s="59"/>
      <c r="FFG7" s="59"/>
      <c r="FFH7" s="59"/>
      <c r="FFI7" s="59"/>
      <c r="FFJ7" s="59"/>
      <c r="FFK7" s="59"/>
      <c r="FFL7" s="59"/>
      <c r="FFM7" s="59"/>
      <c r="FFN7" s="59"/>
      <c r="FFO7" s="59"/>
      <c r="FFP7" s="59"/>
      <c r="FFQ7" s="59"/>
      <c r="FFR7" s="59"/>
      <c r="FFS7" s="59"/>
      <c r="FFT7" s="59"/>
      <c r="FFU7" s="59"/>
      <c r="FFV7" s="59"/>
      <c r="FFW7" s="59"/>
      <c r="FFX7" s="59"/>
      <c r="FFY7" s="59"/>
      <c r="FFZ7" s="59"/>
      <c r="FGA7" s="59"/>
      <c r="FGB7" s="59"/>
      <c r="FGC7" s="59"/>
      <c r="FGD7" s="59"/>
      <c r="FGE7" s="59"/>
      <c r="FGF7" s="59"/>
      <c r="FGG7" s="59"/>
      <c r="FGH7" s="59"/>
      <c r="FGI7" s="59"/>
      <c r="FGJ7" s="59"/>
      <c r="FGK7" s="59"/>
      <c r="FGL7" s="59"/>
      <c r="FGM7" s="59"/>
      <c r="FGN7" s="59"/>
      <c r="FGO7" s="59"/>
      <c r="FGP7" s="59"/>
      <c r="FGQ7" s="59"/>
      <c r="FGR7" s="59"/>
      <c r="FGS7" s="59"/>
      <c r="FGT7" s="59"/>
      <c r="FGU7" s="59"/>
      <c r="FGV7" s="59"/>
      <c r="FGW7" s="59"/>
      <c r="FGX7" s="59"/>
      <c r="FGY7" s="59"/>
      <c r="FGZ7" s="59"/>
      <c r="FHA7" s="59"/>
      <c r="FHB7" s="59"/>
      <c r="FHC7" s="59"/>
      <c r="FHD7" s="59"/>
      <c r="FHE7" s="59"/>
      <c r="FHF7" s="59"/>
      <c r="FHG7" s="59"/>
      <c r="FHH7" s="59"/>
      <c r="FHI7" s="59"/>
      <c r="FHJ7" s="59"/>
      <c r="FHK7" s="59"/>
      <c r="FHL7" s="59"/>
      <c r="FHM7" s="59"/>
      <c r="FHN7" s="59"/>
      <c r="FHO7" s="59"/>
      <c r="FHP7" s="59"/>
      <c r="FHQ7" s="59"/>
      <c r="FHR7" s="59"/>
      <c r="FHS7" s="59"/>
      <c r="FHT7" s="59"/>
      <c r="FHU7" s="59"/>
      <c r="FHV7" s="59"/>
      <c r="FHW7" s="59"/>
      <c r="FHX7" s="59"/>
      <c r="FHY7" s="59"/>
      <c r="FHZ7" s="59"/>
      <c r="FIA7" s="59"/>
      <c r="FIB7" s="59"/>
      <c r="FIC7" s="59"/>
      <c r="FID7" s="59"/>
      <c r="FIE7" s="59"/>
      <c r="FIF7" s="59"/>
      <c r="FIG7" s="59"/>
      <c r="FIH7" s="59"/>
      <c r="FII7" s="59"/>
      <c r="FIJ7" s="59"/>
      <c r="FIK7" s="59"/>
      <c r="FIL7" s="59"/>
      <c r="FIM7" s="59"/>
      <c r="FIN7" s="59"/>
      <c r="FIO7" s="59"/>
      <c r="FIP7" s="59"/>
      <c r="FIQ7" s="59"/>
      <c r="FIR7" s="59"/>
      <c r="FIS7" s="59"/>
      <c r="FIT7" s="59"/>
      <c r="FIU7" s="59"/>
      <c r="FIV7" s="59"/>
      <c r="FIW7" s="59"/>
      <c r="FIX7" s="59"/>
      <c r="FIY7" s="59"/>
      <c r="FIZ7" s="59"/>
      <c r="FJA7" s="59"/>
      <c r="FJB7" s="59"/>
      <c r="FJC7" s="59"/>
      <c r="FJD7" s="59"/>
      <c r="FJE7" s="59"/>
      <c r="FJF7" s="59"/>
      <c r="FJG7" s="59"/>
      <c r="FJH7" s="59"/>
      <c r="FJI7" s="59"/>
      <c r="FJJ7" s="59"/>
      <c r="FJK7" s="59"/>
      <c r="FJL7" s="59"/>
      <c r="FJM7" s="59"/>
      <c r="FJN7" s="59"/>
      <c r="FJO7" s="59"/>
      <c r="FJP7" s="59"/>
      <c r="FJQ7" s="59"/>
      <c r="FJR7" s="59"/>
      <c r="FJS7" s="59"/>
      <c r="FJT7" s="59"/>
      <c r="FJU7" s="59"/>
      <c r="FJV7" s="59"/>
      <c r="FJW7" s="59"/>
      <c r="FJX7" s="59"/>
      <c r="FJY7" s="59"/>
      <c r="FJZ7" s="59"/>
      <c r="FKA7" s="59"/>
      <c r="FKB7" s="59"/>
      <c r="FKC7" s="59"/>
      <c r="FKD7" s="59"/>
      <c r="FKE7" s="59"/>
      <c r="FKF7" s="59"/>
      <c r="FKG7" s="59"/>
      <c r="FKH7" s="59"/>
      <c r="FKI7" s="59"/>
      <c r="FKJ7" s="59"/>
      <c r="FKK7" s="59"/>
      <c r="FKL7" s="59"/>
      <c r="FKM7" s="59"/>
      <c r="FKN7" s="59"/>
      <c r="FKO7" s="59"/>
      <c r="FKP7" s="59"/>
      <c r="FKQ7" s="59"/>
      <c r="FKR7" s="59"/>
      <c r="FKS7" s="59"/>
      <c r="FKT7" s="59"/>
      <c r="FKU7" s="59"/>
      <c r="FKV7" s="59"/>
      <c r="FKW7" s="59"/>
      <c r="FKX7" s="59"/>
      <c r="FKY7" s="59"/>
      <c r="FKZ7" s="59"/>
      <c r="FLA7" s="59"/>
      <c r="FLB7" s="59"/>
      <c r="FLC7" s="59"/>
      <c r="FLD7" s="59"/>
      <c r="FLE7" s="59"/>
      <c r="FLF7" s="59"/>
      <c r="FLG7" s="59"/>
      <c r="FLH7" s="59"/>
      <c r="FLI7" s="59"/>
      <c r="FLJ7" s="59"/>
      <c r="FLK7" s="59"/>
      <c r="FLL7" s="59"/>
      <c r="FLM7" s="59"/>
      <c r="FLN7" s="59"/>
      <c r="FLO7" s="59"/>
      <c r="FLP7" s="59"/>
      <c r="FLQ7" s="59"/>
      <c r="FLR7" s="59"/>
      <c r="FLS7" s="59"/>
      <c r="FLT7" s="59"/>
      <c r="FLU7" s="59"/>
      <c r="FLV7" s="59"/>
      <c r="FLW7" s="59"/>
      <c r="FLX7" s="59"/>
      <c r="FLY7" s="59"/>
      <c r="FLZ7" s="59"/>
      <c r="FMA7" s="59"/>
      <c r="FMB7" s="59"/>
      <c r="FMC7" s="59"/>
      <c r="FMD7" s="59"/>
      <c r="FME7" s="59"/>
      <c r="FMF7" s="59"/>
      <c r="FMG7" s="59"/>
      <c r="FMH7" s="59"/>
      <c r="FMI7" s="59"/>
      <c r="FMJ7" s="59"/>
      <c r="FMK7" s="59"/>
      <c r="FML7" s="59"/>
      <c r="FMM7" s="59"/>
      <c r="FMN7" s="59"/>
      <c r="FMO7" s="59"/>
      <c r="FMP7" s="59"/>
      <c r="FMQ7" s="59"/>
      <c r="FMR7" s="59"/>
      <c r="FMS7" s="59"/>
      <c r="FMT7" s="59"/>
      <c r="FMU7" s="59"/>
      <c r="FMV7" s="59"/>
      <c r="FMW7" s="59"/>
      <c r="FMX7" s="59"/>
      <c r="FMY7" s="59"/>
      <c r="FMZ7" s="59"/>
      <c r="FNA7" s="59"/>
      <c r="FNB7" s="59"/>
      <c r="FNC7" s="59"/>
      <c r="FND7" s="59"/>
      <c r="FNE7" s="59"/>
      <c r="FNF7" s="59"/>
      <c r="FNG7" s="59"/>
      <c r="FNH7" s="59"/>
      <c r="FNI7" s="59"/>
      <c r="FNJ7" s="59"/>
      <c r="FNK7" s="59"/>
      <c r="FNL7" s="59"/>
      <c r="FNM7" s="59"/>
      <c r="FNN7" s="59"/>
      <c r="FNO7" s="59"/>
      <c r="FNP7" s="59"/>
      <c r="FNQ7" s="59"/>
      <c r="FNR7" s="59"/>
      <c r="FNS7" s="59"/>
      <c r="FNT7" s="59"/>
      <c r="FNU7" s="59"/>
      <c r="FNV7" s="59"/>
      <c r="FNW7" s="59"/>
      <c r="FNX7" s="59"/>
      <c r="FNY7" s="59"/>
      <c r="FNZ7" s="59"/>
      <c r="FOA7" s="59"/>
      <c r="FOB7" s="59"/>
      <c r="FOC7" s="59"/>
      <c r="FOD7" s="59"/>
      <c r="FOE7" s="59"/>
      <c r="FOF7" s="59"/>
      <c r="FOG7" s="59"/>
      <c r="FOH7" s="59"/>
      <c r="FOI7" s="59"/>
      <c r="FOJ7" s="59"/>
      <c r="FOK7" s="59"/>
      <c r="FOL7" s="59"/>
      <c r="FOM7" s="59"/>
      <c r="FON7" s="59"/>
      <c r="FOO7" s="59"/>
      <c r="FOP7" s="59"/>
      <c r="FOQ7" s="59"/>
      <c r="FOR7" s="59"/>
      <c r="FOS7" s="59"/>
      <c r="FOT7" s="59"/>
      <c r="FOU7" s="59"/>
      <c r="FOV7" s="59"/>
      <c r="FOW7" s="59"/>
      <c r="FOX7" s="59"/>
      <c r="FOY7" s="59"/>
      <c r="FOZ7" s="59"/>
      <c r="FPA7" s="59"/>
      <c r="FPB7" s="59"/>
      <c r="FPC7" s="59"/>
      <c r="FPD7" s="59"/>
      <c r="FPE7" s="59"/>
      <c r="FPF7" s="59"/>
      <c r="FPG7" s="59"/>
      <c r="FPH7" s="59"/>
      <c r="FPI7" s="59"/>
      <c r="FPJ7" s="59"/>
      <c r="FPK7" s="59"/>
      <c r="FPL7" s="59"/>
      <c r="FPM7" s="59"/>
      <c r="FPN7" s="59"/>
      <c r="FPO7" s="59"/>
      <c r="FPP7" s="59"/>
      <c r="FPQ7" s="59"/>
      <c r="FPR7" s="59"/>
      <c r="FPS7" s="59"/>
      <c r="FPT7" s="59"/>
      <c r="FPU7" s="59"/>
      <c r="FPV7" s="59"/>
      <c r="FPW7" s="59"/>
      <c r="FPX7" s="59"/>
      <c r="FPY7" s="59"/>
      <c r="FPZ7" s="59"/>
      <c r="FQA7" s="59"/>
      <c r="FQB7" s="59"/>
      <c r="FQC7" s="59"/>
      <c r="FQD7" s="59"/>
      <c r="FQE7" s="59"/>
      <c r="FQF7" s="59"/>
      <c r="FQG7" s="59"/>
      <c r="FQH7" s="59"/>
      <c r="FQI7" s="59"/>
      <c r="FQJ7" s="59"/>
      <c r="FQK7" s="59"/>
      <c r="FQL7" s="59"/>
      <c r="FQM7" s="59"/>
      <c r="FQN7" s="59"/>
      <c r="FQO7" s="59"/>
      <c r="FQP7" s="59"/>
      <c r="FQQ7" s="59"/>
      <c r="FQR7" s="59"/>
      <c r="FQS7" s="59"/>
      <c r="FQT7" s="59"/>
      <c r="FQU7" s="59"/>
      <c r="FQV7" s="59"/>
      <c r="FQW7" s="59"/>
      <c r="FQX7" s="59"/>
      <c r="FQY7" s="59"/>
      <c r="FQZ7" s="59"/>
      <c r="FRA7" s="59"/>
      <c r="FRB7" s="59"/>
      <c r="FRC7" s="59"/>
      <c r="FRD7" s="59"/>
      <c r="FRE7" s="59"/>
      <c r="FRF7" s="59"/>
      <c r="FRG7" s="59"/>
      <c r="FRH7" s="59"/>
      <c r="FRI7" s="59"/>
      <c r="FRJ7" s="59"/>
      <c r="FRK7" s="59"/>
      <c r="FRL7" s="59"/>
      <c r="FRM7" s="59"/>
      <c r="FRN7" s="59"/>
      <c r="FRO7" s="59"/>
      <c r="FRP7" s="59"/>
      <c r="FRQ7" s="59"/>
      <c r="FRR7" s="59"/>
      <c r="FRS7" s="59"/>
      <c r="FRT7" s="59"/>
      <c r="FRU7" s="59"/>
      <c r="FRV7" s="59"/>
      <c r="FRW7" s="59"/>
      <c r="FRX7" s="59"/>
      <c r="FRY7" s="59"/>
      <c r="FRZ7" s="59"/>
      <c r="FSA7" s="59"/>
      <c r="FSB7" s="59"/>
      <c r="FSC7" s="59"/>
      <c r="FSD7" s="59"/>
      <c r="FSE7" s="59"/>
      <c r="FSF7" s="59"/>
      <c r="FSG7" s="59"/>
      <c r="FSH7" s="59"/>
      <c r="FSI7" s="59"/>
      <c r="FSJ7" s="59"/>
      <c r="FSK7" s="59"/>
      <c r="FSL7" s="59"/>
      <c r="FSM7" s="59"/>
      <c r="FSN7" s="59"/>
      <c r="FSO7" s="59"/>
      <c r="FSP7" s="59"/>
      <c r="FSQ7" s="59"/>
      <c r="FSR7" s="59"/>
      <c r="FSS7" s="59"/>
      <c r="FST7" s="59"/>
      <c r="FSU7" s="59"/>
      <c r="FSV7" s="59"/>
      <c r="FSW7" s="59"/>
      <c r="FSX7" s="59"/>
      <c r="FSY7" s="59"/>
      <c r="FSZ7" s="59"/>
      <c r="FTA7" s="59"/>
      <c r="FTB7" s="59"/>
      <c r="FTC7" s="59"/>
      <c r="FTD7" s="59"/>
      <c r="FTE7" s="59"/>
      <c r="FTF7" s="59"/>
      <c r="FTG7" s="59"/>
      <c r="FTH7" s="59"/>
      <c r="FTI7" s="59"/>
      <c r="FTJ7" s="59"/>
      <c r="FTK7" s="59"/>
      <c r="FTL7" s="59"/>
      <c r="FTM7" s="59"/>
      <c r="FTN7" s="59"/>
      <c r="FTO7" s="59"/>
      <c r="FTP7" s="59"/>
      <c r="FTQ7" s="59"/>
      <c r="FTR7" s="59"/>
      <c r="FTS7" s="59"/>
      <c r="FTT7" s="59"/>
      <c r="FTU7" s="59"/>
      <c r="FTV7" s="59"/>
      <c r="FTW7" s="59"/>
      <c r="FTX7" s="59"/>
      <c r="FTY7" s="59"/>
      <c r="FTZ7" s="59"/>
      <c r="FUA7" s="59"/>
      <c r="FUB7" s="59"/>
      <c r="FUC7" s="59"/>
      <c r="FUD7" s="59"/>
      <c r="FUE7" s="59"/>
      <c r="FUF7" s="59"/>
      <c r="FUG7" s="59"/>
      <c r="FUH7" s="59"/>
      <c r="FUI7" s="59"/>
      <c r="FUJ7" s="59"/>
      <c r="FUK7" s="59"/>
      <c r="FUL7" s="59"/>
      <c r="FUM7" s="59"/>
      <c r="FUN7" s="59"/>
      <c r="FUO7" s="59"/>
      <c r="FUP7" s="59"/>
      <c r="FUQ7" s="59"/>
      <c r="FUR7" s="59"/>
      <c r="FUS7" s="59"/>
      <c r="FUT7" s="59"/>
      <c r="FUU7" s="59"/>
      <c r="FUV7" s="59"/>
      <c r="FUW7" s="59"/>
      <c r="FUX7" s="59"/>
      <c r="FUY7" s="59"/>
      <c r="FUZ7" s="59"/>
      <c r="FVA7" s="59"/>
      <c r="FVB7" s="59"/>
      <c r="FVC7" s="59"/>
      <c r="FVD7" s="59"/>
      <c r="FVE7" s="59"/>
      <c r="FVF7" s="59"/>
      <c r="FVG7" s="59"/>
      <c r="FVH7" s="59"/>
      <c r="FVI7" s="59"/>
      <c r="FVJ7" s="59"/>
      <c r="FVK7" s="59"/>
      <c r="FVL7" s="59"/>
      <c r="FVM7" s="59"/>
      <c r="FVN7" s="59"/>
      <c r="FVO7" s="59"/>
      <c r="FVP7" s="59"/>
      <c r="FVQ7" s="59"/>
      <c r="FVR7" s="59"/>
      <c r="FVS7" s="59"/>
      <c r="FVT7" s="59"/>
      <c r="FVU7" s="59"/>
      <c r="FVV7" s="59"/>
      <c r="FVW7" s="59"/>
      <c r="FVX7" s="59"/>
      <c r="FVY7" s="59"/>
      <c r="FVZ7" s="59"/>
      <c r="FWA7" s="59"/>
      <c r="FWB7" s="59"/>
      <c r="FWC7" s="59"/>
      <c r="FWD7" s="59"/>
      <c r="FWE7" s="59"/>
      <c r="FWF7" s="59"/>
      <c r="FWG7" s="59"/>
      <c r="FWH7" s="59"/>
      <c r="FWI7" s="59"/>
      <c r="FWJ7" s="59"/>
      <c r="FWK7" s="59"/>
      <c r="FWL7" s="59"/>
      <c r="FWM7" s="59"/>
      <c r="FWN7" s="59"/>
      <c r="FWO7" s="59"/>
      <c r="FWP7" s="59"/>
      <c r="FWQ7" s="59"/>
      <c r="FWR7" s="59"/>
      <c r="FWS7" s="59"/>
      <c r="FWT7" s="59"/>
      <c r="FWU7" s="59"/>
      <c r="FWV7" s="59"/>
      <c r="FWW7" s="59"/>
      <c r="FWX7" s="59"/>
      <c r="FWY7" s="59"/>
      <c r="FWZ7" s="59"/>
      <c r="FXA7" s="59"/>
      <c r="FXB7" s="59"/>
      <c r="FXC7" s="59"/>
      <c r="FXD7" s="59"/>
      <c r="FXE7" s="59"/>
      <c r="FXF7" s="59"/>
      <c r="FXG7" s="59"/>
      <c r="FXH7" s="59"/>
      <c r="FXI7" s="59"/>
      <c r="FXJ7" s="59"/>
      <c r="FXK7" s="59"/>
      <c r="FXL7" s="59"/>
      <c r="FXM7" s="59"/>
      <c r="FXN7" s="59"/>
      <c r="FXO7" s="59"/>
      <c r="FXP7" s="59"/>
      <c r="FXQ7" s="59"/>
      <c r="FXR7" s="59"/>
      <c r="FXS7" s="59"/>
      <c r="FXT7" s="59"/>
      <c r="FXU7" s="59"/>
      <c r="FXV7" s="59"/>
      <c r="FXW7" s="59"/>
      <c r="FXX7" s="59"/>
      <c r="FXY7" s="59"/>
      <c r="FXZ7" s="59"/>
      <c r="FYA7" s="59"/>
      <c r="FYB7" s="59"/>
      <c r="FYC7" s="59"/>
      <c r="FYD7" s="59"/>
      <c r="FYE7" s="59"/>
      <c r="FYF7" s="59"/>
      <c r="FYG7" s="59"/>
      <c r="FYH7" s="59"/>
      <c r="FYI7" s="59"/>
      <c r="FYJ7" s="59"/>
      <c r="FYK7" s="59"/>
      <c r="FYL7" s="59"/>
      <c r="FYM7" s="59"/>
      <c r="FYN7" s="59"/>
      <c r="FYO7" s="59"/>
      <c r="FYP7" s="59"/>
      <c r="FYQ7" s="59"/>
      <c r="FYR7" s="59"/>
      <c r="FYS7" s="59"/>
      <c r="FYT7" s="59"/>
      <c r="FYU7" s="59"/>
      <c r="FYV7" s="59"/>
      <c r="FYW7" s="59"/>
      <c r="FYX7" s="59"/>
      <c r="FYY7" s="59"/>
      <c r="FYZ7" s="59"/>
      <c r="FZA7" s="59"/>
      <c r="FZB7" s="59"/>
      <c r="FZC7" s="59"/>
      <c r="FZD7" s="59"/>
      <c r="FZE7" s="59"/>
      <c r="FZF7" s="59"/>
      <c r="FZG7" s="59"/>
      <c r="FZH7" s="59"/>
      <c r="FZI7" s="59"/>
      <c r="FZJ7" s="59"/>
      <c r="FZK7" s="59"/>
      <c r="FZL7" s="59"/>
      <c r="FZM7" s="59"/>
      <c r="FZN7" s="59"/>
      <c r="FZO7" s="59"/>
      <c r="FZP7" s="59"/>
      <c r="FZQ7" s="59"/>
      <c r="FZR7" s="59"/>
      <c r="FZS7" s="59"/>
      <c r="FZT7" s="59"/>
      <c r="FZU7" s="59"/>
      <c r="FZV7" s="59"/>
      <c r="FZW7" s="59"/>
      <c r="FZX7" s="59"/>
      <c r="FZY7" s="59"/>
      <c r="FZZ7" s="59"/>
      <c r="GAA7" s="59"/>
      <c r="GAB7" s="59"/>
      <c r="GAC7" s="59"/>
      <c r="GAD7" s="59"/>
      <c r="GAE7" s="59"/>
      <c r="GAF7" s="59"/>
      <c r="GAG7" s="59"/>
      <c r="GAH7" s="59"/>
      <c r="GAI7" s="59"/>
      <c r="GAJ7" s="59"/>
      <c r="GAK7" s="59"/>
      <c r="GAL7" s="59"/>
      <c r="GAM7" s="59"/>
      <c r="GAN7" s="59"/>
      <c r="GAO7" s="59"/>
      <c r="GAP7" s="59"/>
      <c r="GAQ7" s="59"/>
      <c r="GAR7" s="59"/>
      <c r="GAS7" s="59"/>
      <c r="GAT7" s="59"/>
      <c r="GAU7" s="59"/>
      <c r="GAV7" s="59"/>
      <c r="GAW7" s="59"/>
      <c r="GAX7" s="59"/>
      <c r="GAY7" s="59"/>
      <c r="GAZ7" s="59"/>
      <c r="GBA7" s="59"/>
      <c r="GBB7" s="59"/>
      <c r="GBC7" s="59"/>
      <c r="GBD7" s="59"/>
      <c r="GBE7" s="59"/>
      <c r="GBF7" s="59"/>
      <c r="GBG7" s="59"/>
      <c r="GBH7" s="59"/>
      <c r="GBI7" s="59"/>
      <c r="GBJ7" s="59"/>
      <c r="GBK7" s="59"/>
      <c r="GBL7" s="59"/>
      <c r="GBM7" s="59"/>
      <c r="GBN7" s="59"/>
      <c r="GBO7" s="59"/>
      <c r="GBP7" s="59"/>
      <c r="GBQ7" s="59"/>
      <c r="GBR7" s="59"/>
      <c r="GBS7" s="59"/>
      <c r="GBT7" s="59"/>
      <c r="GBU7" s="59"/>
      <c r="GBV7" s="59"/>
      <c r="GBW7" s="59"/>
      <c r="GBX7" s="59"/>
      <c r="GBY7" s="59"/>
      <c r="GBZ7" s="59"/>
      <c r="GCA7" s="59"/>
      <c r="GCB7" s="59"/>
      <c r="GCC7" s="59"/>
      <c r="GCD7" s="59"/>
      <c r="GCE7" s="59"/>
      <c r="GCF7" s="59"/>
      <c r="GCG7" s="59"/>
      <c r="GCH7" s="59"/>
      <c r="GCI7" s="59"/>
      <c r="GCJ7" s="59"/>
      <c r="GCK7" s="59"/>
      <c r="GCL7" s="59"/>
      <c r="GCM7" s="59"/>
      <c r="GCN7" s="59"/>
      <c r="GCO7" s="59"/>
      <c r="GCP7" s="59"/>
      <c r="GCQ7" s="59"/>
      <c r="GCR7" s="59"/>
      <c r="GCS7" s="59"/>
      <c r="GCT7" s="59"/>
      <c r="GCU7" s="59"/>
      <c r="GCV7" s="59"/>
      <c r="GCW7" s="59"/>
      <c r="GCX7" s="59"/>
      <c r="GCY7" s="59"/>
      <c r="GCZ7" s="59"/>
      <c r="GDA7" s="59"/>
      <c r="GDB7" s="59"/>
      <c r="GDC7" s="59"/>
      <c r="GDD7" s="59"/>
      <c r="GDE7" s="59"/>
      <c r="GDF7" s="59"/>
      <c r="GDG7" s="59"/>
      <c r="GDH7" s="59"/>
      <c r="GDI7" s="59"/>
      <c r="GDJ7" s="59"/>
      <c r="GDK7" s="59"/>
      <c r="GDL7" s="59"/>
      <c r="GDM7" s="59"/>
      <c r="GDN7" s="59"/>
      <c r="GDO7" s="59"/>
      <c r="GDP7" s="59"/>
      <c r="GDQ7" s="59"/>
      <c r="GDR7" s="59"/>
      <c r="GDS7" s="59"/>
      <c r="GDT7" s="59"/>
      <c r="GDU7" s="59"/>
      <c r="GDV7" s="59"/>
      <c r="GDW7" s="59"/>
      <c r="GDX7" s="59"/>
      <c r="GDY7" s="59"/>
      <c r="GDZ7" s="59"/>
      <c r="GEA7" s="59"/>
      <c r="GEB7" s="59"/>
      <c r="GEC7" s="59"/>
      <c r="GED7" s="59"/>
      <c r="GEE7" s="59"/>
      <c r="GEF7" s="59"/>
      <c r="GEG7" s="59"/>
      <c r="GEH7" s="59"/>
      <c r="GEI7" s="59"/>
      <c r="GEJ7" s="59"/>
      <c r="GEK7" s="59"/>
      <c r="GEL7" s="59"/>
      <c r="GEM7" s="59"/>
      <c r="GEN7" s="59"/>
      <c r="GEO7" s="59"/>
      <c r="GEP7" s="59"/>
      <c r="GEQ7" s="59"/>
      <c r="GER7" s="59"/>
      <c r="GES7" s="59"/>
      <c r="GET7" s="59"/>
      <c r="GEU7" s="59"/>
      <c r="GEV7" s="59"/>
      <c r="GEW7" s="59"/>
      <c r="GEX7" s="59"/>
      <c r="GEY7" s="59"/>
      <c r="GEZ7" s="59"/>
      <c r="GFA7" s="59"/>
      <c r="GFB7" s="59"/>
      <c r="GFC7" s="59"/>
      <c r="GFD7" s="59"/>
      <c r="GFE7" s="59"/>
      <c r="GFF7" s="59"/>
      <c r="GFG7" s="59"/>
      <c r="GFH7" s="59"/>
      <c r="GFI7" s="59"/>
      <c r="GFJ7" s="59"/>
      <c r="GFK7" s="59"/>
      <c r="GFL7" s="59"/>
      <c r="GFM7" s="59"/>
      <c r="GFN7" s="59"/>
      <c r="GFO7" s="59"/>
      <c r="GFP7" s="59"/>
      <c r="GFQ7" s="59"/>
      <c r="GFR7" s="59"/>
      <c r="GFS7" s="59"/>
      <c r="GFT7" s="59"/>
      <c r="GFU7" s="59"/>
      <c r="GFV7" s="59"/>
      <c r="GFW7" s="59"/>
      <c r="GFX7" s="59"/>
      <c r="GFY7" s="59"/>
      <c r="GFZ7" s="59"/>
      <c r="GGA7" s="59"/>
      <c r="GGB7" s="59"/>
      <c r="GGC7" s="59"/>
      <c r="GGD7" s="59"/>
      <c r="GGE7" s="59"/>
      <c r="GGF7" s="59"/>
      <c r="GGG7" s="59"/>
      <c r="GGH7" s="59"/>
      <c r="GGI7" s="59"/>
      <c r="GGJ7" s="59"/>
      <c r="GGK7" s="59"/>
      <c r="GGL7" s="59"/>
      <c r="GGM7" s="59"/>
      <c r="GGN7" s="59"/>
      <c r="GGO7" s="59"/>
      <c r="GGP7" s="59"/>
      <c r="GGQ7" s="59"/>
      <c r="GGR7" s="59"/>
      <c r="GGS7" s="59"/>
      <c r="GGT7" s="59"/>
      <c r="GGU7" s="59"/>
      <c r="GGV7" s="59"/>
      <c r="GGW7" s="59"/>
      <c r="GGX7" s="59"/>
      <c r="GGY7" s="59"/>
      <c r="GGZ7" s="59"/>
      <c r="GHA7" s="59"/>
      <c r="GHB7" s="59"/>
      <c r="GHC7" s="59"/>
      <c r="GHD7" s="59"/>
      <c r="GHE7" s="59"/>
      <c r="GHF7" s="59"/>
      <c r="GHG7" s="59"/>
      <c r="GHH7" s="59"/>
      <c r="GHI7" s="59"/>
      <c r="GHJ7" s="59"/>
      <c r="GHK7" s="59"/>
      <c r="GHL7" s="59"/>
      <c r="GHM7" s="59"/>
      <c r="GHN7" s="59"/>
      <c r="GHO7" s="59"/>
      <c r="GHP7" s="59"/>
      <c r="GHQ7" s="59"/>
      <c r="GHR7" s="59"/>
      <c r="GHS7" s="59"/>
      <c r="GHT7" s="59"/>
      <c r="GHU7" s="59"/>
      <c r="GHV7" s="59"/>
      <c r="GHW7" s="59"/>
      <c r="GHX7" s="59"/>
      <c r="GHY7" s="59"/>
      <c r="GHZ7" s="59"/>
      <c r="GIA7" s="59"/>
      <c r="GIB7" s="59"/>
      <c r="GIC7" s="59"/>
      <c r="GID7" s="59"/>
      <c r="GIE7" s="59"/>
      <c r="GIF7" s="59"/>
      <c r="GIG7" s="59"/>
      <c r="GIH7" s="59"/>
      <c r="GII7" s="59"/>
      <c r="GIJ7" s="59"/>
      <c r="GIK7" s="59"/>
      <c r="GIL7" s="59"/>
      <c r="GIM7" s="59"/>
      <c r="GIN7" s="59"/>
      <c r="GIO7" s="59"/>
      <c r="GIP7" s="59"/>
      <c r="GIQ7" s="59"/>
      <c r="GIR7" s="59"/>
      <c r="GIS7" s="59"/>
      <c r="GIT7" s="59"/>
      <c r="GIU7" s="59"/>
      <c r="GIV7" s="59"/>
      <c r="GIW7" s="59"/>
      <c r="GIX7" s="59"/>
      <c r="GIY7" s="59"/>
      <c r="GIZ7" s="59"/>
      <c r="GJA7" s="59"/>
      <c r="GJB7" s="59"/>
      <c r="GJC7" s="59"/>
      <c r="GJD7" s="59"/>
      <c r="GJE7" s="59"/>
      <c r="GJF7" s="59"/>
      <c r="GJG7" s="59"/>
      <c r="GJH7" s="59"/>
      <c r="GJI7" s="59"/>
      <c r="GJJ7" s="59"/>
      <c r="GJK7" s="59"/>
      <c r="GJL7" s="59"/>
      <c r="GJM7" s="59"/>
      <c r="GJN7" s="59"/>
      <c r="GJO7" s="59"/>
      <c r="GJP7" s="59"/>
      <c r="GJQ7" s="59"/>
      <c r="GJR7" s="59"/>
      <c r="GJS7" s="59"/>
      <c r="GJT7" s="59"/>
      <c r="GJU7" s="59"/>
      <c r="GJV7" s="59"/>
      <c r="GJW7" s="59"/>
      <c r="GJX7" s="59"/>
      <c r="GJY7" s="59"/>
      <c r="GJZ7" s="59"/>
      <c r="GKA7" s="59"/>
      <c r="GKB7" s="59"/>
      <c r="GKC7" s="59"/>
      <c r="GKD7" s="59"/>
      <c r="GKE7" s="59"/>
      <c r="GKF7" s="59"/>
      <c r="GKG7" s="59"/>
      <c r="GKH7" s="59"/>
      <c r="GKI7" s="59"/>
      <c r="GKJ7" s="59"/>
      <c r="GKK7" s="59"/>
      <c r="GKL7" s="59"/>
      <c r="GKM7" s="59"/>
      <c r="GKN7" s="59"/>
      <c r="GKO7" s="59"/>
      <c r="GKP7" s="59"/>
      <c r="GKQ7" s="59"/>
      <c r="GKR7" s="59"/>
      <c r="GKS7" s="59"/>
      <c r="GKT7" s="59"/>
      <c r="GKU7" s="59"/>
      <c r="GKV7" s="59"/>
      <c r="GKW7" s="59"/>
      <c r="GKX7" s="59"/>
      <c r="GKY7" s="59"/>
      <c r="GKZ7" s="59"/>
      <c r="GLA7" s="59"/>
      <c r="GLB7" s="59"/>
      <c r="GLC7" s="59"/>
      <c r="GLD7" s="59"/>
      <c r="GLE7" s="59"/>
      <c r="GLF7" s="59"/>
      <c r="GLG7" s="59"/>
      <c r="GLH7" s="59"/>
      <c r="GLI7" s="59"/>
      <c r="GLJ7" s="59"/>
      <c r="GLK7" s="59"/>
      <c r="GLL7" s="59"/>
      <c r="GLM7" s="59"/>
      <c r="GLN7" s="59"/>
      <c r="GLO7" s="59"/>
      <c r="GLP7" s="59"/>
      <c r="GLQ7" s="59"/>
      <c r="GLR7" s="59"/>
      <c r="GLS7" s="59"/>
      <c r="GLT7" s="59"/>
      <c r="GLU7" s="59"/>
      <c r="GLV7" s="59"/>
      <c r="GLW7" s="59"/>
      <c r="GLX7" s="59"/>
      <c r="GLY7" s="59"/>
      <c r="GLZ7" s="59"/>
      <c r="GMA7" s="59"/>
      <c r="GMB7" s="59"/>
      <c r="GMC7" s="59"/>
      <c r="GMD7" s="59"/>
      <c r="GME7" s="59"/>
      <c r="GMF7" s="59"/>
      <c r="GMG7" s="59"/>
      <c r="GMH7" s="59"/>
      <c r="GMI7" s="59"/>
      <c r="GMJ7" s="59"/>
      <c r="GMK7" s="59"/>
      <c r="GML7" s="59"/>
      <c r="GMM7" s="59"/>
      <c r="GMN7" s="59"/>
      <c r="GMO7" s="59"/>
      <c r="GMP7" s="59"/>
      <c r="GMQ7" s="59"/>
      <c r="GMR7" s="59"/>
      <c r="GMS7" s="59"/>
      <c r="GMT7" s="59"/>
      <c r="GMU7" s="59"/>
      <c r="GMV7" s="59"/>
      <c r="GMW7" s="59"/>
      <c r="GMX7" s="59"/>
      <c r="GMY7" s="59"/>
      <c r="GMZ7" s="59"/>
      <c r="GNA7" s="59"/>
      <c r="GNB7" s="59"/>
      <c r="GNC7" s="59"/>
      <c r="GND7" s="59"/>
      <c r="GNE7" s="59"/>
      <c r="GNF7" s="59"/>
      <c r="GNG7" s="59"/>
      <c r="GNH7" s="59"/>
      <c r="GNI7" s="59"/>
      <c r="GNJ7" s="59"/>
      <c r="GNK7" s="59"/>
      <c r="GNL7" s="59"/>
      <c r="GNM7" s="59"/>
      <c r="GNN7" s="59"/>
      <c r="GNO7" s="59"/>
      <c r="GNP7" s="59"/>
      <c r="GNQ7" s="59"/>
      <c r="GNR7" s="59"/>
      <c r="GNS7" s="59"/>
      <c r="GNT7" s="59"/>
      <c r="GNU7" s="59"/>
      <c r="GNV7" s="59"/>
      <c r="GNW7" s="59"/>
      <c r="GNX7" s="59"/>
      <c r="GNY7" s="59"/>
      <c r="GNZ7" s="59"/>
      <c r="GOA7" s="59"/>
      <c r="GOB7" s="59"/>
      <c r="GOC7" s="59"/>
      <c r="GOD7" s="59"/>
      <c r="GOE7" s="59"/>
      <c r="GOF7" s="59"/>
      <c r="GOG7" s="59"/>
      <c r="GOH7" s="59"/>
      <c r="GOI7" s="59"/>
      <c r="GOJ7" s="59"/>
      <c r="GOK7" s="59"/>
      <c r="GOL7" s="59"/>
      <c r="GOM7" s="59"/>
      <c r="GON7" s="59"/>
      <c r="GOO7" s="59"/>
      <c r="GOP7" s="59"/>
      <c r="GOQ7" s="59"/>
      <c r="GOR7" s="59"/>
      <c r="GOS7" s="59"/>
      <c r="GOT7" s="59"/>
      <c r="GOU7" s="59"/>
      <c r="GOV7" s="59"/>
      <c r="GOW7" s="59"/>
      <c r="GOX7" s="59"/>
      <c r="GOY7" s="59"/>
      <c r="GOZ7" s="59"/>
      <c r="GPA7" s="59"/>
      <c r="GPB7" s="59"/>
      <c r="GPC7" s="59"/>
      <c r="GPD7" s="59"/>
      <c r="GPE7" s="59"/>
      <c r="GPF7" s="59"/>
      <c r="GPG7" s="59"/>
      <c r="GPH7" s="59"/>
      <c r="GPI7" s="59"/>
      <c r="GPJ7" s="59"/>
      <c r="GPK7" s="59"/>
      <c r="GPL7" s="59"/>
      <c r="GPM7" s="59"/>
      <c r="GPN7" s="59"/>
      <c r="GPO7" s="59"/>
      <c r="GPP7" s="59"/>
      <c r="GPQ7" s="59"/>
      <c r="GPR7" s="59"/>
      <c r="GPS7" s="59"/>
      <c r="GPT7" s="59"/>
      <c r="GPU7" s="59"/>
      <c r="GPV7" s="59"/>
      <c r="GPW7" s="59"/>
      <c r="GPX7" s="59"/>
      <c r="GPY7" s="59"/>
      <c r="GPZ7" s="59"/>
      <c r="GQA7" s="59"/>
      <c r="GQB7" s="59"/>
      <c r="GQC7" s="59"/>
      <c r="GQD7" s="59"/>
      <c r="GQE7" s="59"/>
      <c r="GQF7" s="59"/>
      <c r="GQG7" s="59"/>
      <c r="GQH7" s="59"/>
      <c r="GQI7" s="59"/>
      <c r="GQJ7" s="59"/>
      <c r="GQK7" s="59"/>
      <c r="GQL7" s="59"/>
      <c r="GQM7" s="59"/>
      <c r="GQN7" s="59"/>
      <c r="GQO7" s="59"/>
      <c r="GQP7" s="59"/>
      <c r="GQQ7" s="59"/>
      <c r="GQR7" s="59"/>
      <c r="GQS7" s="59"/>
      <c r="GQT7" s="59"/>
      <c r="GQU7" s="59"/>
      <c r="GQV7" s="59"/>
      <c r="GQW7" s="59"/>
      <c r="GQX7" s="59"/>
      <c r="GQY7" s="59"/>
      <c r="GQZ7" s="59"/>
      <c r="GRA7" s="59"/>
      <c r="GRB7" s="59"/>
      <c r="GRC7" s="59"/>
      <c r="GRD7" s="59"/>
      <c r="GRE7" s="59"/>
      <c r="GRF7" s="59"/>
      <c r="GRG7" s="59"/>
      <c r="GRH7" s="59"/>
      <c r="GRI7" s="59"/>
      <c r="GRJ7" s="59"/>
      <c r="GRK7" s="59"/>
      <c r="GRL7" s="59"/>
      <c r="GRM7" s="59"/>
      <c r="GRN7" s="59"/>
      <c r="GRO7" s="59"/>
      <c r="GRP7" s="59"/>
      <c r="GRQ7" s="59"/>
      <c r="GRR7" s="59"/>
      <c r="GRS7" s="59"/>
      <c r="GRT7" s="59"/>
      <c r="GRU7" s="59"/>
      <c r="GRV7" s="59"/>
      <c r="GRW7" s="59"/>
      <c r="GRX7" s="59"/>
      <c r="GRY7" s="59"/>
      <c r="GRZ7" s="59"/>
      <c r="GSA7" s="59"/>
      <c r="GSB7" s="59"/>
      <c r="GSC7" s="59"/>
      <c r="GSD7" s="59"/>
      <c r="GSE7" s="59"/>
      <c r="GSF7" s="59"/>
      <c r="GSG7" s="59"/>
      <c r="GSH7" s="59"/>
      <c r="GSI7" s="59"/>
      <c r="GSJ7" s="59"/>
      <c r="GSK7" s="59"/>
      <c r="GSL7" s="59"/>
      <c r="GSM7" s="59"/>
      <c r="GSN7" s="59"/>
      <c r="GSO7" s="59"/>
      <c r="GSP7" s="59"/>
      <c r="GSQ7" s="59"/>
      <c r="GSR7" s="59"/>
      <c r="GSS7" s="59"/>
      <c r="GST7" s="59"/>
      <c r="GSU7" s="59"/>
      <c r="GSV7" s="59"/>
      <c r="GSW7" s="59"/>
      <c r="GSX7" s="59"/>
      <c r="GSY7" s="59"/>
      <c r="GSZ7" s="59"/>
      <c r="GTA7" s="59"/>
      <c r="GTB7" s="59"/>
      <c r="GTC7" s="59"/>
      <c r="GTD7" s="59"/>
      <c r="GTE7" s="59"/>
      <c r="GTF7" s="59"/>
      <c r="GTG7" s="59"/>
      <c r="GTH7" s="59"/>
      <c r="GTI7" s="59"/>
      <c r="GTJ7" s="59"/>
      <c r="GTK7" s="59"/>
      <c r="GTL7" s="59"/>
      <c r="GTM7" s="59"/>
      <c r="GTN7" s="59"/>
      <c r="GTO7" s="59"/>
      <c r="GTP7" s="59"/>
      <c r="GTQ7" s="59"/>
      <c r="GTR7" s="59"/>
      <c r="GTS7" s="59"/>
      <c r="GTT7" s="59"/>
      <c r="GTU7" s="59"/>
      <c r="GTV7" s="59"/>
      <c r="GTW7" s="59"/>
      <c r="GTX7" s="59"/>
      <c r="GTY7" s="59"/>
      <c r="GTZ7" s="59"/>
      <c r="GUA7" s="59"/>
      <c r="GUB7" s="59"/>
      <c r="GUC7" s="59"/>
      <c r="GUD7" s="59"/>
      <c r="GUE7" s="59"/>
      <c r="GUF7" s="59"/>
      <c r="GUG7" s="59"/>
      <c r="GUH7" s="59"/>
      <c r="GUI7" s="59"/>
      <c r="GUJ7" s="59"/>
      <c r="GUK7" s="59"/>
      <c r="GUL7" s="59"/>
      <c r="GUM7" s="59"/>
      <c r="GUN7" s="59"/>
      <c r="GUO7" s="59"/>
      <c r="GUP7" s="59"/>
      <c r="GUQ7" s="59"/>
      <c r="GUR7" s="59"/>
      <c r="GUS7" s="59"/>
      <c r="GUT7" s="59"/>
      <c r="GUU7" s="59"/>
      <c r="GUV7" s="59"/>
      <c r="GUW7" s="59"/>
      <c r="GUX7" s="59"/>
      <c r="GUY7" s="59"/>
      <c r="GUZ7" s="59"/>
      <c r="GVA7" s="59"/>
      <c r="GVB7" s="59"/>
      <c r="GVC7" s="59"/>
      <c r="GVD7" s="59"/>
      <c r="GVE7" s="59"/>
      <c r="GVF7" s="59"/>
      <c r="GVG7" s="59"/>
      <c r="GVH7" s="59"/>
      <c r="GVI7" s="59"/>
      <c r="GVJ7" s="59"/>
      <c r="GVK7" s="59"/>
      <c r="GVL7" s="59"/>
      <c r="GVM7" s="59"/>
      <c r="GVN7" s="59"/>
      <c r="GVO7" s="59"/>
      <c r="GVP7" s="59"/>
      <c r="GVQ7" s="59"/>
      <c r="GVR7" s="59"/>
      <c r="GVS7" s="59"/>
      <c r="GVT7" s="59"/>
      <c r="GVU7" s="59"/>
      <c r="GVV7" s="59"/>
      <c r="GVW7" s="59"/>
      <c r="GVX7" s="59"/>
      <c r="GVY7" s="59"/>
      <c r="GVZ7" s="59"/>
      <c r="GWA7" s="59"/>
      <c r="GWB7" s="59"/>
      <c r="GWC7" s="59"/>
      <c r="GWD7" s="59"/>
      <c r="GWE7" s="59"/>
      <c r="GWF7" s="59"/>
      <c r="GWG7" s="59"/>
      <c r="GWH7" s="59"/>
      <c r="GWI7" s="59"/>
      <c r="GWJ7" s="59"/>
      <c r="GWK7" s="59"/>
      <c r="GWL7" s="59"/>
      <c r="GWM7" s="59"/>
      <c r="GWN7" s="59"/>
      <c r="GWO7" s="59"/>
      <c r="GWP7" s="59"/>
      <c r="GWQ7" s="59"/>
      <c r="GWR7" s="59"/>
      <c r="GWS7" s="59"/>
      <c r="GWT7" s="59"/>
      <c r="GWU7" s="59"/>
      <c r="GWV7" s="59"/>
      <c r="GWW7" s="59"/>
      <c r="GWX7" s="59"/>
      <c r="GWY7" s="59"/>
      <c r="GWZ7" s="59"/>
      <c r="GXA7" s="59"/>
      <c r="GXB7" s="59"/>
      <c r="GXC7" s="59"/>
      <c r="GXD7" s="59"/>
      <c r="GXE7" s="59"/>
      <c r="GXF7" s="59"/>
      <c r="GXG7" s="59"/>
      <c r="GXH7" s="59"/>
      <c r="GXI7" s="59"/>
      <c r="GXJ7" s="59"/>
      <c r="GXK7" s="59"/>
      <c r="GXL7" s="59"/>
      <c r="GXM7" s="59"/>
      <c r="GXN7" s="59"/>
      <c r="GXO7" s="59"/>
      <c r="GXP7" s="59"/>
      <c r="GXQ7" s="59"/>
      <c r="GXR7" s="59"/>
      <c r="GXS7" s="59"/>
      <c r="GXT7" s="59"/>
      <c r="GXU7" s="59"/>
      <c r="GXV7" s="59"/>
      <c r="GXW7" s="59"/>
      <c r="GXX7" s="59"/>
      <c r="GXY7" s="59"/>
      <c r="GXZ7" s="59"/>
      <c r="GYA7" s="59"/>
      <c r="GYB7" s="59"/>
      <c r="GYC7" s="59"/>
      <c r="GYD7" s="59"/>
      <c r="GYE7" s="59"/>
      <c r="GYF7" s="59"/>
      <c r="GYG7" s="59"/>
      <c r="GYH7" s="59"/>
      <c r="GYI7" s="59"/>
      <c r="GYJ7" s="59"/>
      <c r="GYK7" s="59"/>
      <c r="GYL7" s="59"/>
      <c r="GYM7" s="59"/>
      <c r="GYN7" s="59"/>
      <c r="GYO7" s="59"/>
      <c r="GYP7" s="59"/>
      <c r="GYQ7" s="59"/>
      <c r="GYR7" s="59"/>
      <c r="GYS7" s="59"/>
      <c r="GYT7" s="59"/>
      <c r="GYU7" s="59"/>
      <c r="GYV7" s="59"/>
      <c r="GYW7" s="59"/>
      <c r="GYX7" s="59"/>
      <c r="GYY7" s="59"/>
      <c r="GYZ7" s="59"/>
      <c r="GZA7" s="59"/>
      <c r="GZB7" s="59"/>
      <c r="GZC7" s="59"/>
      <c r="GZD7" s="59"/>
      <c r="GZE7" s="59"/>
      <c r="GZF7" s="59"/>
      <c r="GZG7" s="59"/>
      <c r="GZH7" s="59"/>
      <c r="GZI7" s="59"/>
      <c r="GZJ7" s="59"/>
      <c r="GZK7" s="59"/>
      <c r="GZL7" s="59"/>
      <c r="GZM7" s="59"/>
      <c r="GZN7" s="59"/>
      <c r="GZO7" s="59"/>
      <c r="GZP7" s="59"/>
      <c r="GZQ7" s="59"/>
      <c r="GZR7" s="59"/>
      <c r="GZS7" s="59"/>
      <c r="GZT7" s="59"/>
      <c r="GZU7" s="59"/>
      <c r="GZV7" s="59"/>
      <c r="GZW7" s="59"/>
      <c r="GZX7" s="59"/>
      <c r="GZY7" s="59"/>
      <c r="GZZ7" s="59"/>
      <c r="HAA7" s="59"/>
      <c r="HAB7" s="59"/>
      <c r="HAC7" s="59"/>
      <c r="HAD7" s="59"/>
      <c r="HAE7" s="59"/>
      <c r="HAF7" s="59"/>
      <c r="HAG7" s="59"/>
      <c r="HAH7" s="59"/>
      <c r="HAI7" s="59"/>
      <c r="HAJ7" s="59"/>
      <c r="HAK7" s="59"/>
      <c r="HAL7" s="59"/>
      <c r="HAM7" s="59"/>
      <c r="HAN7" s="59"/>
      <c r="HAO7" s="59"/>
      <c r="HAP7" s="59"/>
      <c r="HAQ7" s="59"/>
      <c r="HAR7" s="59"/>
      <c r="HAS7" s="59"/>
      <c r="HAT7" s="59"/>
      <c r="HAU7" s="59"/>
      <c r="HAV7" s="59"/>
      <c r="HAW7" s="59"/>
      <c r="HAX7" s="59"/>
      <c r="HAY7" s="59"/>
      <c r="HAZ7" s="59"/>
      <c r="HBA7" s="59"/>
      <c r="HBB7" s="59"/>
      <c r="HBC7" s="59"/>
      <c r="HBD7" s="59"/>
      <c r="HBE7" s="59"/>
      <c r="HBF7" s="59"/>
      <c r="HBG7" s="59"/>
      <c r="HBH7" s="59"/>
      <c r="HBI7" s="59"/>
      <c r="HBJ7" s="59"/>
      <c r="HBK7" s="59"/>
      <c r="HBL7" s="59"/>
      <c r="HBM7" s="59"/>
      <c r="HBN7" s="59"/>
      <c r="HBO7" s="59"/>
      <c r="HBP7" s="59"/>
      <c r="HBQ7" s="59"/>
      <c r="HBR7" s="59"/>
      <c r="HBS7" s="59"/>
      <c r="HBT7" s="59"/>
      <c r="HBU7" s="59"/>
      <c r="HBV7" s="59"/>
      <c r="HBW7" s="59"/>
      <c r="HBX7" s="59"/>
      <c r="HBY7" s="59"/>
      <c r="HBZ7" s="59"/>
      <c r="HCA7" s="59"/>
      <c r="HCB7" s="59"/>
      <c r="HCC7" s="59"/>
      <c r="HCD7" s="59"/>
      <c r="HCE7" s="59"/>
      <c r="HCF7" s="59"/>
      <c r="HCG7" s="59"/>
      <c r="HCH7" s="59"/>
      <c r="HCI7" s="59"/>
      <c r="HCJ7" s="59"/>
      <c r="HCK7" s="59"/>
      <c r="HCL7" s="59"/>
      <c r="HCM7" s="59"/>
      <c r="HCN7" s="59"/>
      <c r="HCO7" s="59"/>
      <c r="HCP7" s="59"/>
      <c r="HCQ7" s="59"/>
      <c r="HCR7" s="59"/>
      <c r="HCS7" s="59"/>
      <c r="HCT7" s="59"/>
      <c r="HCU7" s="59"/>
      <c r="HCV7" s="59"/>
      <c r="HCW7" s="59"/>
      <c r="HCX7" s="59"/>
      <c r="HCY7" s="59"/>
      <c r="HCZ7" s="59"/>
      <c r="HDA7" s="59"/>
      <c r="HDB7" s="59"/>
      <c r="HDC7" s="59"/>
      <c r="HDD7" s="59"/>
      <c r="HDE7" s="59"/>
      <c r="HDF7" s="59"/>
      <c r="HDG7" s="59"/>
      <c r="HDH7" s="59"/>
      <c r="HDI7" s="59"/>
      <c r="HDJ7" s="59"/>
      <c r="HDK7" s="59"/>
      <c r="HDL7" s="59"/>
      <c r="HDM7" s="59"/>
      <c r="HDN7" s="59"/>
      <c r="HDO7" s="59"/>
      <c r="HDP7" s="59"/>
      <c r="HDQ7" s="59"/>
      <c r="HDR7" s="59"/>
      <c r="HDS7" s="59"/>
      <c r="HDT7" s="59"/>
      <c r="HDU7" s="59"/>
      <c r="HDV7" s="59"/>
      <c r="HDW7" s="59"/>
      <c r="HDX7" s="59"/>
      <c r="HDY7" s="59"/>
      <c r="HDZ7" s="59"/>
      <c r="HEA7" s="59"/>
      <c r="HEB7" s="59"/>
      <c r="HEC7" s="59"/>
      <c r="HED7" s="59"/>
      <c r="HEE7" s="59"/>
      <c r="HEF7" s="59"/>
      <c r="HEG7" s="59"/>
      <c r="HEH7" s="59"/>
      <c r="HEI7" s="59"/>
      <c r="HEJ7" s="59"/>
      <c r="HEK7" s="59"/>
      <c r="HEL7" s="59"/>
      <c r="HEM7" s="59"/>
      <c r="HEN7" s="59"/>
      <c r="HEO7" s="59"/>
      <c r="HEP7" s="59"/>
      <c r="HEQ7" s="59"/>
      <c r="HER7" s="59"/>
      <c r="HES7" s="59"/>
      <c r="HET7" s="59"/>
      <c r="HEU7" s="59"/>
      <c r="HEV7" s="59"/>
      <c r="HEW7" s="59"/>
      <c r="HEX7" s="59"/>
      <c r="HEY7" s="59"/>
      <c r="HEZ7" s="59"/>
      <c r="HFA7" s="59"/>
      <c r="HFB7" s="59"/>
      <c r="HFC7" s="59"/>
      <c r="HFD7" s="59"/>
      <c r="HFE7" s="59"/>
      <c r="HFF7" s="59"/>
      <c r="HFG7" s="59"/>
      <c r="HFH7" s="59"/>
      <c r="HFI7" s="59"/>
      <c r="HFJ7" s="59"/>
      <c r="HFK7" s="59"/>
      <c r="HFL7" s="59"/>
      <c r="HFM7" s="59"/>
      <c r="HFN7" s="59"/>
      <c r="HFO7" s="59"/>
      <c r="HFP7" s="59"/>
      <c r="HFQ7" s="59"/>
      <c r="HFR7" s="59"/>
      <c r="HFS7" s="59"/>
      <c r="HFT7" s="59"/>
      <c r="HFU7" s="59"/>
      <c r="HFV7" s="59"/>
      <c r="HFW7" s="59"/>
      <c r="HFX7" s="59"/>
      <c r="HFY7" s="59"/>
      <c r="HFZ7" s="59"/>
      <c r="HGA7" s="59"/>
      <c r="HGB7" s="59"/>
      <c r="HGC7" s="59"/>
      <c r="HGD7" s="59"/>
      <c r="HGE7" s="59"/>
      <c r="HGF7" s="59"/>
      <c r="HGG7" s="59"/>
      <c r="HGH7" s="59"/>
      <c r="HGI7" s="59"/>
      <c r="HGJ7" s="59"/>
      <c r="HGK7" s="59"/>
      <c r="HGL7" s="59"/>
      <c r="HGM7" s="59"/>
      <c r="HGN7" s="59"/>
      <c r="HGO7" s="59"/>
      <c r="HGP7" s="59"/>
      <c r="HGQ7" s="59"/>
      <c r="HGR7" s="59"/>
      <c r="HGS7" s="59"/>
      <c r="HGT7" s="59"/>
      <c r="HGU7" s="59"/>
      <c r="HGV7" s="59"/>
      <c r="HGW7" s="59"/>
      <c r="HGX7" s="59"/>
      <c r="HGY7" s="59"/>
      <c r="HGZ7" s="59"/>
      <c r="HHA7" s="59"/>
      <c r="HHB7" s="59"/>
      <c r="HHC7" s="59"/>
      <c r="HHD7" s="59"/>
      <c r="HHE7" s="59"/>
      <c r="HHF7" s="59"/>
      <c r="HHG7" s="59"/>
      <c r="HHH7" s="59"/>
      <c r="HHI7" s="59"/>
      <c r="HHJ7" s="59"/>
      <c r="HHK7" s="59"/>
      <c r="HHL7" s="59"/>
      <c r="HHM7" s="59"/>
      <c r="HHN7" s="59"/>
      <c r="HHO7" s="59"/>
      <c r="HHP7" s="59"/>
      <c r="HHQ7" s="59"/>
      <c r="HHR7" s="59"/>
      <c r="HHS7" s="59"/>
      <c r="HHT7" s="59"/>
      <c r="HHU7" s="59"/>
      <c r="HHV7" s="59"/>
      <c r="HHW7" s="59"/>
      <c r="HHX7" s="59"/>
      <c r="HHY7" s="59"/>
      <c r="HHZ7" s="59"/>
      <c r="HIA7" s="59"/>
      <c r="HIB7" s="59"/>
      <c r="HIC7" s="59"/>
      <c r="HID7" s="59"/>
      <c r="HIE7" s="59"/>
      <c r="HIF7" s="59"/>
      <c r="HIG7" s="59"/>
      <c r="HIH7" s="59"/>
      <c r="HII7" s="59"/>
      <c r="HIJ7" s="59"/>
      <c r="HIK7" s="59"/>
      <c r="HIL7" s="59"/>
      <c r="HIM7" s="59"/>
      <c r="HIN7" s="59"/>
      <c r="HIO7" s="59"/>
      <c r="HIP7" s="59"/>
      <c r="HIQ7" s="59"/>
      <c r="HIR7" s="59"/>
      <c r="HIS7" s="59"/>
      <c r="HIT7" s="59"/>
      <c r="HIU7" s="59"/>
      <c r="HIV7" s="59"/>
      <c r="HIW7" s="59"/>
      <c r="HIX7" s="59"/>
      <c r="HIY7" s="59"/>
      <c r="HIZ7" s="59"/>
      <c r="HJA7" s="59"/>
      <c r="HJB7" s="59"/>
      <c r="HJC7" s="59"/>
      <c r="HJD7" s="59"/>
      <c r="HJE7" s="59"/>
      <c r="HJF7" s="59"/>
      <c r="HJG7" s="59"/>
      <c r="HJH7" s="59"/>
      <c r="HJI7" s="59"/>
      <c r="HJJ7" s="59"/>
      <c r="HJK7" s="59"/>
      <c r="HJL7" s="59"/>
      <c r="HJM7" s="59"/>
      <c r="HJN7" s="59"/>
      <c r="HJO7" s="59"/>
      <c r="HJP7" s="59"/>
      <c r="HJQ7" s="59"/>
      <c r="HJR7" s="59"/>
      <c r="HJS7" s="59"/>
      <c r="HJT7" s="59"/>
      <c r="HJU7" s="59"/>
      <c r="HJV7" s="59"/>
      <c r="HJW7" s="59"/>
      <c r="HJX7" s="59"/>
      <c r="HJY7" s="59"/>
      <c r="HJZ7" s="59"/>
      <c r="HKA7" s="59"/>
      <c r="HKB7" s="59"/>
      <c r="HKC7" s="59"/>
      <c r="HKD7" s="59"/>
      <c r="HKE7" s="59"/>
      <c r="HKF7" s="59"/>
      <c r="HKG7" s="59"/>
      <c r="HKH7" s="59"/>
      <c r="HKI7" s="59"/>
      <c r="HKJ7" s="59"/>
      <c r="HKK7" s="59"/>
      <c r="HKL7" s="59"/>
      <c r="HKM7" s="59"/>
      <c r="HKN7" s="59"/>
      <c r="HKO7" s="59"/>
      <c r="HKP7" s="59"/>
      <c r="HKQ7" s="59"/>
      <c r="HKR7" s="59"/>
      <c r="HKS7" s="59"/>
      <c r="HKT7" s="59"/>
      <c r="HKU7" s="59"/>
      <c r="HKV7" s="59"/>
      <c r="HKW7" s="59"/>
      <c r="HKX7" s="59"/>
      <c r="HKY7" s="59"/>
      <c r="HKZ7" s="59"/>
      <c r="HLA7" s="59"/>
      <c r="HLB7" s="59"/>
      <c r="HLC7" s="59"/>
      <c r="HLD7" s="59"/>
      <c r="HLE7" s="59"/>
      <c r="HLF7" s="59"/>
      <c r="HLG7" s="59"/>
      <c r="HLH7" s="59"/>
      <c r="HLI7" s="59"/>
      <c r="HLJ7" s="59"/>
      <c r="HLK7" s="59"/>
      <c r="HLL7" s="59"/>
      <c r="HLM7" s="59"/>
      <c r="HLN7" s="59"/>
      <c r="HLO7" s="59"/>
      <c r="HLP7" s="59"/>
      <c r="HLQ7" s="59"/>
      <c r="HLR7" s="59"/>
      <c r="HLS7" s="59"/>
      <c r="HLT7" s="59"/>
      <c r="HLU7" s="59"/>
      <c r="HLV7" s="59"/>
      <c r="HLW7" s="59"/>
      <c r="HLX7" s="59"/>
      <c r="HLY7" s="59"/>
      <c r="HLZ7" s="59"/>
      <c r="HMA7" s="59"/>
      <c r="HMB7" s="59"/>
      <c r="HMC7" s="59"/>
      <c r="HMD7" s="59"/>
      <c r="HME7" s="59"/>
      <c r="HMF7" s="59"/>
      <c r="HMG7" s="59"/>
      <c r="HMH7" s="59"/>
      <c r="HMI7" s="59"/>
      <c r="HMJ7" s="59"/>
      <c r="HMK7" s="59"/>
      <c r="HML7" s="59"/>
      <c r="HMM7" s="59"/>
      <c r="HMN7" s="59"/>
      <c r="HMO7" s="59"/>
      <c r="HMP7" s="59"/>
      <c r="HMQ7" s="59"/>
      <c r="HMR7" s="59"/>
      <c r="HMS7" s="59"/>
      <c r="HMT7" s="59"/>
      <c r="HMU7" s="59"/>
      <c r="HMV7" s="59"/>
      <c r="HMW7" s="59"/>
      <c r="HMX7" s="59"/>
      <c r="HMY7" s="59"/>
      <c r="HMZ7" s="59"/>
      <c r="HNA7" s="59"/>
      <c r="HNB7" s="59"/>
      <c r="HNC7" s="59"/>
      <c r="HND7" s="59"/>
      <c r="HNE7" s="59"/>
      <c r="HNF7" s="59"/>
      <c r="HNG7" s="59"/>
      <c r="HNH7" s="59"/>
      <c r="HNI7" s="59"/>
      <c r="HNJ7" s="59"/>
      <c r="HNK7" s="59"/>
      <c r="HNL7" s="59"/>
      <c r="HNM7" s="59"/>
      <c r="HNN7" s="59"/>
      <c r="HNO7" s="59"/>
      <c r="HNP7" s="59"/>
      <c r="HNQ7" s="59"/>
      <c r="HNR7" s="59"/>
      <c r="HNS7" s="59"/>
      <c r="HNT7" s="59"/>
      <c r="HNU7" s="59"/>
      <c r="HNV7" s="59"/>
      <c r="HNW7" s="59"/>
      <c r="HNX7" s="59"/>
      <c r="HNY7" s="59"/>
      <c r="HNZ7" s="59"/>
      <c r="HOA7" s="59"/>
      <c r="HOB7" s="59"/>
      <c r="HOC7" s="59"/>
      <c r="HOD7" s="59"/>
      <c r="HOE7" s="59"/>
      <c r="HOF7" s="59"/>
      <c r="HOG7" s="59"/>
      <c r="HOH7" s="59"/>
      <c r="HOI7" s="59"/>
      <c r="HOJ7" s="59"/>
      <c r="HOK7" s="59"/>
      <c r="HOL7" s="59"/>
      <c r="HOM7" s="59"/>
      <c r="HON7" s="59"/>
      <c r="HOO7" s="59"/>
      <c r="HOP7" s="59"/>
      <c r="HOQ7" s="59"/>
      <c r="HOR7" s="59"/>
      <c r="HOS7" s="59"/>
      <c r="HOT7" s="59"/>
      <c r="HOU7" s="59"/>
      <c r="HOV7" s="59"/>
      <c r="HOW7" s="59"/>
      <c r="HOX7" s="59"/>
      <c r="HOY7" s="59"/>
      <c r="HOZ7" s="59"/>
      <c r="HPA7" s="59"/>
      <c r="HPB7" s="59"/>
      <c r="HPC7" s="59"/>
      <c r="HPD7" s="59"/>
      <c r="HPE7" s="59"/>
      <c r="HPF7" s="59"/>
      <c r="HPG7" s="59"/>
      <c r="HPH7" s="59"/>
      <c r="HPI7" s="59"/>
      <c r="HPJ7" s="59"/>
      <c r="HPK7" s="59"/>
      <c r="HPL7" s="59"/>
      <c r="HPM7" s="59"/>
      <c r="HPN7" s="59"/>
      <c r="HPO7" s="59"/>
      <c r="HPP7" s="59"/>
      <c r="HPQ7" s="59"/>
      <c r="HPR7" s="59"/>
      <c r="HPS7" s="59"/>
      <c r="HPT7" s="59"/>
      <c r="HPU7" s="59"/>
      <c r="HPV7" s="59"/>
      <c r="HPW7" s="59"/>
      <c r="HPX7" s="59"/>
      <c r="HPY7" s="59"/>
      <c r="HPZ7" s="59"/>
      <c r="HQA7" s="59"/>
      <c r="HQB7" s="59"/>
      <c r="HQC7" s="59"/>
      <c r="HQD7" s="59"/>
      <c r="HQE7" s="59"/>
      <c r="HQF7" s="59"/>
      <c r="HQG7" s="59"/>
      <c r="HQH7" s="59"/>
      <c r="HQI7" s="59"/>
      <c r="HQJ7" s="59"/>
      <c r="HQK7" s="59"/>
      <c r="HQL7" s="59"/>
      <c r="HQM7" s="59"/>
      <c r="HQN7" s="59"/>
      <c r="HQO7" s="59"/>
      <c r="HQP7" s="59"/>
      <c r="HQQ7" s="59"/>
      <c r="HQR7" s="59"/>
      <c r="HQS7" s="59"/>
      <c r="HQT7" s="59"/>
      <c r="HQU7" s="59"/>
      <c r="HQV7" s="59"/>
      <c r="HQW7" s="59"/>
      <c r="HQX7" s="59"/>
      <c r="HQY7" s="59"/>
      <c r="HQZ7" s="59"/>
      <c r="HRA7" s="59"/>
      <c r="HRB7" s="59"/>
      <c r="HRC7" s="59"/>
      <c r="HRD7" s="59"/>
      <c r="HRE7" s="59"/>
      <c r="HRF7" s="59"/>
      <c r="HRG7" s="59"/>
      <c r="HRH7" s="59"/>
      <c r="HRI7" s="59"/>
      <c r="HRJ7" s="59"/>
      <c r="HRK7" s="59"/>
      <c r="HRL7" s="59"/>
      <c r="HRM7" s="59"/>
      <c r="HRN7" s="59"/>
      <c r="HRO7" s="59"/>
      <c r="HRP7" s="59"/>
      <c r="HRQ7" s="59"/>
      <c r="HRR7" s="59"/>
      <c r="HRS7" s="59"/>
      <c r="HRT7" s="59"/>
      <c r="HRU7" s="59"/>
      <c r="HRV7" s="59"/>
      <c r="HRW7" s="59"/>
      <c r="HRX7" s="59"/>
      <c r="HRY7" s="59"/>
      <c r="HRZ7" s="59"/>
      <c r="HSA7" s="59"/>
      <c r="HSB7" s="59"/>
      <c r="HSC7" s="59"/>
      <c r="HSD7" s="59"/>
      <c r="HSE7" s="59"/>
      <c r="HSF7" s="59"/>
      <c r="HSG7" s="59"/>
      <c r="HSH7" s="59"/>
      <c r="HSI7" s="59"/>
      <c r="HSJ7" s="59"/>
      <c r="HSK7" s="59"/>
      <c r="HSL7" s="59"/>
      <c r="HSM7" s="59"/>
      <c r="HSN7" s="59"/>
      <c r="HSO7" s="59"/>
      <c r="HSP7" s="59"/>
      <c r="HSQ7" s="59"/>
      <c r="HSR7" s="59"/>
      <c r="HSS7" s="59"/>
      <c r="HST7" s="59"/>
      <c r="HSU7" s="59"/>
      <c r="HSV7" s="59"/>
      <c r="HSW7" s="59"/>
      <c r="HSX7" s="59"/>
      <c r="HSY7" s="59"/>
      <c r="HSZ7" s="59"/>
      <c r="HTA7" s="59"/>
      <c r="HTB7" s="59"/>
      <c r="HTC7" s="59"/>
      <c r="HTD7" s="59"/>
      <c r="HTE7" s="59"/>
      <c r="HTF7" s="59"/>
      <c r="HTG7" s="59"/>
      <c r="HTH7" s="59"/>
      <c r="HTI7" s="59"/>
      <c r="HTJ7" s="59"/>
      <c r="HTK7" s="59"/>
      <c r="HTL7" s="59"/>
      <c r="HTM7" s="59"/>
      <c r="HTN7" s="59"/>
      <c r="HTO7" s="59"/>
      <c r="HTP7" s="59"/>
      <c r="HTQ7" s="59"/>
      <c r="HTR7" s="59"/>
      <c r="HTS7" s="59"/>
      <c r="HTT7" s="59"/>
      <c r="HTU7" s="59"/>
      <c r="HTV7" s="59"/>
      <c r="HTW7" s="59"/>
      <c r="HTX7" s="59"/>
      <c r="HTY7" s="59"/>
      <c r="HTZ7" s="59"/>
      <c r="HUA7" s="59"/>
      <c r="HUB7" s="59"/>
      <c r="HUC7" s="59"/>
      <c r="HUD7" s="59"/>
      <c r="HUE7" s="59"/>
      <c r="HUF7" s="59"/>
      <c r="HUG7" s="59"/>
      <c r="HUH7" s="59"/>
      <c r="HUI7" s="59"/>
      <c r="HUJ7" s="59"/>
      <c r="HUK7" s="59"/>
      <c r="HUL7" s="59"/>
      <c r="HUM7" s="59"/>
      <c r="HUN7" s="59"/>
      <c r="HUO7" s="59"/>
      <c r="HUP7" s="59"/>
      <c r="HUQ7" s="59"/>
      <c r="HUR7" s="59"/>
      <c r="HUS7" s="59"/>
      <c r="HUT7" s="59"/>
      <c r="HUU7" s="59"/>
      <c r="HUV7" s="59"/>
      <c r="HUW7" s="59"/>
      <c r="HUX7" s="59"/>
      <c r="HUY7" s="59"/>
      <c r="HUZ7" s="59"/>
      <c r="HVA7" s="59"/>
      <c r="HVB7" s="59"/>
      <c r="HVC7" s="59"/>
      <c r="HVD7" s="59"/>
      <c r="HVE7" s="59"/>
      <c r="HVF7" s="59"/>
      <c r="HVG7" s="59"/>
      <c r="HVH7" s="59"/>
      <c r="HVI7" s="59"/>
      <c r="HVJ7" s="59"/>
      <c r="HVK7" s="59"/>
      <c r="HVL7" s="59"/>
      <c r="HVM7" s="59"/>
      <c r="HVN7" s="59"/>
      <c r="HVO7" s="59"/>
      <c r="HVP7" s="59"/>
      <c r="HVQ7" s="59"/>
      <c r="HVR7" s="59"/>
      <c r="HVS7" s="59"/>
      <c r="HVT7" s="59"/>
      <c r="HVU7" s="59"/>
      <c r="HVV7" s="59"/>
      <c r="HVW7" s="59"/>
      <c r="HVX7" s="59"/>
      <c r="HVY7" s="59"/>
      <c r="HVZ7" s="59"/>
      <c r="HWA7" s="59"/>
      <c r="HWB7" s="59"/>
      <c r="HWC7" s="59"/>
      <c r="HWD7" s="59"/>
      <c r="HWE7" s="59"/>
      <c r="HWF7" s="59"/>
      <c r="HWG7" s="59"/>
      <c r="HWH7" s="59"/>
      <c r="HWI7" s="59"/>
      <c r="HWJ7" s="59"/>
      <c r="HWK7" s="59"/>
      <c r="HWL7" s="59"/>
      <c r="HWM7" s="59"/>
      <c r="HWN7" s="59"/>
      <c r="HWO7" s="59"/>
      <c r="HWP7" s="59"/>
      <c r="HWQ7" s="59"/>
      <c r="HWR7" s="59"/>
      <c r="HWS7" s="59"/>
      <c r="HWT7" s="59"/>
      <c r="HWU7" s="59"/>
      <c r="HWV7" s="59"/>
      <c r="HWW7" s="59"/>
      <c r="HWX7" s="59"/>
      <c r="HWY7" s="59"/>
      <c r="HWZ7" s="59"/>
      <c r="HXA7" s="59"/>
      <c r="HXB7" s="59"/>
      <c r="HXC7" s="59"/>
      <c r="HXD7" s="59"/>
      <c r="HXE7" s="59"/>
      <c r="HXF7" s="59"/>
      <c r="HXG7" s="59"/>
      <c r="HXH7" s="59"/>
      <c r="HXI7" s="59"/>
      <c r="HXJ7" s="59"/>
      <c r="HXK7" s="59"/>
      <c r="HXL7" s="59"/>
      <c r="HXM7" s="59"/>
      <c r="HXN7" s="59"/>
      <c r="HXO7" s="59"/>
      <c r="HXP7" s="59"/>
      <c r="HXQ7" s="59"/>
      <c r="HXR7" s="59"/>
      <c r="HXS7" s="59"/>
      <c r="HXT7" s="59"/>
      <c r="HXU7" s="59"/>
      <c r="HXV7" s="59"/>
      <c r="HXW7" s="59"/>
      <c r="HXX7" s="59"/>
      <c r="HXY7" s="59"/>
      <c r="HXZ7" s="59"/>
      <c r="HYA7" s="59"/>
      <c r="HYB7" s="59"/>
      <c r="HYC7" s="59"/>
      <c r="HYD7" s="59"/>
      <c r="HYE7" s="59"/>
      <c r="HYF7" s="59"/>
      <c r="HYG7" s="59"/>
      <c r="HYH7" s="59"/>
      <c r="HYI7" s="59"/>
      <c r="HYJ7" s="59"/>
      <c r="HYK7" s="59"/>
      <c r="HYL7" s="59"/>
      <c r="HYM7" s="59"/>
      <c r="HYN7" s="59"/>
      <c r="HYO7" s="59"/>
      <c r="HYP7" s="59"/>
      <c r="HYQ7" s="59"/>
      <c r="HYR7" s="59"/>
      <c r="HYS7" s="59"/>
      <c r="HYT7" s="59"/>
      <c r="HYU7" s="59"/>
      <c r="HYV7" s="59"/>
      <c r="HYW7" s="59"/>
      <c r="HYX7" s="59"/>
      <c r="HYY7" s="59"/>
      <c r="HYZ7" s="59"/>
      <c r="HZA7" s="59"/>
      <c r="HZB7" s="59"/>
      <c r="HZC7" s="59"/>
      <c r="HZD7" s="59"/>
      <c r="HZE7" s="59"/>
      <c r="HZF7" s="59"/>
      <c r="HZG7" s="59"/>
      <c r="HZH7" s="59"/>
      <c r="HZI7" s="59"/>
      <c r="HZJ7" s="59"/>
      <c r="HZK7" s="59"/>
      <c r="HZL7" s="59"/>
      <c r="HZM7" s="59"/>
      <c r="HZN7" s="59"/>
      <c r="HZO7" s="59"/>
      <c r="HZP7" s="59"/>
      <c r="HZQ7" s="59"/>
      <c r="HZR7" s="59"/>
      <c r="HZS7" s="59"/>
      <c r="HZT7" s="59"/>
      <c r="HZU7" s="59"/>
      <c r="HZV7" s="59"/>
      <c r="HZW7" s="59"/>
      <c r="HZX7" s="59"/>
      <c r="HZY7" s="59"/>
      <c r="HZZ7" s="59"/>
      <c r="IAA7" s="59"/>
      <c r="IAB7" s="59"/>
      <c r="IAC7" s="59"/>
      <c r="IAD7" s="59"/>
      <c r="IAE7" s="59"/>
      <c r="IAF7" s="59"/>
      <c r="IAG7" s="59"/>
      <c r="IAH7" s="59"/>
      <c r="IAI7" s="59"/>
      <c r="IAJ7" s="59"/>
      <c r="IAK7" s="59"/>
      <c r="IAL7" s="59"/>
      <c r="IAM7" s="59"/>
      <c r="IAN7" s="59"/>
      <c r="IAO7" s="59"/>
      <c r="IAP7" s="59"/>
      <c r="IAQ7" s="59"/>
      <c r="IAR7" s="59"/>
      <c r="IAS7" s="59"/>
      <c r="IAT7" s="59"/>
      <c r="IAU7" s="59"/>
      <c r="IAV7" s="59"/>
      <c r="IAW7" s="59"/>
      <c r="IAX7" s="59"/>
      <c r="IAY7" s="59"/>
      <c r="IAZ7" s="59"/>
      <c r="IBA7" s="59"/>
      <c r="IBB7" s="59"/>
      <c r="IBC7" s="59"/>
      <c r="IBD7" s="59"/>
      <c r="IBE7" s="59"/>
      <c r="IBF7" s="59"/>
      <c r="IBG7" s="59"/>
      <c r="IBH7" s="59"/>
      <c r="IBI7" s="59"/>
      <c r="IBJ7" s="59"/>
      <c r="IBK7" s="59"/>
      <c r="IBL7" s="59"/>
      <c r="IBM7" s="59"/>
      <c r="IBN7" s="59"/>
      <c r="IBO7" s="59"/>
      <c r="IBP7" s="59"/>
      <c r="IBQ7" s="59"/>
      <c r="IBR7" s="59"/>
      <c r="IBS7" s="59"/>
      <c r="IBT7" s="59"/>
      <c r="IBU7" s="59"/>
      <c r="IBV7" s="59"/>
      <c r="IBW7" s="59"/>
      <c r="IBX7" s="59"/>
      <c r="IBY7" s="59"/>
      <c r="IBZ7" s="59"/>
      <c r="ICA7" s="59"/>
      <c r="ICB7" s="59"/>
      <c r="ICC7" s="59"/>
      <c r="ICD7" s="59"/>
      <c r="ICE7" s="59"/>
      <c r="ICF7" s="59"/>
      <c r="ICG7" s="59"/>
      <c r="ICH7" s="59"/>
      <c r="ICI7" s="59"/>
      <c r="ICJ7" s="59"/>
      <c r="ICK7" s="59"/>
      <c r="ICL7" s="59"/>
      <c r="ICM7" s="59"/>
      <c r="ICN7" s="59"/>
      <c r="ICO7" s="59"/>
      <c r="ICP7" s="59"/>
      <c r="ICQ7" s="59"/>
      <c r="ICR7" s="59"/>
      <c r="ICS7" s="59"/>
      <c r="ICT7" s="59"/>
      <c r="ICU7" s="59"/>
      <c r="ICV7" s="59"/>
      <c r="ICW7" s="59"/>
      <c r="ICX7" s="59"/>
      <c r="ICY7" s="59"/>
      <c r="ICZ7" s="59"/>
      <c r="IDA7" s="59"/>
      <c r="IDB7" s="59"/>
      <c r="IDC7" s="59"/>
      <c r="IDD7" s="59"/>
      <c r="IDE7" s="59"/>
      <c r="IDF7" s="59"/>
      <c r="IDG7" s="59"/>
      <c r="IDH7" s="59"/>
      <c r="IDI7" s="59"/>
      <c r="IDJ7" s="59"/>
      <c r="IDK7" s="59"/>
      <c r="IDL7" s="59"/>
      <c r="IDM7" s="59"/>
      <c r="IDN7" s="59"/>
      <c r="IDO7" s="59"/>
      <c r="IDP7" s="59"/>
      <c r="IDQ7" s="59"/>
      <c r="IDR7" s="59"/>
      <c r="IDS7" s="59"/>
      <c r="IDT7" s="59"/>
      <c r="IDU7" s="59"/>
      <c r="IDV7" s="59"/>
      <c r="IDW7" s="59"/>
      <c r="IDX7" s="59"/>
      <c r="IDY7" s="59"/>
      <c r="IDZ7" s="59"/>
      <c r="IEA7" s="59"/>
      <c r="IEB7" s="59"/>
      <c r="IEC7" s="59"/>
      <c r="IED7" s="59"/>
      <c r="IEE7" s="59"/>
      <c r="IEF7" s="59"/>
      <c r="IEG7" s="59"/>
      <c r="IEH7" s="59"/>
      <c r="IEI7" s="59"/>
      <c r="IEJ7" s="59"/>
      <c r="IEK7" s="59"/>
      <c r="IEL7" s="59"/>
      <c r="IEM7" s="59"/>
      <c r="IEN7" s="59"/>
      <c r="IEO7" s="59"/>
      <c r="IEP7" s="59"/>
      <c r="IEQ7" s="59"/>
      <c r="IER7" s="59"/>
      <c r="IES7" s="59"/>
      <c r="IET7" s="59"/>
      <c r="IEU7" s="59"/>
      <c r="IEV7" s="59"/>
      <c r="IEW7" s="59"/>
      <c r="IEX7" s="59"/>
      <c r="IEY7" s="59"/>
      <c r="IEZ7" s="59"/>
      <c r="IFA7" s="59"/>
      <c r="IFB7" s="59"/>
      <c r="IFC7" s="59"/>
      <c r="IFD7" s="59"/>
      <c r="IFE7" s="59"/>
      <c r="IFF7" s="59"/>
      <c r="IFG7" s="59"/>
      <c r="IFH7" s="59"/>
      <c r="IFI7" s="59"/>
      <c r="IFJ7" s="59"/>
      <c r="IFK7" s="59"/>
      <c r="IFL7" s="59"/>
      <c r="IFM7" s="59"/>
      <c r="IFN7" s="59"/>
      <c r="IFO7" s="59"/>
      <c r="IFP7" s="59"/>
      <c r="IFQ7" s="59"/>
      <c r="IFR7" s="59"/>
      <c r="IFS7" s="59"/>
      <c r="IFT7" s="59"/>
      <c r="IFU7" s="59"/>
      <c r="IFV7" s="59"/>
      <c r="IFW7" s="59"/>
      <c r="IFX7" s="59"/>
      <c r="IFY7" s="59"/>
      <c r="IFZ7" s="59"/>
      <c r="IGA7" s="59"/>
      <c r="IGB7" s="59"/>
      <c r="IGC7" s="59"/>
      <c r="IGD7" s="59"/>
      <c r="IGE7" s="59"/>
      <c r="IGF7" s="59"/>
      <c r="IGG7" s="59"/>
      <c r="IGH7" s="59"/>
      <c r="IGI7" s="59"/>
      <c r="IGJ7" s="59"/>
      <c r="IGK7" s="59"/>
      <c r="IGL7" s="59"/>
      <c r="IGM7" s="59"/>
      <c r="IGN7" s="59"/>
      <c r="IGO7" s="59"/>
      <c r="IGP7" s="59"/>
      <c r="IGQ7" s="59"/>
      <c r="IGR7" s="59"/>
      <c r="IGS7" s="59"/>
      <c r="IGT7" s="59"/>
      <c r="IGU7" s="59"/>
      <c r="IGV7" s="59"/>
      <c r="IGW7" s="59"/>
      <c r="IGX7" s="59"/>
      <c r="IGY7" s="59"/>
      <c r="IGZ7" s="59"/>
      <c r="IHA7" s="59"/>
      <c r="IHB7" s="59"/>
      <c r="IHC7" s="59"/>
      <c r="IHD7" s="59"/>
      <c r="IHE7" s="59"/>
      <c r="IHF7" s="59"/>
      <c r="IHG7" s="59"/>
      <c r="IHH7" s="59"/>
      <c r="IHI7" s="59"/>
      <c r="IHJ7" s="59"/>
      <c r="IHK7" s="59"/>
      <c r="IHL7" s="59"/>
      <c r="IHM7" s="59"/>
      <c r="IHN7" s="59"/>
      <c r="IHO7" s="59"/>
      <c r="IHP7" s="59"/>
      <c r="IHQ7" s="59"/>
      <c r="IHR7" s="59"/>
      <c r="IHS7" s="59"/>
      <c r="IHT7" s="59"/>
      <c r="IHU7" s="59"/>
      <c r="IHV7" s="59"/>
      <c r="IHW7" s="59"/>
      <c r="IHX7" s="59"/>
      <c r="IHY7" s="59"/>
      <c r="IHZ7" s="59"/>
      <c r="IIA7" s="59"/>
      <c r="IIB7" s="59"/>
      <c r="IIC7" s="59"/>
      <c r="IID7" s="59"/>
      <c r="IIE7" s="59"/>
      <c r="IIF7" s="59"/>
      <c r="IIG7" s="59"/>
      <c r="IIH7" s="59"/>
      <c r="III7" s="59"/>
      <c r="IIJ7" s="59"/>
      <c r="IIK7" s="59"/>
      <c r="IIL7" s="59"/>
      <c r="IIM7" s="59"/>
      <c r="IIN7" s="59"/>
      <c r="IIO7" s="59"/>
      <c r="IIP7" s="59"/>
      <c r="IIQ7" s="59"/>
      <c r="IIR7" s="59"/>
      <c r="IIS7" s="59"/>
      <c r="IIT7" s="59"/>
      <c r="IIU7" s="59"/>
      <c r="IIV7" s="59"/>
      <c r="IIW7" s="59"/>
      <c r="IIX7" s="59"/>
      <c r="IIY7" s="59"/>
      <c r="IIZ7" s="59"/>
      <c r="IJA7" s="59"/>
      <c r="IJB7" s="59"/>
      <c r="IJC7" s="59"/>
      <c r="IJD7" s="59"/>
      <c r="IJE7" s="59"/>
      <c r="IJF7" s="59"/>
      <c r="IJG7" s="59"/>
      <c r="IJH7" s="59"/>
      <c r="IJI7" s="59"/>
      <c r="IJJ7" s="59"/>
      <c r="IJK7" s="59"/>
      <c r="IJL7" s="59"/>
      <c r="IJM7" s="59"/>
      <c r="IJN7" s="59"/>
      <c r="IJO7" s="59"/>
      <c r="IJP7" s="59"/>
      <c r="IJQ7" s="59"/>
      <c r="IJR7" s="59"/>
      <c r="IJS7" s="59"/>
      <c r="IJT7" s="59"/>
      <c r="IJU7" s="59"/>
      <c r="IJV7" s="59"/>
      <c r="IJW7" s="59"/>
      <c r="IJX7" s="59"/>
      <c r="IJY7" s="59"/>
      <c r="IJZ7" s="59"/>
      <c r="IKA7" s="59"/>
      <c r="IKB7" s="59"/>
      <c r="IKC7" s="59"/>
      <c r="IKD7" s="59"/>
      <c r="IKE7" s="59"/>
      <c r="IKF7" s="59"/>
      <c r="IKG7" s="59"/>
      <c r="IKH7" s="59"/>
      <c r="IKI7" s="59"/>
      <c r="IKJ7" s="59"/>
      <c r="IKK7" s="59"/>
      <c r="IKL7" s="59"/>
      <c r="IKM7" s="59"/>
      <c r="IKN7" s="59"/>
      <c r="IKO7" s="59"/>
      <c r="IKP7" s="59"/>
      <c r="IKQ7" s="59"/>
      <c r="IKR7" s="59"/>
      <c r="IKS7" s="59"/>
      <c r="IKT7" s="59"/>
      <c r="IKU7" s="59"/>
      <c r="IKV7" s="59"/>
      <c r="IKW7" s="59"/>
      <c r="IKX7" s="59"/>
      <c r="IKY7" s="59"/>
      <c r="IKZ7" s="59"/>
      <c r="ILA7" s="59"/>
      <c r="ILB7" s="59"/>
      <c r="ILC7" s="59"/>
      <c r="ILD7" s="59"/>
      <c r="ILE7" s="59"/>
      <c r="ILF7" s="59"/>
      <c r="ILG7" s="59"/>
      <c r="ILH7" s="59"/>
      <c r="ILI7" s="59"/>
      <c r="ILJ7" s="59"/>
      <c r="ILK7" s="59"/>
      <c r="ILL7" s="59"/>
      <c r="ILM7" s="59"/>
      <c r="ILN7" s="59"/>
      <c r="ILO7" s="59"/>
      <c r="ILP7" s="59"/>
      <c r="ILQ7" s="59"/>
      <c r="ILR7" s="59"/>
      <c r="ILS7" s="59"/>
      <c r="ILT7" s="59"/>
      <c r="ILU7" s="59"/>
      <c r="ILV7" s="59"/>
      <c r="ILW7" s="59"/>
      <c r="ILX7" s="59"/>
      <c r="ILY7" s="59"/>
      <c r="ILZ7" s="59"/>
      <c r="IMA7" s="59"/>
      <c r="IMB7" s="59"/>
      <c r="IMC7" s="59"/>
      <c r="IMD7" s="59"/>
      <c r="IME7" s="59"/>
      <c r="IMF7" s="59"/>
      <c r="IMG7" s="59"/>
      <c r="IMH7" s="59"/>
      <c r="IMI7" s="59"/>
      <c r="IMJ7" s="59"/>
      <c r="IMK7" s="59"/>
      <c r="IML7" s="59"/>
      <c r="IMM7" s="59"/>
      <c r="IMN7" s="59"/>
      <c r="IMO7" s="59"/>
      <c r="IMP7" s="59"/>
      <c r="IMQ7" s="59"/>
      <c r="IMR7" s="59"/>
      <c r="IMS7" s="59"/>
      <c r="IMT7" s="59"/>
      <c r="IMU7" s="59"/>
      <c r="IMV7" s="59"/>
      <c r="IMW7" s="59"/>
      <c r="IMX7" s="59"/>
      <c r="IMY7" s="59"/>
      <c r="IMZ7" s="59"/>
      <c r="INA7" s="59"/>
      <c r="INB7" s="59"/>
      <c r="INC7" s="59"/>
      <c r="IND7" s="59"/>
      <c r="INE7" s="59"/>
      <c r="INF7" s="59"/>
      <c r="ING7" s="59"/>
      <c r="INH7" s="59"/>
      <c r="INI7" s="59"/>
      <c r="INJ7" s="59"/>
      <c r="INK7" s="59"/>
      <c r="INL7" s="59"/>
      <c r="INM7" s="59"/>
      <c r="INN7" s="59"/>
      <c r="INO7" s="59"/>
      <c r="INP7" s="59"/>
      <c r="INQ7" s="59"/>
      <c r="INR7" s="59"/>
      <c r="INS7" s="59"/>
      <c r="INT7" s="59"/>
      <c r="INU7" s="59"/>
      <c r="INV7" s="59"/>
      <c r="INW7" s="59"/>
      <c r="INX7" s="59"/>
      <c r="INY7" s="59"/>
      <c r="INZ7" s="59"/>
      <c r="IOA7" s="59"/>
      <c r="IOB7" s="59"/>
      <c r="IOC7" s="59"/>
      <c r="IOD7" s="59"/>
      <c r="IOE7" s="59"/>
      <c r="IOF7" s="59"/>
      <c r="IOG7" s="59"/>
      <c r="IOH7" s="59"/>
      <c r="IOI7" s="59"/>
      <c r="IOJ7" s="59"/>
      <c r="IOK7" s="59"/>
      <c r="IOL7" s="59"/>
      <c r="IOM7" s="59"/>
      <c r="ION7" s="59"/>
      <c r="IOO7" s="59"/>
      <c r="IOP7" s="59"/>
      <c r="IOQ7" s="59"/>
      <c r="IOR7" s="59"/>
      <c r="IOS7" s="59"/>
      <c r="IOT7" s="59"/>
      <c r="IOU7" s="59"/>
      <c r="IOV7" s="59"/>
      <c r="IOW7" s="59"/>
      <c r="IOX7" s="59"/>
      <c r="IOY7" s="59"/>
      <c r="IOZ7" s="59"/>
      <c r="IPA7" s="59"/>
      <c r="IPB7" s="59"/>
      <c r="IPC7" s="59"/>
      <c r="IPD7" s="59"/>
      <c r="IPE7" s="59"/>
      <c r="IPF7" s="59"/>
      <c r="IPG7" s="59"/>
      <c r="IPH7" s="59"/>
      <c r="IPI7" s="59"/>
      <c r="IPJ7" s="59"/>
      <c r="IPK7" s="59"/>
      <c r="IPL7" s="59"/>
      <c r="IPM7" s="59"/>
      <c r="IPN7" s="59"/>
      <c r="IPO7" s="59"/>
      <c r="IPP7" s="59"/>
      <c r="IPQ7" s="59"/>
      <c r="IPR7" s="59"/>
      <c r="IPS7" s="59"/>
      <c r="IPT7" s="59"/>
      <c r="IPU7" s="59"/>
      <c r="IPV7" s="59"/>
      <c r="IPW7" s="59"/>
      <c r="IPX7" s="59"/>
      <c r="IPY7" s="59"/>
      <c r="IPZ7" s="59"/>
      <c r="IQA7" s="59"/>
      <c r="IQB7" s="59"/>
      <c r="IQC7" s="59"/>
      <c r="IQD7" s="59"/>
      <c r="IQE7" s="59"/>
      <c r="IQF7" s="59"/>
      <c r="IQG7" s="59"/>
      <c r="IQH7" s="59"/>
      <c r="IQI7" s="59"/>
      <c r="IQJ7" s="59"/>
      <c r="IQK7" s="59"/>
      <c r="IQL7" s="59"/>
      <c r="IQM7" s="59"/>
      <c r="IQN7" s="59"/>
      <c r="IQO7" s="59"/>
      <c r="IQP7" s="59"/>
      <c r="IQQ7" s="59"/>
      <c r="IQR7" s="59"/>
      <c r="IQS7" s="59"/>
      <c r="IQT7" s="59"/>
      <c r="IQU7" s="59"/>
      <c r="IQV7" s="59"/>
      <c r="IQW7" s="59"/>
      <c r="IQX7" s="59"/>
      <c r="IQY7" s="59"/>
      <c r="IQZ7" s="59"/>
      <c r="IRA7" s="59"/>
      <c r="IRB7" s="59"/>
      <c r="IRC7" s="59"/>
      <c r="IRD7" s="59"/>
      <c r="IRE7" s="59"/>
      <c r="IRF7" s="59"/>
      <c r="IRG7" s="59"/>
      <c r="IRH7" s="59"/>
      <c r="IRI7" s="59"/>
      <c r="IRJ7" s="59"/>
      <c r="IRK7" s="59"/>
      <c r="IRL7" s="59"/>
      <c r="IRM7" s="59"/>
      <c r="IRN7" s="59"/>
      <c r="IRO7" s="59"/>
      <c r="IRP7" s="59"/>
      <c r="IRQ7" s="59"/>
      <c r="IRR7" s="59"/>
      <c r="IRS7" s="59"/>
      <c r="IRT7" s="59"/>
      <c r="IRU7" s="59"/>
      <c r="IRV7" s="59"/>
      <c r="IRW7" s="59"/>
      <c r="IRX7" s="59"/>
      <c r="IRY7" s="59"/>
      <c r="IRZ7" s="59"/>
      <c r="ISA7" s="59"/>
      <c r="ISB7" s="59"/>
      <c r="ISC7" s="59"/>
      <c r="ISD7" s="59"/>
      <c r="ISE7" s="59"/>
      <c r="ISF7" s="59"/>
      <c r="ISG7" s="59"/>
      <c r="ISH7" s="59"/>
      <c r="ISI7" s="59"/>
      <c r="ISJ7" s="59"/>
      <c r="ISK7" s="59"/>
      <c r="ISL7" s="59"/>
      <c r="ISM7" s="59"/>
      <c r="ISN7" s="59"/>
      <c r="ISO7" s="59"/>
      <c r="ISP7" s="59"/>
      <c r="ISQ7" s="59"/>
      <c r="ISR7" s="59"/>
      <c r="ISS7" s="59"/>
      <c r="IST7" s="59"/>
      <c r="ISU7" s="59"/>
      <c r="ISV7" s="59"/>
      <c r="ISW7" s="59"/>
      <c r="ISX7" s="59"/>
      <c r="ISY7" s="59"/>
      <c r="ISZ7" s="59"/>
      <c r="ITA7" s="59"/>
      <c r="ITB7" s="59"/>
      <c r="ITC7" s="59"/>
      <c r="ITD7" s="59"/>
      <c r="ITE7" s="59"/>
      <c r="ITF7" s="59"/>
      <c r="ITG7" s="59"/>
      <c r="ITH7" s="59"/>
      <c r="ITI7" s="59"/>
      <c r="ITJ7" s="59"/>
      <c r="ITK7" s="59"/>
      <c r="ITL7" s="59"/>
      <c r="ITM7" s="59"/>
      <c r="ITN7" s="59"/>
      <c r="ITO7" s="59"/>
      <c r="ITP7" s="59"/>
      <c r="ITQ7" s="59"/>
      <c r="ITR7" s="59"/>
      <c r="ITS7" s="59"/>
      <c r="ITT7" s="59"/>
      <c r="ITU7" s="59"/>
      <c r="ITV7" s="59"/>
      <c r="ITW7" s="59"/>
      <c r="ITX7" s="59"/>
      <c r="ITY7" s="59"/>
      <c r="ITZ7" s="59"/>
      <c r="IUA7" s="59"/>
      <c r="IUB7" s="59"/>
      <c r="IUC7" s="59"/>
      <c r="IUD7" s="59"/>
      <c r="IUE7" s="59"/>
      <c r="IUF7" s="59"/>
      <c r="IUG7" s="59"/>
      <c r="IUH7" s="59"/>
      <c r="IUI7" s="59"/>
      <c r="IUJ7" s="59"/>
      <c r="IUK7" s="59"/>
      <c r="IUL7" s="59"/>
      <c r="IUM7" s="59"/>
      <c r="IUN7" s="59"/>
      <c r="IUO7" s="59"/>
      <c r="IUP7" s="59"/>
      <c r="IUQ7" s="59"/>
      <c r="IUR7" s="59"/>
      <c r="IUS7" s="59"/>
      <c r="IUT7" s="59"/>
      <c r="IUU7" s="59"/>
      <c r="IUV7" s="59"/>
      <c r="IUW7" s="59"/>
      <c r="IUX7" s="59"/>
      <c r="IUY7" s="59"/>
      <c r="IUZ7" s="59"/>
      <c r="IVA7" s="59"/>
      <c r="IVB7" s="59"/>
      <c r="IVC7" s="59"/>
      <c r="IVD7" s="59"/>
      <c r="IVE7" s="59"/>
      <c r="IVF7" s="59"/>
      <c r="IVG7" s="59"/>
      <c r="IVH7" s="59"/>
      <c r="IVI7" s="59"/>
      <c r="IVJ7" s="59"/>
      <c r="IVK7" s="59"/>
      <c r="IVL7" s="59"/>
      <c r="IVM7" s="59"/>
      <c r="IVN7" s="59"/>
      <c r="IVO7" s="59"/>
      <c r="IVP7" s="59"/>
      <c r="IVQ7" s="59"/>
      <c r="IVR7" s="59"/>
      <c r="IVS7" s="59"/>
      <c r="IVT7" s="59"/>
      <c r="IVU7" s="59"/>
      <c r="IVV7" s="59"/>
      <c r="IVW7" s="59"/>
      <c r="IVX7" s="59"/>
      <c r="IVY7" s="59"/>
      <c r="IVZ7" s="59"/>
      <c r="IWA7" s="59"/>
      <c r="IWB7" s="59"/>
      <c r="IWC7" s="59"/>
      <c r="IWD7" s="59"/>
      <c r="IWE7" s="59"/>
      <c r="IWF7" s="59"/>
      <c r="IWG7" s="59"/>
      <c r="IWH7" s="59"/>
      <c r="IWI7" s="59"/>
      <c r="IWJ7" s="59"/>
      <c r="IWK7" s="59"/>
      <c r="IWL7" s="59"/>
      <c r="IWM7" s="59"/>
      <c r="IWN7" s="59"/>
      <c r="IWO7" s="59"/>
      <c r="IWP7" s="59"/>
      <c r="IWQ7" s="59"/>
      <c r="IWR7" s="59"/>
      <c r="IWS7" s="59"/>
      <c r="IWT7" s="59"/>
      <c r="IWU7" s="59"/>
      <c r="IWV7" s="59"/>
      <c r="IWW7" s="59"/>
      <c r="IWX7" s="59"/>
      <c r="IWY7" s="59"/>
      <c r="IWZ7" s="59"/>
      <c r="IXA7" s="59"/>
      <c r="IXB7" s="59"/>
      <c r="IXC7" s="59"/>
      <c r="IXD7" s="59"/>
      <c r="IXE7" s="59"/>
      <c r="IXF7" s="59"/>
      <c r="IXG7" s="59"/>
      <c r="IXH7" s="59"/>
      <c r="IXI7" s="59"/>
      <c r="IXJ7" s="59"/>
      <c r="IXK7" s="59"/>
      <c r="IXL7" s="59"/>
      <c r="IXM7" s="59"/>
      <c r="IXN7" s="59"/>
      <c r="IXO7" s="59"/>
      <c r="IXP7" s="59"/>
      <c r="IXQ7" s="59"/>
      <c r="IXR7" s="59"/>
      <c r="IXS7" s="59"/>
      <c r="IXT7" s="59"/>
      <c r="IXU7" s="59"/>
      <c r="IXV7" s="59"/>
      <c r="IXW7" s="59"/>
      <c r="IXX7" s="59"/>
      <c r="IXY7" s="59"/>
      <c r="IXZ7" s="59"/>
      <c r="IYA7" s="59"/>
      <c r="IYB7" s="59"/>
      <c r="IYC7" s="59"/>
      <c r="IYD7" s="59"/>
      <c r="IYE7" s="59"/>
      <c r="IYF7" s="59"/>
      <c r="IYG7" s="59"/>
      <c r="IYH7" s="59"/>
      <c r="IYI7" s="59"/>
      <c r="IYJ7" s="59"/>
      <c r="IYK7" s="59"/>
      <c r="IYL7" s="59"/>
      <c r="IYM7" s="59"/>
      <c r="IYN7" s="59"/>
      <c r="IYO7" s="59"/>
      <c r="IYP7" s="59"/>
      <c r="IYQ7" s="59"/>
      <c r="IYR7" s="59"/>
      <c r="IYS7" s="59"/>
      <c r="IYT7" s="59"/>
      <c r="IYU7" s="59"/>
      <c r="IYV7" s="59"/>
      <c r="IYW7" s="59"/>
      <c r="IYX7" s="59"/>
      <c r="IYY7" s="59"/>
      <c r="IYZ7" s="59"/>
      <c r="IZA7" s="59"/>
      <c r="IZB7" s="59"/>
      <c r="IZC7" s="59"/>
      <c r="IZD7" s="59"/>
      <c r="IZE7" s="59"/>
      <c r="IZF7" s="59"/>
      <c r="IZG7" s="59"/>
      <c r="IZH7" s="59"/>
      <c r="IZI7" s="59"/>
      <c r="IZJ7" s="59"/>
      <c r="IZK7" s="59"/>
      <c r="IZL7" s="59"/>
      <c r="IZM7" s="59"/>
      <c r="IZN7" s="59"/>
      <c r="IZO7" s="59"/>
      <c r="IZP7" s="59"/>
      <c r="IZQ7" s="59"/>
      <c r="IZR7" s="59"/>
      <c r="IZS7" s="59"/>
      <c r="IZT7" s="59"/>
      <c r="IZU7" s="59"/>
      <c r="IZV7" s="59"/>
      <c r="IZW7" s="59"/>
      <c r="IZX7" s="59"/>
      <c r="IZY7" s="59"/>
      <c r="IZZ7" s="59"/>
      <c r="JAA7" s="59"/>
      <c r="JAB7" s="59"/>
      <c r="JAC7" s="59"/>
      <c r="JAD7" s="59"/>
      <c r="JAE7" s="59"/>
      <c r="JAF7" s="59"/>
      <c r="JAG7" s="59"/>
      <c r="JAH7" s="59"/>
      <c r="JAI7" s="59"/>
      <c r="JAJ7" s="59"/>
      <c r="JAK7" s="59"/>
      <c r="JAL7" s="59"/>
      <c r="JAM7" s="59"/>
      <c r="JAN7" s="59"/>
      <c r="JAO7" s="59"/>
      <c r="JAP7" s="59"/>
      <c r="JAQ7" s="59"/>
      <c r="JAR7" s="59"/>
      <c r="JAS7" s="59"/>
      <c r="JAT7" s="59"/>
      <c r="JAU7" s="59"/>
      <c r="JAV7" s="59"/>
      <c r="JAW7" s="59"/>
      <c r="JAX7" s="59"/>
      <c r="JAY7" s="59"/>
      <c r="JAZ7" s="59"/>
      <c r="JBA7" s="59"/>
      <c r="JBB7" s="59"/>
      <c r="JBC7" s="59"/>
      <c r="JBD7" s="59"/>
      <c r="JBE7" s="59"/>
      <c r="JBF7" s="59"/>
      <c r="JBG7" s="59"/>
      <c r="JBH7" s="59"/>
      <c r="JBI7" s="59"/>
      <c r="JBJ7" s="59"/>
      <c r="JBK7" s="59"/>
      <c r="JBL7" s="59"/>
      <c r="JBM7" s="59"/>
      <c r="JBN7" s="59"/>
      <c r="JBO7" s="59"/>
      <c r="JBP7" s="59"/>
      <c r="JBQ7" s="59"/>
      <c r="JBR7" s="59"/>
      <c r="JBS7" s="59"/>
      <c r="JBT7" s="59"/>
      <c r="JBU7" s="59"/>
      <c r="JBV7" s="59"/>
      <c r="JBW7" s="59"/>
      <c r="JBX7" s="59"/>
      <c r="JBY7" s="59"/>
      <c r="JBZ7" s="59"/>
      <c r="JCA7" s="59"/>
      <c r="JCB7" s="59"/>
      <c r="JCC7" s="59"/>
      <c r="JCD7" s="59"/>
      <c r="JCE7" s="59"/>
      <c r="JCF7" s="59"/>
      <c r="JCG7" s="59"/>
      <c r="JCH7" s="59"/>
      <c r="JCI7" s="59"/>
      <c r="JCJ7" s="59"/>
      <c r="JCK7" s="59"/>
      <c r="JCL7" s="59"/>
      <c r="JCM7" s="59"/>
      <c r="JCN7" s="59"/>
      <c r="JCO7" s="59"/>
      <c r="JCP7" s="59"/>
      <c r="JCQ7" s="59"/>
      <c r="JCR7" s="59"/>
      <c r="JCS7" s="59"/>
      <c r="JCT7" s="59"/>
      <c r="JCU7" s="59"/>
      <c r="JCV7" s="59"/>
      <c r="JCW7" s="59"/>
      <c r="JCX7" s="59"/>
      <c r="JCY7" s="59"/>
      <c r="JCZ7" s="59"/>
      <c r="JDA7" s="59"/>
      <c r="JDB7" s="59"/>
      <c r="JDC7" s="59"/>
      <c r="JDD7" s="59"/>
      <c r="JDE7" s="59"/>
      <c r="JDF7" s="59"/>
      <c r="JDG7" s="59"/>
      <c r="JDH7" s="59"/>
      <c r="JDI7" s="59"/>
      <c r="JDJ7" s="59"/>
      <c r="JDK7" s="59"/>
      <c r="JDL7" s="59"/>
      <c r="JDM7" s="59"/>
      <c r="JDN7" s="59"/>
      <c r="JDO7" s="59"/>
      <c r="JDP7" s="59"/>
      <c r="JDQ7" s="59"/>
      <c r="JDR7" s="59"/>
      <c r="JDS7" s="59"/>
      <c r="JDT7" s="59"/>
      <c r="JDU7" s="59"/>
      <c r="JDV7" s="59"/>
      <c r="JDW7" s="59"/>
      <c r="JDX7" s="59"/>
      <c r="JDY7" s="59"/>
      <c r="JDZ7" s="59"/>
      <c r="JEA7" s="59"/>
      <c r="JEB7" s="59"/>
      <c r="JEC7" s="59"/>
      <c r="JED7" s="59"/>
      <c r="JEE7" s="59"/>
      <c r="JEF7" s="59"/>
      <c r="JEG7" s="59"/>
      <c r="JEH7" s="59"/>
      <c r="JEI7" s="59"/>
      <c r="JEJ7" s="59"/>
      <c r="JEK7" s="59"/>
      <c r="JEL7" s="59"/>
      <c r="JEM7" s="59"/>
      <c r="JEN7" s="59"/>
      <c r="JEO7" s="59"/>
      <c r="JEP7" s="59"/>
      <c r="JEQ7" s="59"/>
      <c r="JER7" s="59"/>
      <c r="JES7" s="59"/>
      <c r="JET7" s="59"/>
      <c r="JEU7" s="59"/>
      <c r="JEV7" s="59"/>
      <c r="JEW7" s="59"/>
      <c r="JEX7" s="59"/>
      <c r="JEY7" s="59"/>
      <c r="JEZ7" s="59"/>
      <c r="JFA7" s="59"/>
      <c r="JFB7" s="59"/>
      <c r="JFC7" s="59"/>
      <c r="JFD7" s="59"/>
      <c r="JFE7" s="59"/>
      <c r="JFF7" s="59"/>
      <c r="JFG7" s="59"/>
      <c r="JFH7" s="59"/>
      <c r="JFI7" s="59"/>
      <c r="JFJ7" s="59"/>
      <c r="JFK7" s="59"/>
      <c r="JFL7" s="59"/>
      <c r="JFM7" s="59"/>
      <c r="JFN7" s="59"/>
      <c r="JFO7" s="59"/>
      <c r="JFP7" s="59"/>
      <c r="JFQ7" s="59"/>
      <c r="JFR7" s="59"/>
      <c r="JFS7" s="59"/>
      <c r="JFT7" s="59"/>
      <c r="JFU7" s="59"/>
      <c r="JFV7" s="59"/>
      <c r="JFW7" s="59"/>
      <c r="JFX7" s="59"/>
      <c r="JFY7" s="59"/>
      <c r="JFZ7" s="59"/>
      <c r="JGA7" s="59"/>
      <c r="JGB7" s="59"/>
      <c r="JGC7" s="59"/>
      <c r="JGD7" s="59"/>
      <c r="JGE7" s="59"/>
      <c r="JGF7" s="59"/>
      <c r="JGG7" s="59"/>
      <c r="JGH7" s="59"/>
      <c r="JGI7" s="59"/>
      <c r="JGJ7" s="59"/>
      <c r="JGK7" s="59"/>
      <c r="JGL7" s="59"/>
      <c r="JGM7" s="59"/>
      <c r="JGN7" s="59"/>
      <c r="JGO7" s="59"/>
      <c r="JGP7" s="59"/>
      <c r="JGQ7" s="59"/>
      <c r="JGR7" s="59"/>
      <c r="JGS7" s="59"/>
      <c r="JGT7" s="59"/>
      <c r="JGU7" s="59"/>
      <c r="JGV7" s="59"/>
      <c r="JGW7" s="59"/>
      <c r="JGX7" s="59"/>
      <c r="JGY7" s="59"/>
      <c r="JGZ7" s="59"/>
      <c r="JHA7" s="59"/>
      <c r="JHB7" s="59"/>
      <c r="JHC7" s="59"/>
      <c r="JHD7" s="59"/>
      <c r="JHE7" s="59"/>
      <c r="JHF7" s="59"/>
      <c r="JHG7" s="59"/>
      <c r="JHH7" s="59"/>
      <c r="JHI7" s="59"/>
      <c r="JHJ7" s="59"/>
      <c r="JHK7" s="59"/>
      <c r="JHL7" s="59"/>
      <c r="JHM7" s="59"/>
      <c r="JHN7" s="59"/>
      <c r="JHO7" s="59"/>
      <c r="JHP7" s="59"/>
      <c r="JHQ7" s="59"/>
      <c r="JHR7" s="59"/>
      <c r="JHS7" s="59"/>
      <c r="JHT7" s="59"/>
      <c r="JHU7" s="59"/>
      <c r="JHV7" s="59"/>
      <c r="JHW7" s="59"/>
      <c r="JHX7" s="59"/>
      <c r="JHY7" s="59"/>
      <c r="JHZ7" s="59"/>
      <c r="JIA7" s="59"/>
      <c r="JIB7" s="59"/>
      <c r="JIC7" s="59"/>
      <c r="JID7" s="59"/>
      <c r="JIE7" s="59"/>
      <c r="JIF7" s="59"/>
      <c r="JIG7" s="59"/>
      <c r="JIH7" s="59"/>
      <c r="JII7" s="59"/>
      <c r="JIJ7" s="59"/>
      <c r="JIK7" s="59"/>
      <c r="JIL7" s="59"/>
      <c r="JIM7" s="59"/>
      <c r="JIN7" s="59"/>
      <c r="JIO7" s="59"/>
      <c r="JIP7" s="59"/>
      <c r="JIQ7" s="59"/>
      <c r="JIR7" s="59"/>
      <c r="JIS7" s="59"/>
      <c r="JIT7" s="59"/>
      <c r="JIU7" s="59"/>
      <c r="JIV7" s="59"/>
      <c r="JIW7" s="59"/>
      <c r="JIX7" s="59"/>
      <c r="JIY7" s="59"/>
      <c r="JIZ7" s="59"/>
      <c r="JJA7" s="59"/>
      <c r="JJB7" s="59"/>
      <c r="JJC7" s="59"/>
      <c r="JJD7" s="59"/>
      <c r="JJE7" s="59"/>
      <c r="JJF7" s="59"/>
      <c r="JJG7" s="59"/>
      <c r="JJH7" s="59"/>
      <c r="JJI7" s="59"/>
      <c r="JJJ7" s="59"/>
      <c r="JJK7" s="59"/>
      <c r="JJL7" s="59"/>
      <c r="JJM7" s="59"/>
      <c r="JJN7" s="59"/>
      <c r="JJO7" s="59"/>
      <c r="JJP7" s="59"/>
      <c r="JJQ7" s="59"/>
      <c r="JJR7" s="59"/>
      <c r="JJS7" s="59"/>
      <c r="JJT7" s="59"/>
      <c r="JJU7" s="59"/>
      <c r="JJV7" s="59"/>
      <c r="JJW7" s="59"/>
      <c r="JJX7" s="59"/>
      <c r="JJY7" s="59"/>
      <c r="JJZ7" s="59"/>
      <c r="JKA7" s="59"/>
      <c r="JKB7" s="59"/>
      <c r="JKC7" s="59"/>
      <c r="JKD7" s="59"/>
      <c r="JKE7" s="59"/>
      <c r="JKF7" s="59"/>
      <c r="JKG7" s="59"/>
      <c r="JKH7" s="59"/>
      <c r="JKI7" s="59"/>
      <c r="JKJ7" s="59"/>
      <c r="JKK7" s="59"/>
      <c r="JKL7" s="59"/>
      <c r="JKM7" s="59"/>
      <c r="JKN7" s="59"/>
      <c r="JKO7" s="59"/>
      <c r="JKP7" s="59"/>
      <c r="JKQ7" s="59"/>
      <c r="JKR7" s="59"/>
      <c r="JKS7" s="59"/>
      <c r="JKT7" s="59"/>
      <c r="JKU7" s="59"/>
      <c r="JKV7" s="59"/>
      <c r="JKW7" s="59"/>
      <c r="JKX7" s="59"/>
      <c r="JKY7" s="59"/>
      <c r="JKZ7" s="59"/>
      <c r="JLA7" s="59"/>
      <c r="JLB7" s="59"/>
      <c r="JLC7" s="59"/>
      <c r="JLD7" s="59"/>
      <c r="JLE7" s="59"/>
      <c r="JLF7" s="59"/>
      <c r="JLG7" s="59"/>
      <c r="JLH7" s="59"/>
      <c r="JLI7" s="59"/>
      <c r="JLJ7" s="59"/>
      <c r="JLK7" s="59"/>
      <c r="JLL7" s="59"/>
      <c r="JLM7" s="59"/>
      <c r="JLN7" s="59"/>
      <c r="JLO7" s="59"/>
      <c r="JLP7" s="59"/>
      <c r="JLQ7" s="59"/>
      <c r="JLR7" s="59"/>
      <c r="JLS7" s="59"/>
      <c r="JLT7" s="59"/>
      <c r="JLU7" s="59"/>
      <c r="JLV7" s="59"/>
      <c r="JLW7" s="59"/>
      <c r="JLX7" s="59"/>
      <c r="JLY7" s="59"/>
      <c r="JLZ7" s="59"/>
      <c r="JMA7" s="59"/>
      <c r="JMB7" s="59"/>
      <c r="JMC7" s="59"/>
      <c r="JMD7" s="59"/>
      <c r="JME7" s="59"/>
      <c r="JMF7" s="59"/>
      <c r="JMG7" s="59"/>
      <c r="JMH7" s="59"/>
      <c r="JMI7" s="59"/>
      <c r="JMJ7" s="59"/>
      <c r="JMK7" s="59"/>
      <c r="JML7" s="59"/>
      <c r="JMM7" s="59"/>
      <c r="JMN7" s="59"/>
      <c r="JMO7" s="59"/>
      <c r="JMP7" s="59"/>
      <c r="JMQ7" s="59"/>
      <c r="JMR7" s="59"/>
      <c r="JMS7" s="59"/>
      <c r="JMT7" s="59"/>
      <c r="JMU7" s="59"/>
      <c r="JMV7" s="59"/>
      <c r="JMW7" s="59"/>
      <c r="JMX7" s="59"/>
      <c r="JMY7" s="59"/>
      <c r="JMZ7" s="59"/>
      <c r="JNA7" s="59"/>
      <c r="JNB7" s="59"/>
      <c r="JNC7" s="59"/>
      <c r="JND7" s="59"/>
      <c r="JNE7" s="59"/>
      <c r="JNF7" s="59"/>
      <c r="JNG7" s="59"/>
      <c r="JNH7" s="59"/>
      <c r="JNI7" s="59"/>
      <c r="JNJ7" s="59"/>
      <c r="JNK7" s="59"/>
      <c r="JNL7" s="59"/>
      <c r="JNM7" s="59"/>
      <c r="JNN7" s="59"/>
      <c r="JNO7" s="59"/>
      <c r="JNP7" s="59"/>
      <c r="JNQ7" s="59"/>
      <c r="JNR7" s="59"/>
      <c r="JNS7" s="59"/>
      <c r="JNT7" s="59"/>
      <c r="JNU7" s="59"/>
      <c r="JNV7" s="59"/>
      <c r="JNW7" s="59"/>
      <c r="JNX7" s="59"/>
      <c r="JNY7" s="59"/>
      <c r="JNZ7" s="59"/>
      <c r="JOA7" s="59"/>
      <c r="JOB7" s="59"/>
      <c r="JOC7" s="59"/>
      <c r="JOD7" s="59"/>
      <c r="JOE7" s="59"/>
      <c r="JOF7" s="59"/>
      <c r="JOG7" s="59"/>
      <c r="JOH7" s="59"/>
      <c r="JOI7" s="59"/>
      <c r="JOJ7" s="59"/>
      <c r="JOK7" s="59"/>
      <c r="JOL7" s="59"/>
      <c r="JOM7" s="59"/>
      <c r="JON7" s="59"/>
      <c r="JOO7" s="59"/>
      <c r="JOP7" s="59"/>
      <c r="JOQ7" s="59"/>
      <c r="JOR7" s="59"/>
      <c r="JOS7" s="59"/>
      <c r="JOT7" s="59"/>
      <c r="JOU7" s="59"/>
      <c r="JOV7" s="59"/>
      <c r="JOW7" s="59"/>
      <c r="JOX7" s="59"/>
      <c r="JOY7" s="59"/>
      <c r="JOZ7" s="59"/>
      <c r="JPA7" s="59"/>
      <c r="JPB7" s="59"/>
      <c r="JPC7" s="59"/>
      <c r="JPD7" s="59"/>
      <c r="JPE7" s="59"/>
      <c r="JPF7" s="59"/>
      <c r="JPG7" s="59"/>
      <c r="JPH7" s="59"/>
      <c r="JPI7" s="59"/>
      <c r="JPJ7" s="59"/>
      <c r="JPK7" s="59"/>
      <c r="JPL7" s="59"/>
      <c r="JPM7" s="59"/>
      <c r="JPN7" s="59"/>
      <c r="JPO7" s="59"/>
      <c r="JPP7" s="59"/>
      <c r="JPQ7" s="59"/>
      <c r="JPR7" s="59"/>
      <c r="JPS7" s="59"/>
      <c r="JPT7" s="59"/>
      <c r="JPU7" s="59"/>
      <c r="JPV7" s="59"/>
      <c r="JPW7" s="59"/>
      <c r="JPX7" s="59"/>
      <c r="JPY7" s="59"/>
      <c r="JPZ7" s="59"/>
      <c r="JQA7" s="59"/>
      <c r="JQB7" s="59"/>
      <c r="JQC7" s="59"/>
      <c r="JQD7" s="59"/>
      <c r="JQE7" s="59"/>
      <c r="JQF7" s="59"/>
      <c r="JQG7" s="59"/>
      <c r="JQH7" s="59"/>
      <c r="JQI7" s="59"/>
      <c r="JQJ7" s="59"/>
      <c r="JQK7" s="59"/>
      <c r="JQL7" s="59"/>
      <c r="JQM7" s="59"/>
      <c r="JQN7" s="59"/>
      <c r="JQO7" s="59"/>
      <c r="JQP7" s="59"/>
      <c r="JQQ7" s="59"/>
      <c r="JQR7" s="59"/>
      <c r="JQS7" s="59"/>
      <c r="JQT7" s="59"/>
      <c r="JQU7" s="59"/>
      <c r="JQV7" s="59"/>
      <c r="JQW7" s="59"/>
      <c r="JQX7" s="59"/>
      <c r="JQY7" s="59"/>
      <c r="JQZ7" s="59"/>
      <c r="JRA7" s="59"/>
      <c r="JRB7" s="59"/>
      <c r="JRC7" s="59"/>
      <c r="JRD7" s="59"/>
      <c r="JRE7" s="59"/>
      <c r="JRF7" s="59"/>
      <c r="JRG7" s="59"/>
      <c r="JRH7" s="59"/>
      <c r="JRI7" s="59"/>
      <c r="JRJ7" s="59"/>
      <c r="JRK7" s="59"/>
      <c r="JRL7" s="59"/>
      <c r="JRM7" s="59"/>
      <c r="JRN7" s="59"/>
      <c r="JRO7" s="59"/>
      <c r="JRP7" s="59"/>
      <c r="JRQ7" s="59"/>
      <c r="JRR7" s="59"/>
      <c r="JRS7" s="59"/>
      <c r="JRT7" s="59"/>
      <c r="JRU7" s="59"/>
      <c r="JRV7" s="59"/>
      <c r="JRW7" s="59"/>
      <c r="JRX7" s="59"/>
      <c r="JRY7" s="59"/>
      <c r="JRZ7" s="59"/>
      <c r="JSA7" s="59"/>
      <c r="JSB7" s="59"/>
      <c r="JSC7" s="59"/>
      <c r="JSD7" s="59"/>
      <c r="JSE7" s="59"/>
      <c r="JSF7" s="59"/>
      <c r="JSG7" s="59"/>
      <c r="JSH7" s="59"/>
      <c r="JSI7" s="59"/>
      <c r="JSJ7" s="59"/>
      <c r="JSK7" s="59"/>
      <c r="JSL7" s="59"/>
      <c r="JSM7" s="59"/>
      <c r="JSN7" s="59"/>
      <c r="JSO7" s="59"/>
      <c r="JSP7" s="59"/>
      <c r="JSQ7" s="59"/>
      <c r="JSR7" s="59"/>
      <c r="JSS7" s="59"/>
      <c r="JST7" s="59"/>
      <c r="JSU7" s="59"/>
      <c r="JSV7" s="59"/>
      <c r="JSW7" s="59"/>
      <c r="JSX7" s="59"/>
      <c r="JSY7" s="59"/>
      <c r="JSZ7" s="59"/>
      <c r="JTA7" s="59"/>
      <c r="JTB7" s="59"/>
      <c r="JTC7" s="59"/>
      <c r="JTD7" s="59"/>
      <c r="JTE7" s="59"/>
      <c r="JTF7" s="59"/>
      <c r="JTG7" s="59"/>
      <c r="JTH7" s="59"/>
      <c r="JTI7" s="59"/>
      <c r="JTJ7" s="59"/>
      <c r="JTK7" s="59"/>
      <c r="JTL7" s="59"/>
      <c r="JTM7" s="59"/>
      <c r="JTN7" s="59"/>
      <c r="JTO7" s="59"/>
      <c r="JTP7" s="59"/>
      <c r="JTQ7" s="59"/>
      <c r="JTR7" s="59"/>
      <c r="JTS7" s="59"/>
      <c r="JTT7" s="59"/>
      <c r="JTU7" s="59"/>
      <c r="JTV7" s="59"/>
      <c r="JTW7" s="59"/>
      <c r="JTX7" s="59"/>
      <c r="JTY7" s="59"/>
      <c r="JTZ7" s="59"/>
      <c r="JUA7" s="59"/>
      <c r="JUB7" s="59"/>
      <c r="JUC7" s="59"/>
      <c r="JUD7" s="59"/>
      <c r="JUE7" s="59"/>
      <c r="JUF7" s="59"/>
      <c r="JUG7" s="59"/>
      <c r="JUH7" s="59"/>
      <c r="JUI7" s="59"/>
      <c r="JUJ7" s="59"/>
      <c r="JUK7" s="59"/>
      <c r="JUL7" s="59"/>
      <c r="JUM7" s="59"/>
      <c r="JUN7" s="59"/>
      <c r="JUO7" s="59"/>
      <c r="JUP7" s="59"/>
      <c r="JUQ7" s="59"/>
      <c r="JUR7" s="59"/>
      <c r="JUS7" s="59"/>
      <c r="JUT7" s="59"/>
      <c r="JUU7" s="59"/>
      <c r="JUV7" s="59"/>
      <c r="JUW7" s="59"/>
      <c r="JUX7" s="59"/>
      <c r="JUY7" s="59"/>
      <c r="JUZ7" s="59"/>
      <c r="JVA7" s="59"/>
      <c r="JVB7" s="59"/>
      <c r="JVC7" s="59"/>
      <c r="JVD7" s="59"/>
      <c r="JVE7" s="59"/>
      <c r="JVF7" s="59"/>
      <c r="JVG7" s="59"/>
      <c r="JVH7" s="59"/>
      <c r="JVI7" s="59"/>
      <c r="JVJ7" s="59"/>
      <c r="JVK7" s="59"/>
      <c r="JVL7" s="59"/>
      <c r="JVM7" s="59"/>
      <c r="JVN7" s="59"/>
      <c r="JVO7" s="59"/>
      <c r="JVP7" s="59"/>
      <c r="JVQ7" s="59"/>
      <c r="JVR7" s="59"/>
      <c r="JVS7" s="59"/>
      <c r="JVT7" s="59"/>
      <c r="JVU7" s="59"/>
      <c r="JVV7" s="59"/>
      <c r="JVW7" s="59"/>
      <c r="JVX7" s="59"/>
      <c r="JVY7" s="59"/>
      <c r="JVZ7" s="59"/>
      <c r="JWA7" s="59"/>
      <c r="JWB7" s="59"/>
      <c r="JWC7" s="59"/>
      <c r="JWD7" s="59"/>
      <c r="JWE7" s="59"/>
      <c r="JWF7" s="59"/>
      <c r="JWG7" s="59"/>
      <c r="JWH7" s="59"/>
      <c r="JWI7" s="59"/>
      <c r="JWJ7" s="59"/>
      <c r="JWK7" s="59"/>
      <c r="JWL7" s="59"/>
      <c r="JWM7" s="59"/>
      <c r="JWN7" s="59"/>
      <c r="JWO7" s="59"/>
      <c r="JWP7" s="59"/>
      <c r="JWQ7" s="59"/>
      <c r="JWR7" s="59"/>
      <c r="JWS7" s="59"/>
      <c r="JWT7" s="59"/>
      <c r="JWU7" s="59"/>
      <c r="JWV7" s="59"/>
      <c r="JWW7" s="59"/>
      <c r="JWX7" s="59"/>
      <c r="JWY7" s="59"/>
      <c r="JWZ7" s="59"/>
      <c r="JXA7" s="59"/>
      <c r="JXB7" s="59"/>
      <c r="JXC7" s="59"/>
      <c r="JXD7" s="59"/>
      <c r="JXE7" s="59"/>
      <c r="JXF7" s="59"/>
      <c r="JXG7" s="59"/>
      <c r="JXH7" s="59"/>
      <c r="JXI7" s="59"/>
      <c r="JXJ7" s="59"/>
      <c r="JXK7" s="59"/>
      <c r="JXL7" s="59"/>
      <c r="JXM7" s="59"/>
      <c r="JXN7" s="59"/>
      <c r="JXO7" s="59"/>
      <c r="JXP7" s="59"/>
      <c r="JXQ7" s="59"/>
      <c r="JXR7" s="59"/>
      <c r="JXS7" s="59"/>
      <c r="JXT7" s="59"/>
      <c r="JXU7" s="59"/>
      <c r="JXV7" s="59"/>
      <c r="JXW7" s="59"/>
      <c r="JXX7" s="59"/>
      <c r="JXY7" s="59"/>
      <c r="JXZ7" s="59"/>
      <c r="JYA7" s="59"/>
      <c r="JYB7" s="59"/>
      <c r="JYC7" s="59"/>
      <c r="JYD7" s="59"/>
      <c r="JYE7" s="59"/>
      <c r="JYF7" s="59"/>
      <c r="JYG7" s="59"/>
      <c r="JYH7" s="59"/>
      <c r="JYI7" s="59"/>
      <c r="JYJ7" s="59"/>
      <c r="JYK7" s="59"/>
      <c r="JYL7" s="59"/>
      <c r="JYM7" s="59"/>
      <c r="JYN7" s="59"/>
      <c r="JYO7" s="59"/>
      <c r="JYP7" s="59"/>
      <c r="JYQ7" s="59"/>
      <c r="JYR7" s="59"/>
      <c r="JYS7" s="59"/>
      <c r="JYT7" s="59"/>
      <c r="JYU7" s="59"/>
      <c r="JYV7" s="59"/>
      <c r="JYW7" s="59"/>
      <c r="JYX7" s="59"/>
      <c r="JYY7" s="59"/>
      <c r="JYZ7" s="59"/>
      <c r="JZA7" s="59"/>
      <c r="JZB7" s="59"/>
      <c r="JZC7" s="59"/>
      <c r="JZD7" s="59"/>
      <c r="JZE7" s="59"/>
      <c r="JZF7" s="59"/>
      <c r="JZG7" s="59"/>
      <c r="JZH7" s="59"/>
      <c r="JZI7" s="59"/>
      <c r="JZJ7" s="59"/>
      <c r="JZK7" s="59"/>
      <c r="JZL7" s="59"/>
      <c r="JZM7" s="59"/>
      <c r="JZN7" s="59"/>
      <c r="JZO7" s="59"/>
      <c r="JZP7" s="59"/>
      <c r="JZQ7" s="59"/>
      <c r="JZR7" s="59"/>
      <c r="JZS7" s="59"/>
      <c r="JZT7" s="59"/>
      <c r="JZU7" s="59"/>
      <c r="JZV7" s="59"/>
      <c r="JZW7" s="59"/>
      <c r="JZX7" s="59"/>
      <c r="JZY7" s="59"/>
      <c r="JZZ7" s="59"/>
      <c r="KAA7" s="59"/>
      <c r="KAB7" s="59"/>
      <c r="KAC7" s="59"/>
      <c r="KAD7" s="59"/>
      <c r="KAE7" s="59"/>
      <c r="KAF7" s="59"/>
      <c r="KAG7" s="59"/>
      <c r="KAH7" s="59"/>
      <c r="KAI7" s="59"/>
      <c r="KAJ7" s="59"/>
      <c r="KAK7" s="59"/>
      <c r="KAL7" s="59"/>
      <c r="KAM7" s="59"/>
      <c r="KAN7" s="59"/>
      <c r="KAO7" s="59"/>
      <c r="KAP7" s="59"/>
      <c r="KAQ7" s="59"/>
      <c r="KAR7" s="59"/>
      <c r="KAS7" s="59"/>
      <c r="KAT7" s="59"/>
      <c r="KAU7" s="59"/>
      <c r="KAV7" s="59"/>
      <c r="KAW7" s="59"/>
      <c r="KAX7" s="59"/>
      <c r="KAY7" s="59"/>
      <c r="KAZ7" s="59"/>
      <c r="KBA7" s="59"/>
      <c r="KBB7" s="59"/>
      <c r="KBC7" s="59"/>
      <c r="KBD7" s="59"/>
      <c r="KBE7" s="59"/>
      <c r="KBF7" s="59"/>
      <c r="KBG7" s="59"/>
      <c r="KBH7" s="59"/>
      <c r="KBI7" s="59"/>
      <c r="KBJ7" s="59"/>
      <c r="KBK7" s="59"/>
      <c r="KBL7" s="59"/>
      <c r="KBM7" s="59"/>
      <c r="KBN7" s="59"/>
      <c r="KBO7" s="59"/>
      <c r="KBP7" s="59"/>
      <c r="KBQ7" s="59"/>
      <c r="KBR7" s="59"/>
      <c r="KBS7" s="59"/>
      <c r="KBT7" s="59"/>
      <c r="KBU7" s="59"/>
      <c r="KBV7" s="59"/>
      <c r="KBW7" s="59"/>
      <c r="KBX7" s="59"/>
      <c r="KBY7" s="59"/>
      <c r="KBZ7" s="59"/>
      <c r="KCA7" s="59"/>
      <c r="KCB7" s="59"/>
      <c r="KCC7" s="59"/>
      <c r="KCD7" s="59"/>
      <c r="KCE7" s="59"/>
      <c r="KCF7" s="59"/>
      <c r="KCG7" s="59"/>
      <c r="KCH7" s="59"/>
      <c r="KCI7" s="59"/>
      <c r="KCJ7" s="59"/>
      <c r="KCK7" s="59"/>
      <c r="KCL7" s="59"/>
      <c r="KCM7" s="59"/>
      <c r="KCN7" s="59"/>
      <c r="KCO7" s="59"/>
      <c r="KCP7" s="59"/>
      <c r="KCQ7" s="59"/>
      <c r="KCR7" s="59"/>
      <c r="KCS7" s="59"/>
      <c r="KCT7" s="59"/>
      <c r="KCU7" s="59"/>
      <c r="KCV7" s="59"/>
      <c r="KCW7" s="59"/>
      <c r="KCX7" s="59"/>
      <c r="KCY7" s="59"/>
      <c r="KCZ7" s="59"/>
      <c r="KDA7" s="59"/>
      <c r="KDB7" s="59"/>
      <c r="KDC7" s="59"/>
      <c r="KDD7" s="59"/>
      <c r="KDE7" s="59"/>
      <c r="KDF7" s="59"/>
      <c r="KDG7" s="59"/>
      <c r="KDH7" s="59"/>
      <c r="KDI7" s="59"/>
      <c r="KDJ7" s="59"/>
      <c r="KDK7" s="59"/>
      <c r="KDL7" s="59"/>
      <c r="KDM7" s="59"/>
      <c r="KDN7" s="59"/>
      <c r="KDO7" s="59"/>
      <c r="KDP7" s="59"/>
      <c r="KDQ7" s="59"/>
      <c r="KDR7" s="59"/>
      <c r="KDS7" s="59"/>
      <c r="KDT7" s="59"/>
      <c r="KDU7" s="59"/>
      <c r="KDV7" s="59"/>
      <c r="KDW7" s="59"/>
      <c r="KDX7" s="59"/>
      <c r="KDY7" s="59"/>
      <c r="KDZ7" s="59"/>
      <c r="KEA7" s="59"/>
      <c r="KEB7" s="59"/>
      <c r="KEC7" s="59"/>
      <c r="KED7" s="59"/>
      <c r="KEE7" s="59"/>
      <c r="KEF7" s="59"/>
      <c r="KEG7" s="59"/>
      <c r="KEH7" s="59"/>
      <c r="KEI7" s="59"/>
      <c r="KEJ7" s="59"/>
      <c r="KEK7" s="59"/>
      <c r="KEL7" s="59"/>
      <c r="KEM7" s="59"/>
      <c r="KEN7" s="59"/>
      <c r="KEO7" s="59"/>
      <c r="KEP7" s="59"/>
      <c r="KEQ7" s="59"/>
      <c r="KER7" s="59"/>
      <c r="KES7" s="59"/>
      <c r="KET7" s="59"/>
      <c r="KEU7" s="59"/>
      <c r="KEV7" s="59"/>
      <c r="KEW7" s="59"/>
      <c r="KEX7" s="59"/>
      <c r="KEY7" s="59"/>
      <c r="KEZ7" s="59"/>
      <c r="KFA7" s="59"/>
      <c r="KFB7" s="59"/>
      <c r="KFC7" s="59"/>
      <c r="KFD7" s="59"/>
      <c r="KFE7" s="59"/>
      <c r="KFF7" s="59"/>
      <c r="KFG7" s="59"/>
      <c r="KFH7" s="59"/>
      <c r="KFI7" s="59"/>
      <c r="KFJ7" s="59"/>
      <c r="KFK7" s="59"/>
      <c r="KFL7" s="59"/>
      <c r="KFM7" s="59"/>
      <c r="KFN7" s="59"/>
      <c r="KFO7" s="59"/>
      <c r="KFP7" s="59"/>
      <c r="KFQ7" s="59"/>
      <c r="KFR7" s="59"/>
      <c r="KFS7" s="59"/>
      <c r="KFT7" s="59"/>
      <c r="KFU7" s="59"/>
      <c r="KFV7" s="59"/>
      <c r="KFW7" s="59"/>
      <c r="KFX7" s="59"/>
      <c r="KFY7" s="59"/>
      <c r="KFZ7" s="59"/>
      <c r="KGA7" s="59"/>
      <c r="KGB7" s="59"/>
      <c r="KGC7" s="59"/>
      <c r="KGD7" s="59"/>
      <c r="KGE7" s="59"/>
      <c r="KGF7" s="59"/>
      <c r="KGG7" s="59"/>
      <c r="KGH7" s="59"/>
      <c r="KGI7" s="59"/>
      <c r="KGJ7" s="59"/>
      <c r="KGK7" s="59"/>
      <c r="KGL7" s="59"/>
      <c r="KGM7" s="59"/>
      <c r="KGN7" s="59"/>
      <c r="KGO7" s="59"/>
      <c r="KGP7" s="59"/>
      <c r="KGQ7" s="59"/>
      <c r="KGR7" s="59"/>
      <c r="KGS7" s="59"/>
      <c r="KGT7" s="59"/>
      <c r="KGU7" s="59"/>
      <c r="KGV7" s="59"/>
      <c r="KGW7" s="59"/>
      <c r="KGX7" s="59"/>
      <c r="KGY7" s="59"/>
      <c r="KGZ7" s="59"/>
      <c r="KHA7" s="59"/>
      <c r="KHB7" s="59"/>
      <c r="KHC7" s="59"/>
      <c r="KHD7" s="59"/>
      <c r="KHE7" s="59"/>
      <c r="KHF7" s="59"/>
      <c r="KHG7" s="59"/>
      <c r="KHH7" s="59"/>
      <c r="KHI7" s="59"/>
      <c r="KHJ7" s="59"/>
      <c r="KHK7" s="59"/>
      <c r="KHL7" s="59"/>
      <c r="KHM7" s="59"/>
      <c r="KHN7" s="59"/>
      <c r="KHO7" s="59"/>
      <c r="KHP7" s="59"/>
      <c r="KHQ7" s="59"/>
      <c r="KHR7" s="59"/>
      <c r="KHS7" s="59"/>
      <c r="KHT7" s="59"/>
      <c r="KHU7" s="59"/>
      <c r="KHV7" s="59"/>
      <c r="KHW7" s="59"/>
      <c r="KHX7" s="59"/>
      <c r="KHY7" s="59"/>
      <c r="KHZ7" s="59"/>
      <c r="KIA7" s="59"/>
      <c r="KIB7" s="59"/>
      <c r="KIC7" s="59"/>
      <c r="KID7" s="59"/>
      <c r="KIE7" s="59"/>
      <c r="KIF7" s="59"/>
      <c r="KIG7" s="59"/>
      <c r="KIH7" s="59"/>
      <c r="KII7" s="59"/>
      <c r="KIJ7" s="59"/>
      <c r="KIK7" s="59"/>
      <c r="KIL7" s="59"/>
      <c r="KIM7" s="59"/>
      <c r="KIN7" s="59"/>
      <c r="KIO7" s="59"/>
      <c r="KIP7" s="59"/>
      <c r="KIQ7" s="59"/>
      <c r="KIR7" s="59"/>
      <c r="KIS7" s="59"/>
      <c r="KIT7" s="59"/>
      <c r="KIU7" s="59"/>
      <c r="KIV7" s="59"/>
      <c r="KIW7" s="59"/>
      <c r="KIX7" s="59"/>
      <c r="KIY7" s="59"/>
      <c r="KIZ7" s="59"/>
      <c r="KJA7" s="59"/>
      <c r="KJB7" s="59"/>
      <c r="KJC7" s="59"/>
      <c r="KJD7" s="59"/>
      <c r="KJE7" s="59"/>
      <c r="KJF7" s="59"/>
      <c r="KJG7" s="59"/>
      <c r="KJH7" s="59"/>
      <c r="KJI7" s="59"/>
      <c r="KJJ7" s="59"/>
      <c r="KJK7" s="59"/>
      <c r="KJL7" s="59"/>
      <c r="KJM7" s="59"/>
      <c r="KJN7" s="59"/>
      <c r="KJO7" s="59"/>
      <c r="KJP7" s="59"/>
      <c r="KJQ7" s="59"/>
      <c r="KJR7" s="59"/>
      <c r="KJS7" s="59"/>
      <c r="KJT7" s="59"/>
      <c r="KJU7" s="59"/>
      <c r="KJV7" s="59"/>
      <c r="KJW7" s="59"/>
      <c r="KJX7" s="59"/>
      <c r="KJY7" s="59"/>
      <c r="KJZ7" s="59"/>
      <c r="KKA7" s="59"/>
      <c r="KKB7" s="59"/>
      <c r="KKC7" s="59"/>
      <c r="KKD7" s="59"/>
      <c r="KKE7" s="59"/>
      <c r="KKF7" s="59"/>
      <c r="KKG7" s="59"/>
      <c r="KKH7" s="59"/>
      <c r="KKI7" s="59"/>
      <c r="KKJ7" s="59"/>
      <c r="KKK7" s="59"/>
      <c r="KKL7" s="59"/>
      <c r="KKM7" s="59"/>
      <c r="KKN7" s="59"/>
      <c r="KKO7" s="59"/>
      <c r="KKP7" s="59"/>
      <c r="KKQ7" s="59"/>
      <c r="KKR7" s="59"/>
      <c r="KKS7" s="59"/>
      <c r="KKT7" s="59"/>
      <c r="KKU7" s="59"/>
      <c r="KKV7" s="59"/>
      <c r="KKW7" s="59"/>
      <c r="KKX7" s="59"/>
      <c r="KKY7" s="59"/>
      <c r="KKZ7" s="59"/>
      <c r="KLA7" s="59"/>
      <c r="KLB7" s="59"/>
      <c r="KLC7" s="59"/>
      <c r="KLD7" s="59"/>
      <c r="KLE7" s="59"/>
      <c r="KLF7" s="59"/>
      <c r="KLG7" s="59"/>
      <c r="KLH7" s="59"/>
      <c r="KLI7" s="59"/>
      <c r="KLJ7" s="59"/>
      <c r="KLK7" s="59"/>
      <c r="KLL7" s="59"/>
      <c r="KLM7" s="59"/>
      <c r="KLN7" s="59"/>
      <c r="KLO7" s="59"/>
      <c r="KLP7" s="59"/>
      <c r="KLQ7" s="59"/>
      <c r="KLR7" s="59"/>
      <c r="KLS7" s="59"/>
      <c r="KLT7" s="59"/>
      <c r="KLU7" s="59"/>
      <c r="KLV7" s="59"/>
      <c r="KLW7" s="59"/>
      <c r="KLX7" s="59"/>
      <c r="KLY7" s="59"/>
      <c r="KLZ7" s="59"/>
      <c r="KMA7" s="59"/>
      <c r="KMB7" s="59"/>
      <c r="KMC7" s="59"/>
      <c r="KMD7" s="59"/>
      <c r="KME7" s="59"/>
      <c r="KMF7" s="59"/>
      <c r="KMG7" s="59"/>
      <c r="KMH7" s="59"/>
      <c r="KMI7" s="59"/>
      <c r="KMJ7" s="59"/>
      <c r="KMK7" s="59"/>
      <c r="KML7" s="59"/>
      <c r="KMM7" s="59"/>
      <c r="KMN7" s="59"/>
      <c r="KMO7" s="59"/>
      <c r="KMP7" s="59"/>
      <c r="KMQ7" s="59"/>
      <c r="KMR7" s="59"/>
      <c r="KMS7" s="59"/>
      <c r="KMT7" s="59"/>
      <c r="KMU7" s="59"/>
      <c r="KMV7" s="59"/>
      <c r="KMW7" s="59"/>
      <c r="KMX7" s="59"/>
      <c r="KMY7" s="59"/>
      <c r="KMZ7" s="59"/>
      <c r="KNA7" s="59"/>
      <c r="KNB7" s="59"/>
      <c r="KNC7" s="59"/>
      <c r="KND7" s="59"/>
      <c r="KNE7" s="59"/>
      <c r="KNF7" s="59"/>
      <c r="KNG7" s="59"/>
      <c r="KNH7" s="59"/>
      <c r="KNI7" s="59"/>
      <c r="KNJ7" s="59"/>
      <c r="KNK7" s="59"/>
      <c r="KNL7" s="59"/>
      <c r="KNM7" s="59"/>
      <c r="KNN7" s="59"/>
      <c r="KNO7" s="59"/>
      <c r="KNP7" s="59"/>
      <c r="KNQ7" s="59"/>
      <c r="KNR7" s="59"/>
      <c r="KNS7" s="59"/>
      <c r="KNT7" s="59"/>
      <c r="KNU7" s="59"/>
      <c r="KNV7" s="59"/>
      <c r="KNW7" s="59"/>
      <c r="KNX7" s="59"/>
      <c r="KNY7" s="59"/>
      <c r="KNZ7" s="59"/>
      <c r="KOA7" s="59"/>
      <c r="KOB7" s="59"/>
      <c r="KOC7" s="59"/>
      <c r="KOD7" s="59"/>
      <c r="KOE7" s="59"/>
      <c r="KOF7" s="59"/>
      <c r="KOG7" s="59"/>
      <c r="KOH7" s="59"/>
      <c r="KOI7" s="59"/>
      <c r="KOJ7" s="59"/>
      <c r="KOK7" s="59"/>
      <c r="KOL7" s="59"/>
      <c r="KOM7" s="59"/>
      <c r="KON7" s="59"/>
      <c r="KOO7" s="59"/>
      <c r="KOP7" s="59"/>
      <c r="KOQ7" s="59"/>
      <c r="KOR7" s="59"/>
      <c r="KOS7" s="59"/>
      <c r="KOT7" s="59"/>
      <c r="KOU7" s="59"/>
      <c r="KOV7" s="59"/>
      <c r="KOW7" s="59"/>
      <c r="KOX7" s="59"/>
      <c r="KOY7" s="59"/>
      <c r="KOZ7" s="59"/>
      <c r="KPA7" s="59"/>
      <c r="KPB7" s="59"/>
      <c r="KPC7" s="59"/>
      <c r="KPD7" s="59"/>
      <c r="KPE7" s="59"/>
      <c r="KPF7" s="59"/>
      <c r="KPG7" s="59"/>
      <c r="KPH7" s="59"/>
      <c r="KPI7" s="59"/>
      <c r="KPJ7" s="59"/>
      <c r="KPK7" s="59"/>
      <c r="KPL7" s="59"/>
      <c r="KPM7" s="59"/>
      <c r="KPN7" s="59"/>
      <c r="KPO7" s="59"/>
      <c r="KPP7" s="59"/>
      <c r="KPQ7" s="59"/>
      <c r="KPR7" s="59"/>
      <c r="KPS7" s="59"/>
      <c r="KPT7" s="59"/>
      <c r="KPU7" s="59"/>
      <c r="KPV7" s="59"/>
      <c r="KPW7" s="59"/>
      <c r="KPX7" s="59"/>
      <c r="KPY7" s="59"/>
      <c r="KPZ7" s="59"/>
      <c r="KQA7" s="59"/>
      <c r="KQB7" s="59"/>
      <c r="KQC7" s="59"/>
      <c r="KQD7" s="59"/>
      <c r="KQE7" s="59"/>
      <c r="KQF7" s="59"/>
      <c r="KQG7" s="59"/>
      <c r="KQH7" s="59"/>
      <c r="KQI7" s="59"/>
      <c r="KQJ7" s="59"/>
      <c r="KQK7" s="59"/>
      <c r="KQL7" s="59"/>
      <c r="KQM7" s="59"/>
      <c r="KQN7" s="59"/>
      <c r="KQO7" s="59"/>
      <c r="KQP7" s="59"/>
      <c r="KQQ7" s="59"/>
      <c r="KQR7" s="59"/>
      <c r="KQS7" s="59"/>
      <c r="KQT7" s="59"/>
      <c r="KQU7" s="59"/>
      <c r="KQV7" s="59"/>
      <c r="KQW7" s="59"/>
      <c r="KQX7" s="59"/>
      <c r="KQY7" s="59"/>
      <c r="KQZ7" s="59"/>
      <c r="KRA7" s="59"/>
      <c r="KRB7" s="59"/>
      <c r="KRC7" s="59"/>
      <c r="KRD7" s="59"/>
      <c r="KRE7" s="59"/>
      <c r="KRF7" s="59"/>
      <c r="KRG7" s="59"/>
      <c r="KRH7" s="59"/>
      <c r="KRI7" s="59"/>
      <c r="KRJ7" s="59"/>
      <c r="KRK7" s="59"/>
      <c r="KRL7" s="59"/>
      <c r="KRM7" s="59"/>
      <c r="KRN7" s="59"/>
      <c r="KRO7" s="59"/>
      <c r="KRP7" s="59"/>
      <c r="KRQ7" s="59"/>
      <c r="KRR7" s="59"/>
      <c r="KRS7" s="59"/>
      <c r="KRT7" s="59"/>
      <c r="KRU7" s="59"/>
      <c r="KRV7" s="59"/>
      <c r="KRW7" s="59"/>
      <c r="KRX7" s="59"/>
      <c r="KRY7" s="59"/>
      <c r="KRZ7" s="59"/>
      <c r="KSA7" s="59"/>
      <c r="KSB7" s="59"/>
      <c r="KSC7" s="59"/>
      <c r="KSD7" s="59"/>
      <c r="KSE7" s="59"/>
      <c r="KSF7" s="59"/>
      <c r="KSG7" s="59"/>
      <c r="KSH7" s="59"/>
      <c r="KSI7" s="59"/>
      <c r="KSJ7" s="59"/>
      <c r="KSK7" s="59"/>
      <c r="KSL7" s="59"/>
      <c r="KSM7" s="59"/>
      <c r="KSN7" s="59"/>
      <c r="KSO7" s="59"/>
      <c r="KSP7" s="59"/>
      <c r="KSQ7" s="59"/>
      <c r="KSR7" s="59"/>
      <c r="KSS7" s="59"/>
      <c r="KST7" s="59"/>
      <c r="KSU7" s="59"/>
      <c r="KSV7" s="59"/>
      <c r="KSW7" s="59"/>
      <c r="KSX7" s="59"/>
      <c r="KSY7" s="59"/>
      <c r="KSZ7" s="59"/>
      <c r="KTA7" s="59"/>
      <c r="KTB7" s="59"/>
      <c r="KTC7" s="59"/>
      <c r="KTD7" s="59"/>
      <c r="KTE7" s="59"/>
      <c r="KTF7" s="59"/>
      <c r="KTG7" s="59"/>
      <c r="KTH7" s="59"/>
      <c r="KTI7" s="59"/>
      <c r="KTJ7" s="59"/>
      <c r="KTK7" s="59"/>
      <c r="KTL7" s="59"/>
      <c r="KTM7" s="59"/>
      <c r="KTN7" s="59"/>
      <c r="KTO7" s="59"/>
      <c r="KTP7" s="59"/>
      <c r="KTQ7" s="59"/>
      <c r="KTR7" s="59"/>
      <c r="KTS7" s="59"/>
      <c r="KTT7" s="59"/>
      <c r="KTU7" s="59"/>
      <c r="KTV7" s="59"/>
      <c r="KTW7" s="59"/>
      <c r="KTX7" s="59"/>
      <c r="KTY7" s="59"/>
      <c r="KTZ7" s="59"/>
      <c r="KUA7" s="59"/>
      <c r="KUB7" s="59"/>
      <c r="KUC7" s="59"/>
      <c r="KUD7" s="59"/>
      <c r="KUE7" s="59"/>
      <c r="KUF7" s="59"/>
      <c r="KUG7" s="59"/>
      <c r="KUH7" s="59"/>
      <c r="KUI7" s="59"/>
      <c r="KUJ7" s="59"/>
      <c r="KUK7" s="59"/>
      <c r="KUL7" s="59"/>
      <c r="KUM7" s="59"/>
      <c r="KUN7" s="59"/>
      <c r="KUO7" s="59"/>
      <c r="KUP7" s="59"/>
      <c r="KUQ7" s="59"/>
      <c r="KUR7" s="59"/>
      <c r="KUS7" s="59"/>
      <c r="KUT7" s="59"/>
      <c r="KUU7" s="59"/>
      <c r="KUV7" s="59"/>
      <c r="KUW7" s="59"/>
      <c r="KUX7" s="59"/>
      <c r="KUY7" s="59"/>
      <c r="KUZ7" s="59"/>
      <c r="KVA7" s="59"/>
      <c r="KVB7" s="59"/>
      <c r="KVC7" s="59"/>
      <c r="KVD7" s="59"/>
      <c r="KVE7" s="59"/>
      <c r="KVF7" s="59"/>
      <c r="KVG7" s="59"/>
      <c r="KVH7" s="59"/>
      <c r="KVI7" s="59"/>
      <c r="KVJ7" s="59"/>
      <c r="KVK7" s="59"/>
      <c r="KVL7" s="59"/>
      <c r="KVM7" s="59"/>
      <c r="KVN7" s="59"/>
      <c r="KVO7" s="59"/>
      <c r="KVP7" s="59"/>
      <c r="KVQ7" s="59"/>
      <c r="KVR7" s="59"/>
      <c r="KVS7" s="59"/>
      <c r="KVT7" s="59"/>
      <c r="KVU7" s="59"/>
      <c r="KVV7" s="59"/>
      <c r="KVW7" s="59"/>
      <c r="KVX7" s="59"/>
      <c r="KVY7" s="59"/>
      <c r="KVZ7" s="59"/>
      <c r="KWA7" s="59"/>
      <c r="KWB7" s="59"/>
      <c r="KWC7" s="59"/>
      <c r="KWD7" s="59"/>
      <c r="KWE7" s="59"/>
      <c r="KWF7" s="59"/>
      <c r="KWG7" s="59"/>
      <c r="KWH7" s="59"/>
      <c r="KWI7" s="59"/>
      <c r="KWJ7" s="59"/>
      <c r="KWK7" s="59"/>
      <c r="KWL7" s="59"/>
      <c r="KWM7" s="59"/>
      <c r="KWN7" s="59"/>
      <c r="KWO7" s="59"/>
      <c r="KWP7" s="59"/>
      <c r="KWQ7" s="59"/>
      <c r="KWR7" s="59"/>
      <c r="KWS7" s="59"/>
      <c r="KWT7" s="59"/>
      <c r="KWU7" s="59"/>
      <c r="KWV7" s="59"/>
      <c r="KWW7" s="59"/>
      <c r="KWX7" s="59"/>
      <c r="KWY7" s="59"/>
      <c r="KWZ7" s="59"/>
      <c r="KXA7" s="59"/>
      <c r="KXB7" s="59"/>
      <c r="KXC7" s="59"/>
      <c r="KXD7" s="59"/>
      <c r="KXE7" s="59"/>
      <c r="KXF7" s="59"/>
      <c r="KXG7" s="59"/>
      <c r="KXH7" s="59"/>
      <c r="KXI7" s="59"/>
      <c r="KXJ7" s="59"/>
      <c r="KXK7" s="59"/>
      <c r="KXL7" s="59"/>
      <c r="KXM7" s="59"/>
      <c r="KXN7" s="59"/>
      <c r="KXO7" s="59"/>
      <c r="KXP7" s="59"/>
      <c r="KXQ7" s="59"/>
      <c r="KXR7" s="59"/>
      <c r="KXS7" s="59"/>
      <c r="KXT7" s="59"/>
      <c r="KXU7" s="59"/>
      <c r="KXV7" s="59"/>
      <c r="KXW7" s="59"/>
      <c r="KXX7" s="59"/>
      <c r="KXY7" s="59"/>
      <c r="KXZ7" s="59"/>
      <c r="KYA7" s="59"/>
      <c r="KYB7" s="59"/>
      <c r="KYC7" s="59"/>
      <c r="KYD7" s="59"/>
      <c r="KYE7" s="59"/>
      <c r="KYF7" s="59"/>
      <c r="KYG7" s="59"/>
      <c r="KYH7" s="59"/>
      <c r="KYI7" s="59"/>
      <c r="KYJ7" s="59"/>
      <c r="KYK7" s="59"/>
      <c r="KYL7" s="59"/>
      <c r="KYM7" s="59"/>
      <c r="KYN7" s="59"/>
      <c r="KYO7" s="59"/>
      <c r="KYP7" s="59"/>
      <c r="KYQ7" s="59"/>
      <c r="KYR7" s="59"/>
      <c r="KYS7" s="59"/>
      <c r="KYT7" s="59"/>
      <c r="KYU7" s="59"/>
      <c r="KYV7" s="59"/>
      <c r="KYW7" s="59"/>
      <c r="KYX7" s="59"/>
      <c r="KYY7" s="59"/>
      <c r="KYZ7" s="59"/>
      <c r="KZA7" s="59"/>
      <c r="KZB7" s="59"/>
      <c r="KZC7" s="59"/>
      <c r="KZD7" s="59"/>
      <c r="KZE7" s="59"/>
      <c r="KZF7" s="59"/>
      <c r="KZG7" s="59"/>
      <c r="KZH7" s="59"/>
      <c r="KZI7" s="59"/>
      <c r="KZJ7" s="59"/>
      <c r="KZK7" s="59"/>
      <c r="KZL7" s="59"/>
      <c r="KZM7" s="59"/>
      <c r="KZN7" s="59"/>
      <c r="KZO7" s="59"/>
      <c r="KZP7" s="59"/>
      <c r="KZQ7" s="59"/>
      <c r="KZR7" s="59"/>
      <c r="KZS7" s="59"/>
      <c r="KZT7" s="59"/>
      <c r="KZU7" s="59"/>
      <c r="KZV7" s="59"/>
      <c r="KZW7" s="59"/>
      <c r="KZX7" s="59"/>
      <c r="KZY7" s="59"/>
      <c r="KZZ7" s="59"/>
      <c r="LAA7" s="59"/>
      <c r="LAB7" s="59"/>
      <c r="LAC7" s="59"/>
      <c r="LAD7" s="59"/>
      <c r="LAE7" s="59"/>
      <c r="LAF7" s="59"/>
      <c r="LAG7" s="59"/>
      <c r="LAH7" s="59"/>
      <c r="LAI7" s="59"/>
      <c r="LAJ7" s="59"/>
      <c r="LAK7" s="59"/>
      <c r="LAL7" s="59"/>
      <c r="LAM7" s="59"/>
      <c r="LAN7" s="59"/>
      <c r="LAO7" s="59"/>
      <c r="LAP7" s="59"/>
      <c r="LAQ7" s="59"/>
      <c r="LAR7" s="59"/>
      <c r="LAS7" s="59"/>
      <c r="LAT7" s="59"/>
      <c r="LAU7" s="59"/>
      <c r="LAV7" s="59"/>
      <c r="LAW7" s="59"/>
      <c r="LAX7" s="59"/>
      <c r="LAY7" s="59"/>
      <c r="LAZ7" s="59"/>
      <c r="LBA7" s="59"/>
      <c r="LBB7" s="59"/>
      <c r="LBC7" s="59"/>
      <c r="LBD7" s="59"/>
      <c r="LBE7" s="59"/>
      <c r="LBF7" s="59"/>
      <c r="LBG7" s="59"/>
      <c r="LBH7" s="59"/>
      <c r="LBI7" s="59"/>
      <c r="LBJ7" s="59"/>
      <c r="LBK7" s="59"/>
      <c r="LBL7" s="59"/>
      <c r="LBM7" s="59"/>
      <c r="LBN7" s="59"/>
      <c r="LBO7" s="59"/>
      <c r="LBP7" s="59"/>
      <c r="LBQ7" s="59"/>
      <c r="LBR7" s="59"/>
      <c r="LBS7" s="59"/>
      <c r="LBT7" s="59"/>
      <c r="LBU7" s="59"/>
      <c r="LBV7" s="59"/>
      <c r="LBW7" s="59"/>
      <c r="LBX7" s="59"/>
      <c r="LBY7" s="59"/>
      <c r="LBZ7" s="59"/>
      <c r="LCA7" s="59"/>
      <c r="LCB7" s="59"/>
      <c r="LCC7" s="59"/>
      <c r="LCD7" s="59"/>
      <c r="LCE7" s="59"/>
      <c r="LCF7" s="59"/>
      <c r="LCG7" s="59"/>
      <c r="LCH7" s="59"/>
      <c r="LCI7" s="59"/>
      <c r="LCJ7" s="59"/>
      <c r="LCK7" s="59"/>
      <c r="LCL7" s="59"/>
      <c r="LCM7" s="59"/>
      <c r="LCN7" s="59"/>
      <c r="LCO7" s="59"/>
      <c r="LCP7" s="59"/>
      <c r="LCQ7" s="59"/>
      <c r="LCR7" s="59"/>
      <c r="LCS7" s="59"/>
      <c r="LCT7" s="59"/>
      <c r="LCU7" s="59"/>
      <c r="LCV7" s="59"/>
      <c r="LCW7" s="59"/>
      <c r="LCX7" s="59"/>
      <c r="LCY7" s="59"/>
      <c r="LCZ7" s="59"/>
      <c r="LDA7" s="59"/>
      <c r="LDB7" s="59"/>
      <c r="LDC7" s="59"/>
      <c r="LDD7" s="59"/>
      <c r="LDE7" s="59"/>
      <c r="LDF7" s="59"/>
      <c r="LDG7" s="59"/>
      <c r="LDH7" s="59"/>
      <c r="LDI7" s="59"/>
      <c r="LDJ7" s="59"/>
      <c r="LDK7" s="59"/>
      <c r="LDL7" s="59"/>
      <c r="LDM7" s="59"/>
      <c r="LDN7" s="59"/>
      <c r="LDO7" s="59"/>
      <c r="LDP7" s="59"/>
      <c r="LDQ7" s="59"/>
      <c r="LDR7" s="59"/>
      <c r="LDS7" s="59"/>
      <c r="LDT7" s="59"/>
      <c r="LDU7" s="59"/>
      <c r="LDV7" s="59"/>
      <c r="LDW7" s="59"/>
      <c r="LDX7" s="59"/>
      <c r="LDY7" s="59"/>
      <c r="LDZ7" s="59"/>
      <c r="LEA7" s="59"/>
      <c r="LEB7" s="59"/>
      <c r="LEC7" s="59"/>
      <c r="LED7" s="59"/>
      <c r="LEE7" s="59"/>
      <c r="LEF7" s="59"/>
      <c r="LEG7" s="59"/>
      <c r="LEH7" s="59"/>
      <c r="LEI7" s="59"/>
      <c r="LEJ7" s="59"/>
      <c r="LEK7" s="59"/>
      <c r="LEL7" s="59"/>
      <c r="LEM7" s="59"/>
      <c r="LEN7" s="59"/>
      <c r="LEO7" s="59"/>
      <c r="LEP7" s="59"/>
      <c r="LEQ7" s="59"/>
      <c r="LER7" s="59"/>
      <c r="LES7" s="59"/>
      <c r="LET7" s="59"/>
      <c r="LEU7" s="59"/>
      <c r="LEV7" s="59"/>
      <c r="LEW7" s="59"/>
      <c r="LEX7" s="59"/>
      <c r="LEY7" s="59"/>
      <c r="LEZ7" s="59"/>
      <c r="LFA7" s="59"/>
      <c r="LFB7" s="59"/>
      <c r="LFC7" s="59"/>
      <c r="LFD7" s="59"/>
      <c r="LFE7" s="59"/>
      <c r="LFF7" s="59"/>
      <c r="LFG7" s="59"/>
      <c r="LFH7" s="59"/>
      <c r="LFI7" s="59"/>
      <c r="LFJ7" s="59"/>
      <c r="LFK7" s="59"/>
      <c r="LFL7" s="59"/>
      <c r="LFM7" s="59"/>
      <c r="LFN7" s="59"/>
      <c r="LFO7" s="59"/>
      <c r="LFP7" s="59"/>
      <c r="LFQ7" s="59"/>
      <c r="LFR7" s="59"/>
      <c r="LFS7" s="59"/>
      <c r="LFT7" s="59"/>
      <c r="LFU7" s="59"/>
      <c r="LFV7" s="59"/>
      <c r="LFW7" s="59"/>
      <c r="LFX7" s="59"/>
      <c r="LFY7" s="59"/>
      <c r="LFZ7" s="59"/>
      <c r="LGA7" s="59"/>
      <c r="LGB7" s="59"/>
      <c r="LGC7" s="59"/>
      <c r="LGD7" s="59"/>
      <c r="LGE7" s="59"/>
      <c r="LGF7" s="59"/>
      <c r="LGG7" s="59"/>
      <c r="LGH7" s="59"/>
      <c r="LGI7" s="59"/>
      <c r="LGJ7" s="59"/>
      <c r="LGK7" s="59"/>
      <c r="LGL7" s="59"/>
      <c r="LGM7" s="59"/>
      <c r="LGN7" s="59"/>
      <c r="LGO7" s="59"/>
      <c r="LGP7" s="59"/>
      <c r="LGQ7" s="59"/>
      <c r="LGR7" s="59"/>
      <c r="LGS7" s="59"/>
      <c r="LGT7" s="59"/>
      <c r="LGU7" s="59"/>
      <c r="LGV7" s="59"/>
      <c r="LGW7" s="59"/>
      <c r="LGX7" s="59"/>
      <c r="LGY7" s="59"/>
      <c r="LGZ7" s="59"/>
      <c r="LHA7" s="59"/>
      <c r="LHB7" s="59"/>
      <c r="LHC7" s="59"/>
      <c r="LHD7" s="59"/>
      <c r="LHE7" s="59"/>
      <c r="LHF7" s="59"/>
      <c r="LHG7" s="59"/>
      <c r="LHH7" s="59"/>
      <c r="LHI7" s="59"/>
      <c r="LHJ7" s="59"/>
      <c r="LHK7" s="59"/>
      <c r="LHL7" s="59"/>
      <c r="LHM7" s="59"/>
      <c r="LHN7" s="59"/>
      <c r="LHO7" s="59"/>
      <c r="LHP7" s="59"/>
      <c r="LHQ7" s="59"/>
      <c r="LHR7" s="59"/>
      <c r="LHS7" s="59"/>
      <c r="LHT7" s="59"/>
      <c r="LHU7" s="59"/>
      <c r="LHV7" s="59"/>
      <c r="LHW7" s="59"/>
      <c r="LHX7" s="59"/>
      <c r="LHY7" s="59"/>
      <c r="LHZ7" s="59"/>
      <c r="LIA7" s="59"/>
      <c r="LIB7" s="59"/>
      <c r="LIC7" s="59"/>
      <c r="LID7" s="59"/>
      <c r="LIE7" s="59"/>
      <c r="LIF7" s="59"/>
      <c r="LIG7" s="59"/>
      <c r="LIH7" s="59"/>
      <c r="LII7" s="59"/>
      <c r="LIJ7" s="59"/>
      <c r="LIK7" s="59"/>
      <c r="LIL7" s="59"/>
      <c r="LIM7" s="59"/>
      <c r="LIN7" s="59"/>
      <c r="LIO7" s="59"/>
      <c r="LIP7" s="59"/>
      <c r="LIQ7" s="59"/>
      <c r="LIR7" s="59"/>
      <c r="LIS7" s="59"/>
      <c r="LIT7" s="59"/>
      <c r="LIU7" s="59"/>
      <c r="LIV7" s="59"/>
      <c r="LIW7" s="59"/>
      <c r="LIX7" s="59"/>
      <c r="LIY7" s="59"/>
      <c r="LIZ7" s="59"/>
      <c r="LJA7" s="59"/>
      <c r="LJB7" s="59"/>
      <c r="LJC7" s="59"/>
      <c r="LJD7" s="59"/>
      <c r="LJE7" s="59"/>
      <c r="LJF7" s="59"/>
      <c r="LJG7" s="59"/>
      <c r="LJH7" s="59"/>
      <c r="LJI7" s="59"/>
      <c r="LJJ7" s="59"/>
      <c r="LJK7" s="59"/>
      <c r="LJL7" s="59"/>
      <c r="LJM7" s="59"/>
      <c r="LJN7" s="59"/>
      <c r="LJO7" s="59"/>
      <c r="LJP7" s="59"/>
      <c r="LJQ7" s="59"/>
      <c r="LJR7" s="59"/>
      <c r="LJS7" s="59"/>
      <c r="LJT7" s="59"/>
      <c r="LJU7" s="59"/>
      <c r="LJV7" s="59"/>
      <c r="LJW7" s="59"/>
      <c r="LJX7" s="59"/>
      <c r="LJY7" s="59"/>
      <c r="LJZ7" s="59"/>
      <c r="LKA7" s="59"/>
      <c r="LKB7" s="59"/>
      <c r="LKC7" s="59"/>
      <c r="LKD7" s="59"/>
      <c r="LKE7" s="59"/>
      <c r="LKF7" s="59"/>
      <c r="LKG7" s="59"/>
      <c r="LKH7" s="59"/>
      <c r="LKI7" s="59"/>
      <c r="LKJ7" s="59"/>
      <c r="LKK7" s="59"/>
      <c r="LKL7" s="59"/>
      <c r="LKM7" s="59"/>
      <c r="LKN7" s="59"/>
      <c r="LKO7" s="59"/>
      <c r="LKP7" s="59"/>
      <c r="LKQ7" s="59"/>
      <c r="LKR7" s="59"/>
      <c r="LKS7" s="59"/>
      <c r="LKT7" s="59"/>
      <c r="LKU7" s="59"/>
      <c r="LKV7" s="59"/>
      <c r="LKW7" s="59"/>
      <c r="LKX7" s="59"/>
      <c r="LKY7" s="59"/>
      <c r="LKZ7" s="59"/>
      <c r="LLA7" s="59"/>
      <c r="LLB7" s="59"/>
      <c r="LLC7" s="59"/>
      <c r="LLD7" s="59"/>
      <c r="LLE7" s="59"/>
      <c r="LLF7" s="59"/>
      <c r="LLG7" s="59"/>
      <c r="LLH7" s="59"/>
      <c r="LLI7" s="59"/>
      <c r="LLJ7" s="59"/>
      <c r="LLK7" s="59"/>
      <c r="LLL7" s="59"/>
      <c r="LLM7" s="59"/>
      <c r="LLN7" s="59"/>
      <c r="LLO7" s="59"/>
      <c r="LLP7" s="59"/>
      <c r="LLQ7" s="59"/>
      <c r="LLR7" s="59"/>
      <c r="LLS7" s="59"/>
      <c r="LLT7" s="59"/>
      <c r="LLU7" s="59"/>
      <c r="LLV7" s="59"/>
      <c r="LLW7" s="59"/>
      <c r="LLX7" s="59"/>
      <c r="LLY7" s="59"/>
      <c r="LLZ7" s="59"/>
      <c r="LMA7" s="59"/>
      <c r="LMB7" s="59"/>
      <c r="LMC7" s="59"/>
      <c r="LMD7" s="59"/>
      <c r="LME7" s="59"/>
      <c r="LMF7" s="59"/>
      <c r="LMG7" s="59"/>
      <c r="LMH7" s="59"/>
      <c r="LMI7" s="59"/>
      <c r="LMJ7" s="59"/>
      <c r="LMK7" s="59"/>
      <c r="LML7" s="59"/>
      <c r="LMM7" s="59"/>
      <c r="LMN7" s="59"/>
      <c r="LMO7" s="59"/>
      <c r="LMP7" s="59"/>
      <c r="LMQ7" s="59"/>
      <c r="LMR7" s="59"/>
      <c r="LMS7" s="59"/>
      <c r="LMT7" s="59"/>
      <c r="LMU7" s="59"/>
      <c r="LMV7" s="59"/>
      <c r="LMW7" s="59"/>
      <c r="LMX7" s="59"/>
      <c r="LMY7" s="59"/>
      <c r="LMZ7" s="59"/>
      <c r="LNA7" s="59"/>
      <c r="LNB7" s="59"/>
      <c r="LNC7" s="59"/>
      <c r="LND7" s="59"/>
      <c r="LNE7" s="59"/>
      <c r="LNF7" s="59"/>
      <c r="LNG7" s="59"/>
      <c r="LNH7" s="59"/>
      <c r="LNI7" s="59"/>
      <c r="LNJ7" s="59"/>
      <c r="LNK7" s="59"/>
      <c r="LNL7" s="59"/>
      <c r="LNM7" s="59"/>
      <c r="LNN7" s="59"/>
      <c r="LNO7" s="59"/>
      <c r="LNP7" s="59"/>
      <c r="LNQ7" s="59"/>
      <c r="LNR7" s="59"/>
      <c r="LNS7" s="59"/>
      <c r="LNT7" s="59"/>
      <c r="LNU7" s="59"/>
      <c r="LNV7" s="59"/>
      <c r="LNW7" s="59"/>
      <c r="LNX7" s="59"/>
      <c r="LNY7" s="59"/>
      <c r="LNZ7" s="59"/>
      <c r="LOA7" s="59"/>
      <c r="LOB7" s="59"/>
      <c r="LOC7" s="59"/>
      <c r="LOD7" s="59"/>
      <c r="LOE7" s="59"/>
      <c r="LOF7" s="59"/>
      <c r="LOG7" s="59"/>
      <c r="LOH7" s="59"/>
      <c r="LOI7" s="59"/>
      <c r="LOJ7" s="59"/>
      <c r="LOK7" s="59"/>
      <c r="LOL7" s="59"/>
      <c r="LOM7" s="59"/>
      <c r="LON7" s="59"/>
      <c r="LOO7" s="59"/>
      <c r="LOP7" s="59"/>
      <c r="LOQ7" s="59"/>
      <c r="LOR7" s="59"/>
      <c r="LOS7" s="59"/>
      <c r="LOT7" s="59"/>
      <c r="LOU7" s="59"/>
      <c r="LOV7" s="59"/>
      <c r="LOW7" s="59"/>
      <c r="LOX7" s="59"/>
      <c r="LOY7" s="59"/>
      <c r="LOZ7" s="59"/>
      <c r="LPA7" s="59"/>
      <c r="LPB7" s="59"/>
      <c r="LPC7" s="59"/>
      <c r="LPD7" s="59"/>
      <c r="LPE7" s="59"/>
      <c r="LPF7" s="59"/>
      <c r="LPG7" s="59"/>
      <c r="LPH7" s="59"/>
      <c r="LPI7" s="59"/>
      <c r="LPJ7" s="59"/>
      <c r="LPK7" s="59"/>
      <c r="LPL7" s="59"/>
      <c r="LPM7" s="59"/>
      <c r="LPN7" s="59"/>
      <c r="LPO7" s="59"/>
      <c r="LPP7" s="59"/>
      <c r="LPQ7" s="59"/>
      <c r="LPR7" s="59"/>
      <c r="LPS7" s="59"/>
      <c r="LPT7" s="59"/>
      <c r="LPU7" s="59"/>
      <c r="LPV7" s="59"/>
      <c r="LPW7" s="59"/>
      <c r="LPX7" s="59"/>
      <c r="LPY7" s="59"/>
      <c r="LPZ7" s="59"/>
      <c r="LQA7" s="59"/>
      <c r="LQB7" s="59"/>
      <c r="LQC7" s="59"/>
      <c r="LQD7" s="59"/>
      <c r="LQE7" s="59"/>
      <c r="LQF7" s="59"/>
      <c r="LQG7" s="59"/>
      <c r="LQH7" s="59"/>
      <c r="LQI7" s="59"/>
      <c r="LQJ7" s="59"/>
      <c r="LQK7" s="59"/>
      <c r="LQL7" s="59"/>
      <c r="LQM7" s="59"/>
      <c r="LQN7" s="59"/>
      <c r="LQO7" s="59"/>
      <c r="LQP7" s="59"/>
      <c r="LQQ7" s="59"/>
      <c r="LQR7" s="59"/>
      <c r="LQS7" s="59"/>
      <c r="LQT7" s="59"/>
      <c r="LQU7" s="59"/>
      <c r="LQV7" s="59"/>
      <c r="LQW7" s="59"/>
      <c r="LQX7" s="59"/>
      <c r="LQY7" s="59"/>
      <c r="LQZ7" s="59"/>
      <c r="LRA7" s="59"/>
      <c r="LRB7" s="59"/>
      <c r="LRC7" s="59"/>
      <c r="LRD7" s="59"/>
      <c r="LRE7" s="59"/>
      <c r="LRF7" s="59"/>
      <c r="LRG7" s="59"/>
      <c r="LRH7" s="59"/>
      <c r="LRI7" s="59"/>
      <c r="LRJ7" s="59"/>
      <c r="LRK7" s="59"/>
      <c r="LRL7" s="59"/>
      <c r="LRM7" s="59"/>
      <c r="LRN7" s="59"/>
      <c r="LRO7" s="59"/>
      <c r="LRP7" s="59"/>
      <c r="LRQ7" s="59"/>
      <c r="LRR7" s="59"/>
      <c r="LRS7" s="59"/>
      <c r="LRT7" s="59"/>
      <c r="LRU7" s="59"/>
      <c r="LRV7" s="59"/>
      <c r="LRW7" s="59"/>
      <c r="LRX7" s="59"/>
      <c r="LRY7" s="59"/>
      <c r="LRZ7" s="59"/>
      <c r="LSA7" s="59"/>
      <c r="LSB7" s="59"/>
      <c r="LSC7" s="59"/>
      <c r="LSD7" s="59"/>
      <c r="LSE7" s="59"/>
      <c r="LSF7" s="59"/>
      <c r="LSG7" s="59"/>
      <c r="LSH7" s="59"/>
      <c r="LSI7" s="59"/>
      <c r="LSJ7" s="59"/>
      <c r="LSK7" s="59"/>
      <c r="LSL7" s="59"/>
      <c r="LSM7" s="59"/>
      <c r="LSN7" s="59"/>
      <c r="LSO7" s="59"/>
      <c r="LSP7" s="59"/>
      <c r="LSQ7" s="59"/>
      <c r="LSR7" s="59"/>
      <c r="LSS7" s="59"/>
      <c r="LST7" s="59"/>
      <c r="LSU7" s="59"/>
      <c r="LSV7" s="59"/>
      <c r="LSW7" s="59"/>
      <c r="LSX7" s="59"/>
      <c r="LSY7" s="59"/>
      <c r="LSZ7" s="59"/>
      <c r="LTA7" s="59"/>
      <c r="LTB7" s="59"/>
      <c r="LTC7" s="59"/>
      <c r="LTD7" s="59"/>
      <c r="LTE7" s="59"/>
      <c r="LTF7" s="59"/>
      <c r="LTG7" s="59"/>
      <c r="LTH7" s="59"/>
      <c r="LTI7" s="59"/>
      <c r="LTJ7" s="59"/>
      <c r="LTK7" s="59"/>
      <c r="LTL7" s="59"/>
      <c r="LTM7" s="59"/>
      <c r="LTN7" s="59"/>
      <c r="LTO7" s="59"/>
      <c r="LTP7" s="59"/>
      <c r="LTQ7" s="59"/>
      <c r="LTR7" s="59"/>
      <c r="LTS7" s="59"/>
      <c r="LTT7" s="59"/>
      <c r="LTU7" s="59"/>
      <c r="LTV7" s="59"/>
      <c r="LTW7" s="59"/>
      <c r="LTX7" s="59"/>
      <c r="LTY7" s="59"/>
      <c r="LTZ7" s="59"/>
      <c r="LUA7" s="59"/>
      <c r="LUB7" s="59"/>
      <c r="LUC7" s="59"/>
      <c r="LUD7" s="59"/>
      <c r="LUE7" s="59"/>
      <c r="LUF7" s="59"/>
      <c r="LUG7" s="59"/>
      <c r="LUH7" s="59"/>
      <c r="LUI7" s="59"/>
      <c r="LUJ7" s="59"/>
      <c r="LUK7" s="59"/>
      <c r="LUL7" s="59"/>
      <c r="LUM7" s="59"/>
      <c r="LUN7" s="59"/>
      <c r="LUO7" s="59"/>
      <c r="LUP7" s="59"/>
      <c r="LUQ7" s="59"/>
      <c r="LUR7" s="59"/>
      <c r="LUS7" s="59"/>
      <c r="LUT7" s="59"/>
      <c r="LUU7" s="59"/>
      <c r="LUV7" s="59"/>
      <c r="LUW7" s="59"/>
      <c r="LUX7" s="59"/>
      <c r="LUY7" s="59"/>
      <c r="LUZ7" s="59"/>
      <c r="LVA7" s="59"/>
      <c r="LVB7" s="59"/>
      <c r="LVC7" s="59"/>
      <c r="LVD7" s="59"/>
      <c r="LVE7" s="59"/>
      <c r="LVF7" s="59"/>
      <c r="LVG7" s="59"/>
      <c r="LVH7" s="59"/>
      <c r="LVI7" s="59"/>
      <c r="LVJ7" s="59"/>
      <c r="LVK7" s="59"/>
      <c r="LVL7" s="59"/>
      <c r="LVM7" s="59"/>
      <c r="LVN7" s="59"/>
      <c r="LVO7" s="59"/>
      <c r="LVP7" s="59"/>
      <c r="LVQ7" s="59"/>
      <c r="LVR7" s="59"/>
      <c r="LVS7" s="59"/>
      <c r="LVT7" s="59"/>
      <c r="LVU7" s="59"/>
      <c r="LVV7" s="59"/>
      <c r="LVW7" s="59"/>
      <c r="LVX7" s="59"/>
      <c r="LVY7" s="59"/>
      <c r="LVZ7" s="59"/>
      <c r="LWA7" s="59"/>
      <c r="LWB7" s="59"/>
      <c r="LWC7" s="59"/>
      <c r="LWD7" s="59"/>
      <c r="LWE7" s="59"/>
      <c r="LWF7" s="59"/>
      <c r="LWG7" s="59"/>
      <c r="LWH7" s="59"/>
      <c r="LWI7" s="59"/>
      <c r="LWJ7" s="59"/>
      <c r="LWK7" s="59"/>
      <c r="LWL7" s="59"/>
      <c r="LWM7" s="59"/>
      <c r="LWN7" s="59"/>
      <c r="LWO7" s="59"/>
      <c r="LWP7" s="59"/>
      <c r="LWQ7" s="59"/>
      <c r="LWR7" s="59"/>
      <c r="LWS7" s="59"/>
      <c r="LWT7" s="59"/>
      <c r="LWU7" s="59"/>
      <c r="LWV7" s="59"/>
      <c r="LWW7" s="59"/>
      <c r="LWX7" s="59"/>
      <c r="LWY7" s="59"/>
      <c r="LWZ7" s="59"/>
      <c r="LXA7" s="59"/>
      <c r="LXB7" s="59"/>
      <c r="LXC7" s="59"/>
      <c r="LXD7" s="59"/>
      <c r="LXE7" s="59"/>
      <c r="LXF7" s="59"/>
      <c r="LXG7" s="59"/>
      <c r="LXH7" s="59"/>
      <c r="LXI7" s="59"/>
      <c r="LXJ7" s="59"/>
      <c r="LXK7" s="59"/>
      <c r="LXL7" s="59"/>
      <c r="LXM7" s="59"/>
      <c r="LXN7" s="59"/>
      <c r="LXO7" s="59"/>
      <c r="LXP7" s="59"/>
      <c r="LXQ7" s="59"/>
      <c r="LXR7" s="59"/>
      <c r="LXS7" s="59"/>
      <c r="LXT7" s="59"/>
      <c r="LXU7" s="59"/>
      <c r="LXV7" s="59"/>
      <c r="LXW7" s="59"/>
      <c r="LXX7" s="59"/>
      <c r="LXY7" s="59"/>
      <c r="LXZ7" s="59"/>
      <c r="LYA7" s="59"/>
      <c r="LYB7" s="59"/>
      <c r="LYC7" s="59"/>
      <c r="LYD7" s="59"/>
      <c r="LYE7" s="59"/>
      <c r="LYF7" s="59"/>
      <c r="LYG7" s="59"/>
      <c r="LYH7" s="59"/>
      <c r="LYI7" s="59"/>
      <c r="LYJ7" s="59"/>
      <c r="LYK7" s="59"/>
      <c r="LYL7" s="59"/>
      <c r="LYM7" s="59"/>
      <c r="LYN7" s="59"/>
      <c r="LYO7" s="59"/>
      <c r="LYP7" s="59"/>
      <c r="LYQ7" s="59"/>
      <c r="LYR7" s="59"/>
      <c r="LYS7" s="59"/>
      <c r="LYT7" s="59"/>
      <c r="LYU7" s="59"/>
      <c r="LYV7" s="59"/>
      <c r="LYW7" s="59"/>
      <c r="LYX7" s="59"/>
      <c r="LYY7" s="59"/>
      <c r="LYZ7" s="59"/>
      <c r="LZA7" s="59"/>
      <c r="LZB7" s="59"/>
      <c r="LZC7" s="59"/>
      <c r="LZD7" s="59"/>
      <c r="LZE7" s="59"/>
      <c r="LZF7" s="59"/>
      <c r="LZG7" s="59"/>
      <c r="LZH7" s="59"/>
      <c r="LZI7" s="59"/>
      <c r="LZJ7" s="59"/>
      <c r="LZK7" s="59"/>
      <c r="LZL7" s="59"/>
      <c r="LZM7" s="59"/>
      <c r="LZN7" s="59"/>
      <c r="LZO7" s="59"/>
      <c r="LZP7" s="59"/>
      <c r="LZQ7" s="59"/>
      <c r="LZR7" s="59"/>
      <c r="LZS7" s="59"/>
      <c r="LZT7" s="59"/>
      <c r="LZU7" s="59"/>
      <c r="LZV7" s="59"/>
      <c r="LZW7" s="59"/>
      <c r="LZX7" s="59"/>
      <c r="LZY7" s="59"/>
      <c r="LZZ7" s="59"/>
      <c r="MAA7" s="59"/>
      <c r="MAB7" s="59"/>
      <c r="MAC7" s="59"/>
      <c r="MAD7" s="59"/>
      <c r="MAE7" s="59"/>
      <c r="MAF7" s="59"/>
      <c r="MAG7" s="59"/>
      <c r="MAH7" s="59"/>
      <c r="MAI7" s="59"/>
      <c r="MAJ7" s="59"/>
      <c r="MAK7" s="59"/>
      <c r="MAL7" s="59"/>
      <c r="MAM7" s="59"/>
      <c r="MAN7" s="59"/>
      <c r="MAO7" s="59"/>
      <c r="MAP7" s="59"/>
      <c r="MAQ7" s="59"/>
      <c r="MAR7" s="59"/>
      <c r="MAS7" s="59"/>
      <c r="MAT7" s="59"/>
      <c r="MAU7" s="59"/>
      <c r="MAV7" s="59"/>
      <c r="MAW7" s="59"/>
      <c r="MAX7" s="59"/>
      <c r="MAY7" s="59"/>
      <c r="MAZ7" s="59"/>
      <c r="MBA7" s="59"/>
      <c r="MBB7" s="59"/>
      <c r="MBC7" s="59"/>
      <c r="MBD7" s="59"/>
      <c r="MBE7" s="59"/>
      <c r="MBF7" s="59"/>
      <c r="MBG7" s="59"/>
      <c r="MBH7" s="59"/>
      <c r="MBI7" s="59"/>
      <c r="MBJ7" s="59"/>
      <c r="MBK7" s="59"/>
      <c r="MBL7" s="59"/>
      <c r="MBM7" s="59"/>
      <c r="MBN7" s="59"/>
      <c r="MBO7" s="59"/>
      <c r="MBP7" s="59"/>
      <c r="MBQ7" s="59"/>
      <c r="MBR7" s="59"/>
      <c r="MBS7" s="59"/>
      <c r="MBT7" s="59"/>
      <c r="MBU7" s="59"/>
      <c r="MBV7" s="59"/>
      <c r="MBW7" s="59"/>
      <c r="MBX7" s="59"/>
      <c r="MBY7" s="59"/>
      <c r="MBZ7" s="59"/>
      <c r="MCA7" s="59"/>
      <c r="MCB7" s="59"/>
      <c r="MCC7" s="59"/>
      <c r="MCD7" s="59"/>
      <c r="MCE7" s="59"/>
      <c r="MCF7" s="59"/>
      <c r="MCG7" s="59"/>
      <c r="MCH7" s="59"/>
      <c r="MCI7" s="59"/>
      <c r="MCJ7" s="59"/>
      <c r="MCK7" s="59"/>
      <c r="MCL7" s="59"/>
      <c r="MCM7" s="59"/>
      <c r="MCN7" s="59"/>
      <c r="MCO7" s="59"/>
      <c r="MCP7" s="59"/>
      <c r="MCQ7" s="59"/>
      <c r="MCR7" s="59"/>
      <c r="MCS7" s="59"/>
      <c r="MCT7" s="59"/>
      <c r="MCU7" s="59"/>
      <c r="MCV7" s="59"/>
      <c r="MCW7" s="59"/>
      <c r="MCX7" s="59"/>
      <c r="MCY7" s="59"/>
      <c r="MCZ7" s="59"/>
      <c r="MDA7" s="59"/>
      <c r="MDB7" s="59"/>
      <c r="MDC7" s="59"/>
      <c r="MDD7" s="59"/>
      <c r="MDE7" s="59"/>
      <c r="MDF7" s="59"/>
      <c r="MDG7" s="59"/>
      <c r="MDH7" s="59"/>
      <c r="MDI7" s="59"/>
      <c r="MDJ7" s="59"/>
      <c r="MDK7" s="59"/>
      <c r="MDL7" s="59"/>
      <c r="MDM7" s="59"/>
      <c r="MDN7" s="59"/>
      <c r="MDO7" s="59"/>
      <c r="MDP7" s="59"/>
      <c r="MDQ7" s="59"/>
      <c r="MDR7" s="59"/>
      <c r="MDS7" s="59"/>
      <c r="MDT7" s="59"/>
      <c r="MDU7" s="59"/>
      <c r="MDV7" s="59"/>
      <c r="MDW7" s="59"/>
      <c r="MDX7" s="59"/>
      <c r="MDY7" s="59"/>
      <c r="MDZ7" s="59"/>
      <c r="MEA7" s="59"/>
      <c r="MEB7" s="59"/>
      <c r="MEC7" s="59"/>
      <c r="MED7" s="59"/>
      <c r="MEE7" s="59"/>
      <c r="MEF7" s="59"/>
      <c r="MEG7" s="59"/>
      <c r="MEH7" s="59"/>
      <c r="MEI7" s="59"/>
      <c r="MEJ7" s="59"/>
      <c r="MEK7" s="59"/>
      <c r="MEL7" s="59"/>
      <c r="MEM7" s="59"/>
      <c r="MEN7" s="59"/>
      <c r="MEO7" s="59"/>
      <c r="MEP7" s="59"/>
      <c r="MEQ7" s="59"/>
      <c r="MER7" s="59"/>
      <c r="MES7" s="59"/>
      <c r="MET7" s="59"/>
      <c r="MEU7" s="59"/>
      <c r="MEV7" s="59"/>
      <c r="MEW7" s="59"/>
      <c r="MEX7" s="59"/>
      <c r="MEY7" s="59"/>
      <c r="MEZ7" s="59"/>
      <c r="MFA7" s="59"/>
      <c r="MFB7" s="59"/>
      <c r="MFC7" s="59"/>
      <c r="MFD7" s="59"/>
      <c r="MFE7" s="59"/>
      <c r="MFF7" s="59"/>
      <c r="MFG7" s="59"/>
      <c r="MFH7" s="59"/>
      <c r="MFI7" s="59"/>
      <c r="MFJ7" s="59"/>
      <c r="MFK7" s="59"/>
      <c r="MFL7" s="59"/>
      <c r="MFM7" s="59"/>
      <c r="MFN7" s="59"/>
      <c r="MFO7" s="59"/>
      <c r="MFP7" s="59"/>
      <c r="MFQ7" s="59"/>
      <c r="MFR7" s="59"/>
      <c r="MFS7" s="59"/>
      <c r="MFT7" s="59"/>
      <c r="MFU7" s="59"/>
      <c r="MFV7" s="59"/>
      <c r="MFW7" s="59"/>
      <c r="MFX7" s="59"/>
      <c r="MFY7" s="59"/>
      <c r="MFZ7" s="59"/>
      <c r="MGA7" s="59"/>
      <c r="MGB7" s="59"/>
      <c r="MGC7" s="59"/>
      <c r="MGD7" s="59"/>
      <c r="MGE7" s="59"/>
      <c r="MGF7" s="59"/>
      <c r="MGG7" s="59"/>
      <c r="MGH7" s="59"/>
      <c r="MGI7" s="59"/>
      <c r="MGJ7" s="59"/>
      <c r="MGK7" s="59"/>
      <c r="MGL7" s="59"/>
      <c r="MGM7" s="59"/>
      <c r="MGN7" s="59"/>
      <c r="MGO7" s="59"/>
      <c r="MGP7" s="59"/>
      <c r="MGQ7" s="59"/>
      <c r="MGR7" s="59"/>
      <c r="MGS7" s="59"/>
      <c r="MGT7" s="59"/>
      <c r="MGU7" s="59"/>
      <c r="MGV7" s="59"/>
      <c r="MGW7" s="59"/>
      <c r="MGX7" s="59"/>
      <c r="MGY7" s="59"/>
      <c r="MGZ7" s="59"/>
      <c r="MHA7" s="59"/>
      <c r="MHB7" s="59"/>
      <c r="MHC7" s="59"/>
      <c r="MHD7" s="59"/>
      <c r="MHE7" s="59"/>
      <c r="MHF7" s="59"/>
      <c r="MHG7" s="59"/>
      <c r="MHH7" s="59"/>
      <c r="MHI7" s="59"/>
      <c r="MHJ7" s="59"/>
      <c r="MHK7" s="59"/>
      <c r="MHL7" s="59"/>
      <c r="MHM7" s="59"/>
      <c r="MHN7" s="59"/>
      <c r="MHO7" s="59"/>
      <c r="MHP7" s="59"/>
      <c r="MHQ7" s="59"/>
      <c r="MHR7" s="59"/>
      <c r="MHS7" s="59"/>
      <c r="MHT7" s="59"/>
      <c r="MHU7" s="59"/>
      <c r="MHV7" s="59"/>
      <c r="MHW7" s="59"/>
      <c r="MHX7" s="59"/>
      <c r="MHY7" s="59"/>
      <c r="MHZ7" s="59"/>
      <c r="MIA7" s="59"/>
      <c r="MIB7" s="59"/>
      <c r="MIC7" s="59"/>
      <c r="MID7" s="59"/>
      <c r="MIE7" s="59"/>
      <c r="MIF7" s="59"/>
      <c r="MIG7" s="59"/>
      <c r="MIH7" s="59"/>
      <c r="MII7" s="59"/>
      <c r="MIJ7" s="59"/>
      <c r="MIK7" s="59"/>
      <c r="MIL7" s="59"/>
      <c r="MIM7" s="59"/>
      <c r="MIN7" s="59"/>
      <c r="MIO7" s="59"/>
      <c r="MIP7" s="59"/>
      <c r="MIQ7" s="59"/>
      <c r="MIR7" s="59"/>
      <c r="MIS7" s="59"/>
      <c r="MIT7" s="59"/>
      <c r="MIU7" s="59"/>
      <c r="MIV7" s="59"/>
      <c r="MIW7" s="59"/>
      <c r="MIX7" s="59"/>
      <c r="MIY7" s="59"/>
      <c r="MIZ7" s="59"/>
      <c r="MJA7" s="59"/>
      <c r="MJB7" s="59"/>
      <c r="MJC7" s="59"/>
      <c r="MJD7" s="59"/>
      <c r="MJE7" s="59"/>
      <c r="MJF7" s="59"/>
      <c r="MJG7" s="59"/>
      <c r="MJH7" s="59"/>
      <c r="MJI7" s="59"/>
      <c r="MJJ7" s="59"/>
      <c r="MJK7" s="59"/>
      <c r="MJL7" s="59"/>
      <c r="MJM7" s="59"/>
      <c r="MJN7" s="59"/>
      <c r="MJO7" s="59"/>
      <c r="MJP7" s="59"/>
      <c r="MJQ7" s="59"/>
      <c r="MJR7" s="59"/>
      <c r="MJS7" s="59"/>
      <c r="MJT7" s="59"/>
      <c r="MJU7" s="59"/>
      <c r="MJV7" s="59"/>
      <c r="MJW7" s="59"/>
      <c r="MJX7" s="59"/>
      <c r="MJY7" s="59"/>
      <c r="MJZ7" s="59"/>
      <c r="MKA7" s="59"/>
      <c r="MKB7" s="59"/>
      <c r="MKC7" s="59"/>
      <c r="MKD7" s="59"/>
      <c r="MKE7" s="59"/>
      <c r="MKF7" s="59"/>
      <c r="MKG7" s="59"/>
      <c r="MKH7" s="59"/>
      <c r="MKI7" s="59"/>
      <c r="MKJ7" s="59"/>
      <c r="MKK7" s="59"/>
      <c r="MKL7" s="59"/>
      <c r="MKM7" s="59"/>
      <c r="MKN7" s="59"/>
      <c r="MKO7" s="59"/>
      <c r="MKP7" s="59"/>
      <c r="MKQ7" s="59"/>
      <c r="MKR7" s="59"/>
      <c r="MKS7" s="59"/>
      <c r="MKT7" s="59"/>
      <c r="MKU7" s="59"/>
      <c r="MKV7" s="59"/>
      <c r="MKW7" s="59"/>
      <c r="MKX7" s="59"/>
      <c r="MKY7" s="59"/>
      <c r="MKZ7" s="59"/>
      <c r="MLA7" s="59"/>
      <c r="MLB7" s="59"/>
      <c r="MLC7" s="59"/>
      <c r="MLD7" s="59"/>
      <c r="MLE7" s="59"/>
      <c r="MLF7" s="59"/>
      <c r="MLG7" s="59"/>
      <c r="MLH7" s="59"/>
      <c r="MLI7" s="59"/>
      <c r="MLJ7" s="59"/>
      <c r="MLK7" s="59"/>
      <c r="MLL7" s="59"/>
      <c r="MLM7" s="59"/>
      <c r="MLN7" s="59"/>
      <c r="MLO7" s="59"/>
      <c r="MLP7" s="59"/>
      <c r="MLQ7" s="59"/>
      <c r="MLR7" s="59"/>
      <c r="MLS7" s="59"/>
      <c r="MLT7" s="59"/>
      <c r="MLU7" s="59"/>
      <c r="MLV7" s="59"/>
      <c r="MLW7" s="59"/>
      <c r="MLX7" s="59"/>
      <c r="MLY7" s="59"/>
      <c r="MLZ7" s="59"/>
      <c r="MMA7" s="59"/>
      <c r="MMB7" s="59"/>
      <c r="MMC7" s="59"/>
      <c r="MMD7" s="59"/>
      <c r="MME7" s="59"/>
      <c r="MMF7" s="59"/>
      <c r="MMG7" s="59"/>
      <c r="MMH7" s="59"/>
      <c r="MMI7" s="59"/>
      <c r="MMJ7" s="59"/>
      <c r="MMK7" s="59"/>
      <c r="MML7" s="59"/>
      <c r="MMM7" s="59"/>
      <c r="MMN7" s="59"/>
      <c r="MMO7" s="59"/>
      <c r="MMP7" s="59"/>
      <c r="MMQ7" s="59"/>
      <c r="MMR7" s="59"/>
      <c r="MMS7" s="59"/>
      <c r="MMT7" s="59"/>
      <c r="MMU7" s="59"/>
      <c r="MMV7" s="59"/>
      <c r="MMW7" s="59"/>
      <c r="MMX7" s="59"/>
      <c r="MMY7" s="59"/>
      <c r="MMZ7" s="59"/>
      <c r="MNA7" s="59"/>
      <c r="MNB7" s="59"/>
      <c r="MNC7" s="59"/>
      <c r="MND7" s="59"/>
      <c r="MNE7" s="59"/>
      <c r="MNF7" s="59"/>
      <c r="MNG7" s="59"/>
      <c r="MNH7" s="59"/>
      <c r="MNI7" s="59"/>
      <c r="MNJ7" s="59"/>
      <c r="MNK7" s="59"/>
      <c r="MNL7" s="59"/>
      <c r="MNM7" s="59"/>
      <c r="MNN7" s="59"/>
      <c r="MNO7" s="59"/>
      <c r="MNP7" s="59"/>
      <c r="MNQ7" s="59"/>
      <c r="MNR7" s="59"/>
      <c r="MNS7" s="59"/>
      <c r="MNT7" s="59"/>
      <c r="MNU7" s="59"/>
      <c r="MNV7" s="59"/>
      <c r="MNW7" s="59"/>
      <c r="MNX7" s="59"/>
      <c r="MNY7" s="59"/>
      <c r="MNZ7" s="59"/>
      <c r="MOA7" s="59"/>
      <c r="MOB7" s="59"/>
      <c r="MOC7" s="59"/>
      <c r="MOD7" s="59"/>
      <c r="MOE7" s="59"/>
      <c r="MOF7" s="59"/>
      <c r="MOG7" s="59"/>
      <c r="MOH7" s="59"/>
      <c r="MOI7" s="59"/>
      <c r="MOJ7" s="59"/>
      <c r="MOK7" s="59"/>
      <c r="MOL7" s="59"/>
      <c r="MOM7" s="59"/>
      <c r="MON7" s="59"/>
      <c r="MOO7" s="59"/>
      <c r="MOP7" s="59"/>
      <c r="MOQ7" s="59"/>
      <c r="MOR7" s="59"/>
      <c r="MOS7" s="59"/>
      <c r="MOT7" s="59"/>
      <c r="MOU7" s="59"/>
      <c r="MOV7" s="59"/>
      <c r="MOW7" s="59"/>
      <c r="MOX7" s="59"/>
      <c r="MOY7" s="59"/>
      <c r="MOZ7" s="59"/>
      <c r="MPA7" s="59"/>
      <c r="MPB7" s="59"/>
      <c r="MPC7" s="59"/>
      <c r="MPD7" s="59"/>
      <c r="MPE7" s="59"/>
      <c r="MPF7" s="59"/>
      <c r="MPG7" s="59"/>
      <c r="MPH7" s="59"/>
      <c r="MPI7" s="59"/>
      <c r="MPJ7" s="59"/>
      <c r="MPK7" s="59"/>
      <c r="MPL7" s="59"/>
      <c r="MPM7" s="59"/>
      <c r="MPN7" s="59"/>
      <c r="MPO7" s="59"/>
      <c r="MPP7" s="59"/>
      <c r="MPQ7" s="59"/>
      <c r="MPR7" s="59"/>
      <c r="MPS7" s="59"/>
      <c r="MPT7" s="59"/>
      <c r="MPU7" s="59"/>
      <c r="MPV7" s="59"/>
      <c r="MPW7" s="59"/>
      <c r="MPX7" s="59"/>
      <c r="MPY7" s="59"/>
      <c r="MPZ7" s="59"/>
      <c r="MQA7" s="59"/>
      <c r="MQB7" s="59"/>
      <c r="MQC7" s="59"/>
      <c r="MQD7" s="59"/>
      <c r="MQE7" s="59"/>
      <c r="MQF7" s="59"/>
      <c r="MQG7" s="59"/>
      <c r="MQH7" s="59"/>
      <c r="MQI7" s="59"/>
      <c r="MQJ7" s="59"/>
      <c r="MQK7" s="59"/>
      <c r="MQL7" s="59"/>
      <c r="MQM7" s="59"/>
      <c r="MQN7" s="59"/>
      <c r="MQO7" s="59"/>
      <c r="MQP7" s="59"/>
      <c r="MQQ7" s="59"/>
      <c r="MQR7" s="59"/>
      <c r="MQS7" s="59"/>
      <c r="MQT7" s="59"/>
      <c r="MQU7" s="59"/>
      <c r="MQV7" s="59"/>
      <c r="MQW7" s="59"/>
      <c r="MQX7" s="59"/>
      <c r="MQY7" s="59"/>
      <c r="MQZ7" s="59"/>
      <c r="MRA7" s="59"/>
      <c r="MRB7" s="59"/>
      <c r="MRC7" s="59"/>
      <c r="MRD7" s="59"/>
      <c r="MRE7" s="59"/>
      <c r="MRF7" s="59"/>
      <c r="MRG7" s="59"/>
      <c r="MRH7" s="59"/>
      <c r="MRI7" s="59"/>
      <c r="MRJ7" s="59"/>
      <c r="MRK7" s="59"/>
      <c r="MRL7" s="59"/>
      <c r="MRM7" s="59"/>
      <c r="MRN7" s="59"/>
      <c r="MRO7" s="59"/>
      <c r="MRP7" s="59"/>
      <c r="MRQ7" s="59"/>
      <c r="MRR7" s="59"/>
      <c r="MRS7" s="59"/>
      <c r="MRT7" s="59"/>
      <c r="MRU7" s="59"/>
      <c r="MRV7" s="59"/>
      <c r="MRW7" s="59"/>
      <c r="MRX7" s="59"/>
      <c r="MRY7" s="59"/>
      <c r="MRZ7" s="59"/>
      <c r="MSA7" s="59"/>
      <c r="MSB7" s="59"/>
      <c r="MSC7" s="59"/>
      <c r="MSD7" s="59"/>
      <c r="MSE7" s="59"/>
      <c r="MSF7" s="59"/>
      <c r="MSG7" s="59"/>
      <c r="MSH7" s="59"/>
      <c r="MSI7" s="59"/>
      <c r="MSJ7" s="59"/>
      <c r="MSK7" s="59"/>
      <c r="MSL7" s="59"/>
      <c r="MSM7" s="59"/>
      <c r="MSN7" s="59"/>
      <c r="MSO7" s="59"/>
      <c r="MSP7" s="59"/>
      <c r="MSQ7" s="59"/>
      <c r="MSR7" s="59"/>
      <c r="MSS7" s="59"/>
      <c r="MST7" s="59"/>
      <c r="MSU7" s="59"/>
      <c r="MSV7" s="59"/>
      <c r="MSW7" s="59"/>
      <c r="MSX7" s="59"/>
      <c r="MSY7" s="59"/>
      <c r="MSZ7" s="59"/>
      <c r="MTA7" s="59"/>
      <c r="MTB7" s="59"/>
      <c r="MTC7" s="59"/>
      <c r="MTD7" s="59"/>
      <c r="MTE7" s="59"/>
      <c r="MTF7" s="59"/>
      <c r="MTG7" s="59"/>
      <c r="MTH7" s="59"/>
      <c r="MTI7" s="59"/>
      <c r="MTJ7" s="59"/>
      <c r="MTK7" s="59"/>
      <c r="MTL7" s="59"/>
      <c r="MTM7" s="59"/>
      <c r="MTN7" s="59"/>
      <c r="MTO7" s="59"/>
      <c r="MTP7" s="59"/>
      <c r="MTQ7" s="59"/>
      <c r="MTR7" s="59"/>
      <c r="MTS7" s="59"/>
      <c r="MTT7" s="59"/>
      <c r="MTU7" s="59"/>
      <c r="MTV7" s="59"/>
      <c r="MTW7" s="59"/>
      <c r="MTX7" s="59"/>
      <c r="MTY7" s="59"/>
      <c r="MTZ7" s="59"/>
      <c r="MUA7" s="59"/>
      <c r="MUB7" s="59"/>
      <c r="MUC7" s="59"/>
      <c r="MUD7" s="59"/>
      <c r="MUE7" s="59"/>
      <c r="MUF7" s="59"/>
      <c r="MUG7" s="59"/>
      <c r="MUH7" s="59"/>
      <c r="MUI7" s="59"/>
      <c r="MUJ7" s="59"/>
      <c r="MUK7" s="59"/>
      <c r="MUL7" s="59"/>
      <c r="MUM7" s="59"/>
      <c r="MUN7" s="59"/>
      <c r="MUO7" s="59"/>
      <c r="MUP7" s="59"/>
      <c r="MUQ7" s="59"/>
      <c r="MUR7" s="59"/>
      <c r="MUS7" s="59"/>
      <c r="MUT7" s="59"/>
      <c r="MUU7" s="59"/>
      <c r="MUV7" s="59"/>
      <c r="MUW7" s="59"/>
      <c r="MUX7" s="59"/>
      <c r="MUY7" s="59"/>
      <c r="MUZ7" s="59"/>
      <c r="MVA7" s="59"/>
      <c r="MVB7" s="59"/>
      <c r="MVC7" s="59"/>
      <c r="MVD7" s="59"/>
      <c r="MVE7" s="59"/>
      <c r="MVF7" s="59"/>
      <c r="MVG7" s="59"/>
      <c r="MVH7" s="59"/>
      <c r="MVI7" s="59"/>
      <c r="MVJ7" s="59"/>
      <c r="MVK7" s="59"/>
      <c r="MVL7" s="59"/>
      <c r="MVM7" s="59"/>
      <c r="MVN7" s="59"/>
      <c r="MVO7" s="59"/>
      <c r="MVP7" s="59"/>
      <c r="MVQ7" s="59"/>
      <c r="MVR7" s="59"/>
      <c r="MVS7" s="59"/>
      <c r="MVT7" s="59"/>
      <c r="MVU7" s="59"/>
      <c r="MVV7" s="59"/>
      <c r="MVW7" s="59"/>
      <c r="MVX7" s="59"/>
      <c r="MVY7" s="59"/>
      <c r="MVZ7" s="59"/>
      <c r="MWA7" s="59"/>
      <c r="MWB7" s="59"/>
      <c r="MWC7" s="59"/>
      <c r="MWD7" s="59"/>
      <c r="MWE7" s="59"/>
      <c r="MWF7" s="59"/>
      <c r="MWG7" s="59"/>
      <c r="MWH7" s="59"/>
      <c r="MWI7" s="59"/>
      <c r="MWJ7" s="59"/>
      <c r="MWK7" s="59"/>
      <c r="MWL7" s="59"/>
      <c r="MWM7" s="59"/>
      <c r="MWN7" s="59"/>
      <c r="MWO7" s="59"/>
      <c r="MWP7" s="59"/>
      <c r="MWQ7" s="59"/>
      <c r="MWR7" s="59"/>
      <c r="MWS7" s="59"/>
      <c r="MWT7" s="59"/>
      <c r="MWU7" s="59"/>
      <c r="MWV7" s="59"/>
      <c r="MWW7" s="59"/>
      <c r="MWX7" s="59"/>
      <c r="MWY7" s="59"/>
      <c r="MWZ7" s="59"/>
      <c r="MXA7" s="59"/>
      <c r="MXB7" s="59"/>
      <c r="MXC7" s="59"/>
      <c r="MXD7" s="59"/>
      <c r="MXE7" s="59"/>
      <c r="MXF7" s="59"/>
      <c r="MXG7" s="59"/>
      <c r="MXH7" s="59"/>
      <c r="MXI7" s="59"/>
      <c r="MXJ7" s="59"/>
      <c r="MXK7" s="59"/>
      <c r="MXL7" s="59"/>
      <c r="MXM7" s="59"/>
      <c r="MXN7" s="59"/>
      <c r="MXO7" s="59"/>
      <c r="MXP7" s="59"/>
      <c r="MXQ7" s="59"/>
      <c r="MXR7" s="59"/>
      <c r="MXS7" s="59"/>
      <c r="MXT7" s="59"/>
      <c r="MXU7" s="59"/>
      <c r="MXV7" s="59"/>
      <c r="MXW7" s="59"/>
      <c r="MXX7" s="59"/>
      <c r="MXY7" s="59"/>
      <c r="MXZ7" s="59"/>
      <c r="MYA7" s="59"/>
      <c r="MYB7" s="59"/>
      <c r="MYC7" s="59"/>
      <c r="MYD7" s="59"/>
      <c r="MYE7" s="59"/>
      <c r="MYF7" s="59"/>
      <c r="MYG7" s="59"/>
      <c r="MYH7" s="59"/>
      <c r="MYI7" s="59"/>
      <c r="MYJ7" s="59"/>
      <c r="MYK7" s="59"/>
      <c r="MYL7" s="59"/>
      <c r="MYM7" s="59"/>
      <c r="MYN7" s="59"/>
      <c r="MYO7" s="59"/>
      <c r="MYP7" s="59"/>
      <c r="MYQ7" s="59"/>
      <c r="MYR7" s="59"/>
      <c r="MYS7" s="59"/>
      <c r="MYT7" s="59"/>
      <c r="MYU7" s="59"/>
      <c r="MYV7" s="59"/>
      <c r="MYW7" s="59"/>
      <c r="MYX7" s="59"/>
      <c r="MYY7" s="59"/>
      <c r="MYZ7" s="59"/>
      <c r="MZA7" s="59"/>
      <c r="MZB7" s="59"/>
      <c r="MZC7" s="59"/>
      <c r="MZD7" s="59"/>
      <c r="MZE7" s="59"/>
      <c r="MZF7" s="59"/>
      <c r="MZG7" s="59"/>
      <c r="MZH7" s="59"/>
      <c r="MZI7" s="59"/>
      <c r="MZJ7" s="59"/>
      <c r="MZK7" s="59"/>
      <c r="MZL7" s="59"/>
      <c r="MZM7" s="59"/>
      <c r="MZN7" s="59"/>
      <c r="MZO7" s="59"/>
      <c r="MZP7" s="59"/>
      <c r="MZQ7" s="59"/>
      <c r="MZR7" s="59"/>
      <c r="MZS7" s="59"/>
      <c r="MZT7" s="59"/>
      <c r="MZU7" s="59"/>
      <c r="MZV7" s="59"/>
      <c r="MZW7" s="59"/>
      <c r="MZX7" s="59"/>
      <c r="MZY7" s="59"/>
      <c r="MZZ7" s="59"/>
      <c r="NAA7" s="59"/>
      <c r="NAB7" s="59"/>
      <c r="NAC7" s="59"/>
      <c r="NAD7" s="59"/>
      <c r="NAE7" s="59"/>
      <c r="NAF7" s="59"/>
      <c r="NAG7" s="59"/>
      <c r="NAH7" s="59"/>
      <c r="NAI7" s="59"/>
      <c r="NAJ7" s="59"/>
      <c r="NAK7" s="59"/>
      <c r="NAL7" s="59"/>
      <c r="NAM7" s="59"/>
      <c r="NAN7" s="59"/>
      <c r="NAO7" s="59"/>
      <c r="NAP7" s="59"/>
      <c r="NAQ7" s="59"/>
      <c r="NAR7" s="59"/>
      <c r="NAS7" s="59"/>
      <c r="NAT7" s="59"/>
      <c r="NAU7" s="59"/>
      <c r="NAV7" s="59"/>
      <c r="NAW7" s="59"/>
      <c r="NAX7" s="59"/>
      <c r="NAY7" s="59"/>
      <c r="NAZ7" s="59"/>
      <c r="NBA7" s="59"/>
      <c r="NBB7" s="59"/>
      <c r="NBC7" s="59"/>
      <c r="NBD7" s="59"/>
      <c r="NBE7" s="59"/>
      <c r="NBF7" s="59"/>
      <c r="NBG7" s="59"/>
      <c r="NBH7" s="59"/>
      <c r="NBI7" s="59"/>
      <c r="NBJ7" s="59"/>
      <c r="NBK7" s="59"/>
      <c r="NBL7" s="59"/>
      <c r="NBM7" s="59"/>
      <c r="NBN7" s="59"/>
      <c r="NBO7" s="59"/>
      <c r="NBP7" s="59"/>
      <c r="NBQ7" s="59"/>
      <c r="NBR7" s="59"/>
      <c r="NBS7" s="59"/>
      <c r="NBT7" s="59"/>
      <c r="NBU7" s="59"/>
      <c r="NBV7" s="59"/>
      <c r="NBW7" s="59"/>
      <c r="NBX7" s="59"/>
      <c r="NBY7" s="59"/>
      <c r="NBZ7" s="59"/>
      <c r="NCA7" s="59"/>
      <c r="NCB7" s="59"/>
      <c r="NCC7" s="59"/>
      <c r="NCD7" s="59"/>
      <c r="NCE7" s="59"/>
      <c r="NCF7" s="59"/>
      <c r="NCG7" s="59"/>
      <c r="NCH7" s="59"/>
      <c r="NCI7" s="59"/>
      <c r="NCJ7" s="59"/>
      <c r="NCK7" s="59"/>
      <c r="NCL7" s="59"/>
      <c r="NCM7" s="59"/>
      <c r="NCN7" s="59"/>
      <c r="NCO7" s="59"/>
      <c r="NCP7" s="59"/>
      <c r="NCQ7" s="59"/>
      <c r="NCR7" s="59"/>
      <c r="NCS7" s="59"/>
      <c r="NCT7" s="59"/>
      <c r="NCU7" s="59"/>
      <c r="NCV7" s="59"/>
      <c r="NCW7" s="59"/>
      <c r="NCX7" s="59"/>
      <c r="NCY7" s="59"/>
      <c r="NCZ7" s="59"/>
      <c r="NDA7" s="59"/>
      <c r="NDB7" s="59"/>
      <c r="NDC7" s="59"/>
      <c r="NDD7" s="59"/>
      <c r="NDE7" s="59"/>
      <c r="NDF7" s="59"/>
      <c r="NDG7" s="59"/>
      <c r="NDH7" s="59"/>
      <c r="NDI7" s="59"/>
      <c r="NDJ7" s="59"/>
      <c r="NDK7" s="59"/>
      <c r="NDL7" s="59"/>
      <c r="NDM7" s="59"/>
      <c r="NDN7" s="59"/>
      <c r="NDO7" s="59"/>
      <c r="NDP7" s="59"/>
      <c r="NDQ7" s="59"/>
      <c r="NDR7" s="59"/>
      <c r="NDS7" s="59"/>
      <c r="NDT7" s="59"/>
      <c r="NDU7" s="59"/>
      <c r="NDV7" s="59"/>
      <c r="NDW7" s="59"/>
      <c r="NDX7" s="59"/>
      <c r="NDY7" s="59"/>
      <c r="NDZ7" s="59"/>
      <c r="NEA7" s="59"/>
      <c r="NEB7" s="59"/>
      <c r="NEC7" s="59"/>
      <c r="NED7" s="59"/>
      <c r="NEE7" s="59"/>
      <c r="NEF7" s="59"/>
      <c r="NEG7" s="59"/>
      <c r="NEH7" s="59"/>
      <c r="NEI7" s="59"/>
      <c r="NEJ7" s="59"/>
      <c r="NEK7" s="59"/>
      <c r="NEL7" s="59"/>
      <c r="NEM7" s="59"/>
      <c r="NEN7" s="59"/>
      <c r="NEO7" s="59"/>
      <c r="NEP7" s="59"/>
      <c r="NEQ7" s="59"/>
      <c r="NER7" s="59"/>
      <c r="NES7" s="59"/>
      <c r="NET7" s="59"/>
      <c r="NEU7" s="59"/>
      <c r="NEV7" s="59"/>
      <c r="NEW7" s="59"/>
      <c r="NEX7" s="59"/>
      <c r="NEY7" s="59"/>
      <c r="NEZ7" s="59"/>
      <c r="NFA7" s="59"/>
      <c r="NFB7" s="59"/>
      <c r="NFC7" s="59"/>
      <c r="NFD7" s="59"/>
      <c r="NFE7" s="59"/>
      <c r="NFF7" s="59"/>
      <c r="NFG7" s="59"/>
      <c r="NFH7" s="59"/>
      <c r="NFI7" s="59"/>
      <c r="NFJ7" s="59"/>
      <c r="NFK7" s="59"/>
      <c r="NFL7" s="59"/>
      <c r="NFM7" s="59"/>
      <c r="NFN7" s="59"/>
      <c r="NFO7" s="59"/>
      <c r="NFP7" s="59"/>
      <c r="NFQ7" s="59"/>
      <c r="NFR7" s="59"/>
      <c r="NFS7" s="59"/>
      <c r="NFT7" s="59"/>
      <c r="NFU7" s="59"/>
      <c r="NFV7" s="59"/>
      <c r="NFW7" s="59"/>
      <c r="NFX7" s="59"/>
      <c r="NFY7" s="59"/>
      <c r="NFZ7" s="59"/>
      <c r="NGA7" s="59"/>
      <c r="NGB7" s="59"/>
      <c r="NGC7" s="59"/>
      <c r="NGD7" s="59"/>
      <c r="NGE7" s="59"/>
      <c r="NGF7" s="59"/>
      <c r="NGG7" s="59"/>
      <c r="NGH7" s="59"/>
      <c r="NGI7" s="59"/>
      <c r="NGJ7" s="59"/>
      <c r="NGK7" s="59"/>
      <c r="NGL7" s="59"/>
      <c r="NGM7" s="59"/>
      <c r="NGN7" s="59"/>
      <c r="NGO7" s="59"/>
      <c r="NGP7" s="59"/>
      <c r="NGQ7" s="59"/>
      <c r="NGR7" s="59"/>
      <c r="NGS7" s="59"/>
      <c r="NGT7" s="59"/>
      <c r="NGU7" s="59"/>
      <c r="NGV7" s="59"/>
      <c r="NGW7" s="59"/>
      <c r="NGX7" s="59"/>
      <c r="NGY7" s="59"/>
      <c r="NGZ7" s="59"/>
      <c r="NHA7" s="59"/>
      <c r="NHB7" s="59"/>
      <c r="NHC7" s="59"/>
      <c r="NHD7" s="59"/>
      <c r="NHE7" s="59"/>
      <c r="NHF7" s="59"/>
      <c r="NHG7" s="59"/>
      <c r="NHH7" s="59"/>
      <c r="NHI7" s="59"/>
      <c r="NHJ7" s="59"/>
      <c r="NHK7" s="59"/>
      <c r="NHL7" s="59"/>
      <c r="NHM7" s="59"/>
      <c r="NHN7" s="59"/>
      <c r="NHO7" s="59"/>
      <c r="NHP7" s="59"/>
      <c r="NHQ7" s="59"/>
      <c r="NHR7" s="59"/>
      <c r="NHS7" s="59"/>
      <c r="NHT7" s="59"/>
      <c r="NHU7" s="59"/>
      <c r="NHV7" s="59"/>
      <c r="NHW7" s="59"/>
      <c r="NHX7" s="59"/>
      <c r="NHY7" s="59"/>
      <c r="NHZ7" s="59"/>
      <c r="NIA7" s="59"/>
      <c r="NIB7" s="59"/>
      <c r="NIC7" s="59"/>
      <c r="NID7" s="59"/>
      <c r="NIE7" s="59"/>
      <c r="NIF7" s="59"/>
      <c r="NIG7" s="59"/>
      <c r="NIH7" s="59"/>
      <c r="NII7" s="59"/>
      <c r="NIJ7" s="59"/>
      <c r="NIK7" s="59"/>
      <c r="NIL7" s="59"/>
      <c r="NIM7" s="59"/>
      <c r="NIN7" s="59"/>
      <c r="NIO7" s="59"/>
      <c r="NIP7" s="59"/>
      <c r="NIQ7" s="59"/>
      <c r="NIR7" s="59"/>
      <c r="NIS7" s="59"/>
      <c r="NIT7" s="59"/>
      <c r="NIU7" s="59"/>
      <c r="NIV7" s="59"/>
      <c r="NIW7" s="59"/>
      <c r="NIX7" s="59"/>
      <c r="NIY7" s="59"/>
      <c r="NIZ7" s="59"/>
      <c r="NJA7" s="59"/>
      <c r="NJB7" s="59"/>
      <c r="NJC7" s="59"/>
      <c r="NJD7" s="59"/>
      <c r="NJE7" s="59"/>
      <c r="NJF7" s="59"/>
      <c r="NJG7" s="59"/>
      <c r="NJH7" s="59"/>
      <c r="NJI7" s="59"/>
      <c r="NJJ7" s="59"/>
      <c r="NJK7" s="59"/>
      <c r="NJL7" s="59"/>
      <c r="NJM7" s="59"/>
      <c r="NJN7" s="59"/>
      <c r="NJO7" s="59"/>
      <c r="NJP7" s="59"/>
      <c r="NJQ7" s="59"/>
      <c r="NJR7" s="59"/>
      <c r="NJS7" s="59"/>
      <c r="NJT7" s="59"/>
      <c r="NJU7" s="59"/>
      <c r="NJV7" s="59"/>
      <c r="NJW7" s="59"/>
      <c r="NJX7" s="59"/>
      <c r="NJY7" s="59"/>
      <c r="NJZ7" s="59"/>
      <c r="NKA7" s="59"/>
      <c r="NKB7" s="59"/>
      <c r="NKC7" s="59"/>
      <c r="NKD7" s="59"/>
      <c r="NKE7" s="59"/>
      <c r="NKF7" s="59"/>
      <c r="NKG7" s="59"/>
      <c r="NKH7" s="59"/>
      <c r="NKI7" s="59"/>
      <c r="NKJ7" s="59"/>
      <c r="NKK7" s="59"/>
      <c r="NKL7" s="59"/>
      <c r="NKM7" s="59"/>
      <c r="NKN7" s="59"/>
      <c r="NKO7" s="59"/>
      <c r="NKP7" s="59"/>
      <c r="NKQ7" s="59"/>
      <c r="NKR7" s="59"/>
      <c r="NKS7" s="59"/>
      <c r="NKT7" s="59"/>
      <c r="NKU7" s="59"/>
      <c r="NKV7" s="59"/>
      <c r="NKW7" s="59"/>
      <c r="NKX7" s="59"/>
      <c r="NKY7" s="59"/>
      <c r="NKZ7" s="59"/>
      <c r="NLA7" s="59"/>
      <c r="NLB7" s="59"/>
      <c r="NLC7" s="59"/>
      <c r="NLD7" s="59"/>
      <c r="NLE7" s="59"/>
      <c r="NLF7" s="59"/>
      <c r="NLG7" s="59"/>
      <c r="NLH7" s="59"/>
      <c r="NLI7" s="59"/>
      <c r="NLJ7" s="59"/>
      <c r="NLK7" s="59"/>
      <c r="NLL7" s="59"/>
      <c r="NLM7" s="59"/>
      <c r="NLN7" s="59"/>
      <c r="NLO7" s="59"/>
      <c r="NLP7" s="59"/>
      <c r="NLQ7" s="59"/>
      <c r="NLR7" s="59"/>
      <c r="NLS7" s="59"/>
      <c r="NLT7" s="59"/>
      <c r="NLU7" s="59"/>
      <c r="NLV7" s="59"/>
      <c r="NLW7" s="59"/>
      <c r="NLX7" s="59"/>
      <c r="NLY7" s="59"/>
      <c r="NLZ7" s="59"/>
      <c r="NMA7" s="59"/>
      <c r="NMB7" s="59"/>
      <c r="NMC7" s="59"/>
      <c r="NMD7" s="59"/>
      <c r="NME7" s="59"/>
      <c r="NMF7" s="59"/>
      <c r="NMG7" s="59"/>
      <c r="NMH7" s="59"/>
      <c r="NMI7" s="59"/>
      <c r="NMJ7" s="59"/>
      <c r="NMK7" s="59"/>
      <c r="NML7" s="59"/>
      <c r="NMM7" s="59"/>
      <c r="NMN7" s="59"/>
      <c r="NMO7" s="59"/>
      <c r="NMP7" s="59"/>
      <c r="NMQ7" s="59"/>
      <c r="NMR7" s="59"/>
      <c r="NMS7" s="59"/>
      <c r="NMT7" s="59"/>
      <c r="NMU7" s="59"/>
      <c r="NMV7" s="59"/>
      <c r="NMW7" s="59"/>
      <c r="NMX7" s="59"/>
      <c r="NMY7" s="59"/>
      <c r="NMZ7" s="59"/>
      <c r="NNA7" s="59"/>
      <c r="NNB7" s="59"/>
      <c r="NNC7" s="59"/>
      <c r="NND7" s="59"/>
      <c r="NNE7" s="59"/>
      <c r="NNF7" s="59"/>
      <c r="NNG7" s="59"/>
      <c r="NNH7" s="59"/>
      <c r="NNI7" s="59"/>
      <c r="NNJ7" s="59"/>
      <c r="NNK7" s="59"/>
      <c r="NNL7" s="59"/>
      <c r="NNM7" s="59"/>
      <c r="NNN7" s="59"/>
      <c r="NNO7" s="59"/>
      <c r="NNP7" s="59"/>
      <c r="NNQ7" s="59"/>
      <c r="NNR7" s="59"/>
      <c r="NNS7" s="59"/>
      <c r="NNT7" s="59"/>
      <c r="NNU7" s="59"/>
      <c r="NNV7" s="59"/>
      <c r="NNW7" s="59"/>
      <c r="NNX7" s="59"/>
      <c r="NNY7" s="59"/>
      <c r="NNZ7" s="59"/>
      <c r="NOA7" s="59"/>
      <c r="NOB7" s="59"/>
      <c r="NOC7" s="59"/>
      <c r="NOD7" s="59"/>
      <c r="NOE7" s="59"/>
      <c r="NOF7" s="59"/>
      <c r="NOG7" s="59"/>
      <c r="NOH7" s="59"/>
      <c r="NOI7" s="59"/>
      <c r="NOJ7" s="59"/>
      <c r="NOK7" s="59"/>
      <c r="NOL7" s="59"/>
      <c r="NOM7" s="59"/>
      <c r="NON7" s="59"/>
      <c r="NOO7" s="59"/>
      <c r="NOP7" s="59"/>
      <c r="NOQ7" s="59"/>
      <c r="NOR7" s="59"/>
      <c r="NOS7" s="59"/>
      <c r="NOT7" s="59"/>
      <c r="NOU7" s="59"/>
      <c r="NOV7" s="59"/>
      <c r="NOW7" s="59"/>
      <c r="NOX7" s="59"/>
      <c r="NOY7" s="59"/>
      <c r="NOZ7" s="59"/>
      <c r="NPA7" s="59"/>
      <c r="NPB7" s="59"/>
      <c r="NPC7" s="59"/>
      <c r="NPD7" s="59"/>
      <c r="NPE7" s="59"/>
      <c r="NPF7" s="59"/>
      <c r="NPG7" s="59"/>
      <c r="NPH7" s="59"/>
      <c r="NPI7" s="59"/>
      <c r="NPJ7" s="59"/>
      <c r="NPK7" s="59"/>
      <c r="NPL7" s="59"/>
      <c r="NPM7" s="59"/>
      <c r="NPN7" s="59"/>
      <c r="NPO7" s="59"/>
      <c r="NPP7" s="59"/>
      <c r="NPQ7" s="59"/>
      <c r="NPR7" s="59"/>
      <c r="NPS7" s="59"/>
      <c r="NPT7" s="59"/>
      <c r="NPU7" s="59"/>
      <c r="NPV7" s="59"/>
      <c r="NPW7" s="59"/>
      <c r="NPX7" s="59"/>
      <c r="NPY7" s="59"/>
      <c r="NPZ7" s="59"/>
      <c r="NQA7" s="59"/>
      <c r="NQB7" s="59"/>
      <c r="NQC7" s="59"/>
      <c r="NQD7" s="59"/>
      <c r="NQE7" s="59"/>
      <c r="NQF7" s="59"/>
      <c r="NQG7" s="59"/>
      <c r="NQH7" s="59"/>
      <c r="NQI7" s="59"/>
      <c r="NQJ7" s="59"/>
      <c r="NQK7" s="59"/>
      <c r="NQL7" s="59"/>
      <c r="NQM7" s="59"/>
      <c r="NQN7" s="59"/>
      <c r="NQO7" s="59"/>
      <c r="NQP7" s="59"/>
      <c r="NQQ7" s="59"/>
      <c r="NQR7" s="59"/>
      <c r="NQS7" s="59"/>
      <c r="NQT7" s="59"/>
      <c r="NQU7" s="59"/>
      <c r="NQV7" s="59"/>
      <c r="NQW7" s="59"/>
      <c r="NQX7" s="59"/>
      <c r="NQY7" s="59"/>
      <c r="NQZ7" s="59"/>
      <c r="NRA7" s="59"/>
      <c r="NRB7" s="59"/>
      <c r="NRC7" s="59"/>
      <c r="NRD7" s="59"/>
      <c r="NRE7" s="59"/>
      <c r="NRF7" s="59"/>
      <c r="NRG7" s="59"/>
      <c r="NRH7" s="59"/>
      <c r="NRI7" s="59"/>
      <c r="NRJ7" s="59"/>
      <c r="NRK7" s="59"/>
      <c r="NRL7" s="59"/>
      <c r="NRM7" s="59"/>
      <c r="NRN7" s="59"/>
      <c r="NRO7" s="59"/>
      <c r="NRP7" s="59"/>
      <c r="NRQ7" s="59"/>
      <c r="NRR7" s="59"/>
      <c r="NRS7" s="59"/>
      <c r="NRT7" s="59"/>
      <c r="NRU7" s="59"/>
      <c r="NRV7" s="59"/>
      <c r="NRW7" s="59"/>
      <c r="NRX7" s="59"/>
      <c r="NRY7" s="59"/>
      <c r="NRZ7" s="59"/>
      <c r="NSA7" s="59"/>
      <c r="NSB7" s="59"/>
      <c r="NSC7" s="59"/>
      <c r="NSD7" s="59"/>
      <c r="NSE7" s="59"/>
      <c r="NSF7" s="59"/>
      <c r="NSG7" s="59"/>
      <c r="NSH7" s="59"/>
      <c r="NSI7" s="59"/>
      <c r="NSJ7" s="59"/>
      <c r="NSK7" s="59"/>
      <c r="NSL7" s="59"/>
      <c r="NSM7" s="59"/>
      <c r="NSN7" s="59"/>
      <c r="NSO7" s="59"/>
      <c r="NSP7" s="59"/>
      <c r="NSQ7" s="59"/>
      <c r="NSR7" s="59"/>
      <c r="NSS7" s="59"/>
      <c r="NST7" s="59"/>
      <c r="NSU7" s="59"/>
      <c r="NSV7" s="59"/>
      <c r="NSW7" s="59"/>
      <c r="NSX7" s="59"/>
      <c r="NSY7" s="59"/>
      <c r="NSZ7" s="59"/>
      <c r="NTA7" s="59"/>
      <c r="NTB7" s="59"/>
      <c r="NTC7" s="59"/>
      <c r="NTD7" s="59"/>
      <c r="NTE7" s="59"/>
      <c r="NTF7" s="59"/>
      <c r="NTG7" s="59"/>
      <c r="NTH7" s="59"/>
      <c r="NTI7" s="59"/>
      <c r="NTJ7" s="59"/>
      <c r="NTK7" s="59"/>
      <c r="NTL7" s="59"/>
      <c r="NTM7" s="59"/>
      <c r="NTN7" s="59"/>
      <c r="NTO7" s="59"/>
      <c r="NTP7" s="59"/>
      <c r="NTQ7" s="59"/>
      <c r="NTR7" s="59"/>
      <c r="NTS7" s="59"/>
      <c r="NTT7" s="59"/>
      <c r="NTU7" s="59"/>
      <c r="NTV7" s="59"/>
      <c r="NTW7" s="59"/>
      <c r="NTX7" s="59"/>
      <c r="NTY7" s="59"/>
      <c r="NTZ7" s="59"/>
      <c r="NUA7" s="59"/>
      <c r="NUB7" s="59"/>
      <c r="NUC7" s="59"/>
      <c r="NUD7" s="59"/>
      <c r="NUE7" s="59"/>
      <c r="NUF7" s="59"/>
      <c r="NUG7" s="59"/>
      <c r="NUH7" s="59"/>
      <c r="NUI7" s="59"/>
      <c r="NUJ7" s="59"/>
      <c r="NUK7" s="59"/>
      <c r="NUL7" s="59"/>
      <c r="NUM7" s="59"/>
      <c r="NUN7" s="59"/>
      <c r="NUO7" s="59"/>
      <c r="NUP7" s="59"/>
      <c r="NUQ7" s="59"/>
      <c r="NUR7" s="59"/>
      <c r="NUS7" s="59"/>
      <c r="NUT7" s="59"/>
      <c r="NUU7" s="59"/>
      <c r="NUV7" s="59"/>
      <c r="NUW7" s="59"/>
      <c r="NUX7" s="59"/>
      <c r="NUY7" s="59"/>
      <c r="NUZ7" s="59"/>
      <c r="NVA7" s="59"/>
      <c r="NVB7" s="59"/>
      <c r="NVC7" s="59"/>
      <c r="NVD7" s="59"/>
      <c r="NVE7" s="59"/>
      <c r="NVF7" s="59"/>
      <c r="NVG7" s="59"/>
      <c r="NVH7" s="59"/>
      <c r="NVI7" s="59"/>
      <c r="NVJ7" s="59"/>
      <c r="NVK7" s="59"/>
      <c r="NVL7" s="59"/>
      <c r="NVM7" s="59"/>
      <c r="NVN7" s="59"/>
      <c r="NVO7" s="59"/>
      <c r="NVP7" s="59"/>
      <c r="NVQ7" s="59"/>
      <c r="NVR7" s="59"/>
      <c r="NVS7" s="59"/>
      <c r="NVT7" s="59"/>
      <c r="NVU7" s="59"/>
      <c r="NVV7" s="59"/>
      <c r="NVW7" s="59"/>
      <c r="NVX7" s="59"/>
      <c r="NVY7" s="59"/>
      <c r="NVZ7" s="59"/>
      <c r="NWA7" s="59"/>
      <c r="NWB7" s="59"/>
      <c r="NWC7" s="59"/>
      <c r="NWD7" s="59"/>
      <c r="NWE7" s="59"/>
      <c r="NWF7" s="59"/>
      <c r="NWG7" s="59"/>
      <c r="NWH7" s="59"/>
      <c r="NWI7" s="59"/>
      <c r="NWJ7" s="59"/>
      <c r="NWK7" s="59"/>
      <c r="NWL7" s="59"/>
      <c r="NWM7" s="59"/>
      <c r="NWN7" s="59"/>
      <c r="NWO7" s="59"/>
      <c r="NWP7" s="59"/>
      <c r="NWQ7" s="59"/>
      <c r="NWR7" s="59"/>
      <c r="NWS7" s="59"/>
      <c r="NWT7" s="59"/>
      <c r="NWU7" s="59"/>
      <c r="NWV7" s="59"/>
      <c r="NWW7" s="59"/>
      <c r="NWX7" s="59"/>
      <c r="NWY7" s="59"/>
      <c r="NWZ7" s="59"/>
      <c r="NXA7" s="59"/>
      <c r="NXB7" s="59"/>
      <c r="NXC7" s="59"/>
      <c r="NXD7" s="59"/>
      <c r="NXE7" s="59"/>
      <c r="NXF7" s="59"/>
      <c r="NXG7" s="59"/>
      <c r="NXH7" s="59"/>
      <c r="NXI7" s="59"/>
      <c r="NXJ7" s="59"/>
      <c r="NXK7" s="59"/>
      <c r="NXL7" s="59"/>
      <c r="NXM7" s="59"/>
      <c r="NXN7" s="59"/>
      <c r="NXO7" s="59"/>
      <c r="NXP7" s="59"/>
      <c r="NXQ7" s="59"/>
      <c r="NXR7" s="59"/>
      <c r="NXS7" s="59"/>
      <c r="NXT7" s="59"/>
      <c r="NXU7" s="59"/>
      <c r="NXV7" s="59"/>
      <c r="NXW7" s="59"/>
      <c r="NXX7" s="59"/>
      <c r="NXY7" s="59"/>
      <c r="NXZ7" s="59"/>
      <c r="NYA7" s="59"/>
      <c r="NYB7" s="59"/>
      <c r="NYC7" s="59"/>
      <c r="NYD7" s="59"/>
      <c r="NYE7" s="59"/>
      <c r="NYF7" s="59"/>
      <c r="NYG7" s="59"/>
      <c r="NYH7" s="59"/>
      <c r="NYI7" s="59"/>
      <c r="NYJ7" s="59"/>
      <c r="NYK7" s="59"/>
      <c r="NYL7" s="59"/>
      <c r="NYM7" s="59"/>
      <c r="NYN7" s="59"/>
      <c r="NYO7" s="59"/>
      <c r="NYP7" s="59"/>
      <c r="NYQ7" s="59"/>
      <c r="NYR7" s="59"/>
      <c r="NYS7" s="59"/>
      <c r="NYT7" s="59"/>
      <c r="NYU7" s="59"/>
      <c r="NYV7" s="59"/>
      <c r="NYW7" s="59"/>
      <c r="NYX7" s="59"/>
      <c r="NYY7" s="59"/>
      <c r="NYZ7" s="59"/>
      <c r="NZA7" s="59"/>
      <c r="NZB7" s="59"/>
      <c r="NZC7" s="59"/>
      <c r="NZD7" s="59"/>
      <c r="NZE7" s="59"/>
      <c r="NZF7" s="59"/>
      <c r="NZG7" s="59"/>
      <c r="NZH7" s="59"/>
      <c r="NZI7" s="59"/>
      <c r="NZJ7" s="59"/>
      <c r="NZK7" s="59"/>
      <c r="NZL7" s="59"/>
      <c r="NZM7" s="59"/>
      <c r="NZN7" s="59"/>
      <c r="NZO7" s="59"/>
      <c r="NZP7" s="59"/>
      <c r="NZQ7" s="59"/>
      <c r="NZR7" s="59"/>
      <c r="NZS7" s="59"/>
      <c r="NZT7" s="59"/>
      <c r="NZU7" s="59"/>
      <c r="NZV7" s="59"/>
      <c r="NZW7" s="59"/>
      <c r="NZX7" s="59"/>
      <c r="NZY7" s="59"/>
      <c r="NZZ7" s="59"/>
      <c r="OAA7" s="59"/>
      <c r="OAB7" s="59"/>
      <c r="OAC7" s="59"/>
      <c r="OAD7" s="59"/>
      <c r="OAE7" s="59"/>
      <c r="OAF7" s="59"/>
      <c r="OAG7" s="59"/>
      <c r="OAH7" s="59"/>
      <c r="OAI7" s="59"/>
      <c r="OAJ7" s="59"/>
      <c r="OAK7" s="59"/>
      <c r="OAL7" s="59"/>
      <c r="OAM7" s="59"/>
      <c r="OAN7" s="59"/>
      <c r="OAO7" s="59"/>
      <c r="OAP7" s="59"/>
      <c r="OAQ7" s="59"/>
      <c r="OAR7" s="59"/>
      <c r="OAS7" s="59"/>
      <c r="OAT7" s="59"/>
      <c r="OAU7" s="59"/>
      <c r="OAV7" s="59"/>
      <c r="OAW7" s="59"/>
      <c r="OAX7" s="59"/>
      <c r="OAY7" s="59"/>
      <c r="OAZ7" s="59"/>
      <c r="OBA7" s="59"/>
      <c r="OBB7" s="59"/>
      <c r="OBC7" s="59"/>
      <c r="OBD7" s="59"/>
      <c r="OBE7" s="59"/>
      <c r="OBF7" s="59"/>
      <c r="OBG7" s="59"/>
      <c r="OBH7" s="59"/>
      <c r="OBI7" s="59"/>
      <c r="OBJ7" s="59"/>
      <c r="OBK7" s="59"/>
      <c r="OBL7" s="59"/>
      <c r="OBM7" s="59"/>
      <c r="OBN7" s="59"/>
      <c r="OBO7" s="59"/>
      <c r="OBP7" s="59"/>
      <c r="OBQ7" s="59"/>
      <c r="OBR7" s="59"/>
      <c r="OBS7" s="59"/>
      <c r="OBT7" s="59"/>
      <c r="OBU7" s="59"/>
      <c r="OBV7" s="59"/>
      <c r="OBW7" s="59"/>
      <c r="OBX7" s="59"/>
      <c r="OBY7" s="59"/>
      <c r="OBZ7" s="59"/>
      <c r="OCA7" s="59"/>
      <c r="OCB7" s="59"/>
      <c r="OCC7" s="59"/>
      <c r="OCD7" s="59"/>
      <c r="OCE7" s="59"/>
      <c r="OCF7" s="59"/>
      <c r="OCG7" s="59"/>
      <c r="OCH7" s="59"/>
      <c r="OCI7" s="59"/>
      <c r="OCJ7" s="59"/>
      <c r="OCK7" s="59"/>
      <c r="OCL7" s="59"/>
      <c r="OCM7" s="59"/>
      <c r="OCN7" s="59"/>
      <c r="OCO7" s="59"/>
      <c r="OCP7" s="59"/>
      <c r="OCQ7" s="59"/>
      <c r="OCR7" s="59"/>
      <c r="OCS7" s="59"/>
      <c r="OCT7" s="59"/>
      <c r="OCU7" s="59"/>
      <c r="OCV7" s="59"/>
      <c r="OCW7" s="59"/>
      <c r="OCX7" s="59"/>
      <c r="OCY7" s="59"/>
      <c r="OCZ7" s="59"/>
      <c r="ODA7" s="59"/>
      <c r="ODB7" s="59"/>
      <c r="ODC7" s="59"/>
      <c r="ODD7" s="59"/>
      <c r="ODE7" s="59"/>
      <c r="ODF7" s="59"/>
      <c r="ODG7" s="59"/>
      <c r="ODH7" s="59"/>
      <c r="ODI7" s="59"/>
      <c r="ODJ7" s="59"/>
      <c r="ODK7" s="59"/>
      <c r="ODL7" s="59"/>
      <c r="ODM7" s="59"/>
      <c r="ODN7" s="59"/>
      <c r="ODO7" s="59"/>
      <c r="ODP7" s="59"/>
      <c r="ODQ7" s="59"/>
      <c r="ODR7" s="59"/>
      <c r="ODS7" s="59"/>
      <c r="ODT7" s="59"/>
      <c r="ODU7" s="59"/>
      <c r="ODV7" s="59"/>
      <c r="ODW7" s="59"/>
      <c r="ODX7" s="59"/>
      <c r="ODY7" s="59"/>
      <c r="ODZ7" s="59"/>
      <c r="OEA7" s="59"/>
      <c r="OEB7" s="59"/>
      <c r="OEC7" s="59"/>
      <c r="OED7" s="59"/>
      <c r="OEE7" s="59"/>
      <c r="OEF7" s="59"/>
      <c r="OEG7" s="59"/>
      <c r="OEH7" s="59"/>
      <c r="OEI7" s="59"/>
      <c r="OEJ7" s="59"/>
      <c r="OEK7" s="59"/>
      <c r="OEL7" s="59"/>
      <c r="OEM7" s="59"/>
      <c r="OEN7" s="59"/>
      <c r="OEO7" s="59"/>
      <c r="OEP7" s="59"/>
      <c r="OEQ7" s="59"/>
      <c r="OER7" s="59"/>
      <c r="OES7" s="59"/>
      <c r="OET7" s="59"/>
      <c r="OEU7" s="59"/>
      <c r="OEV7" s="59"/>
      <c r="OEW7" s="59"/>
      <c r="OEX7" s="59"/>
      <c r="OEY7" s="59"/>
      <c r="OEZ7" s="59"/>
      <c r="OFA7" s="59"/>
      <c r="OFB7" s="59"/>
      <c r="OFC7" s="59"/>
      <c r="OFD7" s="59"/>
      <c r="OFE7" s="59"/>
      <c r="OFF7" s="59"/>
      <c r="OFG7" s="59"/>
      <c r="OFH7" s="59"/>
      <c r="OFI7" s="59"/>
      <c r="OFJ7" s="59"/>
      <c r="OFK7" s="59"/>
      <c r="OFL7" s="59"/>
      <c r="OFM7" s="59"/>
      <c r="OFN7" s="59"/>
      <c r="OFO7" s="59"/>
      <c r="OFP7" s="59"/>
      <c r="OFQ7" s="59"/>
      <c r="OFR7" s="59"/>
      <c r="OFS7" s="59"/>
      <c r="OFT7" s="59"/>
      <c r="OFU7" s="59"/>
      <c r="OFV7" s="59"/>
      <c r="OFW7" s="59"/>
      <c r="OFX7" s="59"/>
      <c r="OFY7" s="59"/>
      <c r="OFZ7" s="59"/>
      <c r="OGA7" s="59"/>
      <c r="OGB7" s="59"/>
      <c r="OGC7" s="59"/>
      <c r="OGD7" s="59"/>
      <c r="OGE7" s="59"/>
      <c r="OGF7" s="59"/>
      <c r="OGG7" s="59"/>
      <c r="OGH7" s="59"/>
      <c r="OGI7" s="59"/>
      <c r="OGJ7" s="59"/>
      <c r="OGK7" s="59"/>
      <c r="OGL7" s="59"/>
      <c r="OGM7" s="59"/>
      <c r="OGN7" s="59"/>
      <c r="OGO7" s="59"/>
      <c r="OGP7" s="59"/>
      <c r="OGQ7" s="59"/>
      <c r="OGR7" s="59"/>
      <c r="OGS7" s="59"/>
      <c r="OGT7" s="59"/>
      <c r="OGU7" s="59"/>
      <c r="OGV7" s="59"/>
      <c r="OGW7" s="59"/>
      <c r="OGX7" s="59"/>
      <c r="OGY7" s="59"/>
      <c r="OGZ7" s="59"/>
      <c r="OHA7" s="59"/>
      <c r="OHB7" s="59"/>
      <c r="OHC7" s="59"/>
      <c r="OHD7" s="59"/>
      <c r="OHE7" s="59"/>
      <c r="OHF7" s="59"/>
      <c r="OHG7" s="59"/>
      <c r="OHH7" s="59"/>
      <c r="OHI7" s="59"/>
      <c r="OHJ7" s="59"/>
      <c r="OHK7" s="59"/>
      <c r="OHL7" s="59"/>
      <c r="OHM7" s="59"/>
      <c r="OHN7" s="59"/>
      <c r="OHO7" s="59"/>
      <c r="OHP7" s="59"/>
      <c r="OHQ7" s="59"/>
      <c r="OHR7" s="59"/>
      <c r="OHS7" s="59"/>
      <c r="OHT7" s="59"/>
      <c r="OHU7" s="59"/>
      <c r="OHV7" s="59"/>
      <c r="OHW7" s="59"/>
      <c r="OHX7" s="59"/>
      <c r="OHY7" s="59"/>
      <c r="OHZ7" s="59"/>
      <c r="OIA7" s="59"/>
      <c r="OIB7" s="59"/>
      <c r="OIC7" s="59"/>
      <c r="OID7" s="59"/>
      <c r="OIE7" s="59"/>
      <c r="OIF7" s="59"/>
      <c r="OIG7" s="59"/>
      <c r="OIH7" s="59"/>
      <c r="OII7" s="59"/>
      <c r="OIJ7" s="59"/>
      <c r="OIK7" s="59"/>
      <c r="OIL7" s="59"/>
      <c r="OIM7" s="59"/>
      <c r="OIN7" s="59"/>
      <c r="OIO7" s="59"/>
      <c r="OIP7" s="59"/>
      <c r="OIQ7" s="59"/>
      <c r="OIR7" s="59"/>
      <c r="OIS7" s="59"/>
      <c r="OIT7" s="59"/>
      <c r="OIU7" s="59"/>
      <c r="OIV7" s="59"/>
      <c r="OIW7" s="59"/>
      <c r="OIX7" s="59"/>
      <c r="OIY7" s="59"/>
      <c r="OIZ7" s="59"/>
      <c r="OJA7" s="59"/>
      <c r="OJB7" s="59"/>
      <c r="OJC7" s="59"/>
      <c r="OJD7" s="59"/>
      <c r="OJE7" s="59"/>
      <c r="OJF7" s="59"/>
      <c r="OJG7" s="59"/>
      <c r="OJH7" s="59"/>
      <c r="OJI7" s="59"/>
      <c r="OJJ7" s="59"/>
      <c r="OJK7" s="59"/>
      <c r="OJL7" s="59"/>
      <c r="OJM7" s="59"/>
      <c r="OJN7" s="59"/>
      <c r="OJO7" s="59"/>
      <c r="OJP7" s="59"/>
      <c r="OJQ7" s="59"/>
      <c r="OJR7" s="59"/>
      <c r="OJS7" s="59"/>
      <c r="OJT7" s="59"/>
      <c r="OJU7" s="59"/>
      <c r="OJV7" s="59"/>
      <c r="OJW7" s="59"/>
      <c r="OJX7" s="59"/>
      <c r="OJY7" s="59"/>
      <c r="OJZ7" s="59"/>
      <c r="OKA7" s="59"/>
      <c r="OKB7" s="59"/>
      <c r="OKC7" s="59"/>
      <c r="OKD7" s="59"/>
      <c r="OKE7" s="59"/>
      <c r="OKF7" s="59"/>
      <c r="OKG7" s="59"/>
      <c r="OKH7" s="59"/>
      <c r="OKI7" s="59"/>
      <c r="OKJ7" s="59"/>
      <c r="OKK7" s="59"/>
      <c r="OKL7" s="59"/>
      <c r="OKM7" s="59"/>
      <c r="OKN7" s="59"/>
      <c r="OKO7" s="59"/>
      <c r="OKP7" s="59"/>
      <c r="OKQ7" s="59"/>
      <c r="OKR7" s="59"/>
      <c r="OKS7" s="59"/>
      <c r="OKT7" s="59"/>
      <c r="OKU7" s="59"/>
      <c r="OKV7" s="59"/>
      <c r="OKW7" s="59"/>
      <c r="OKX7" s="59"/>
      <c r="OKY7" s="59"/>
      <c r="OKZ7" s="59"/>
      <c r="OLA7" s="59"/>
      <c r="OLB7" s="59"/>
      <c r="OLC7" s="59"/>
      <c r="OLD7" s="59"/>
      <c r="OLE7" s="59"/>
      <c r="OLF7" s="59"/>
      <c r="OLG7" s="59"/>
      <c r="OLH7" s="59"/>
      <c r="OLI7" s="59"/>
      <c r="OLJ7" s="59"/>
      <c r="OLK7" s="59"/>
      <c r="OLL7" s="59"/>
      <c r="OLM7" s="59"/>
      <c r="OLN7" s="59"/>
      <c r="OLO7" s="59"/>
      <c r="OLP7" s="59"/>
      <c r="OLQ7" s="59"/>
      <c r="OLR7" s="59"/>
      <c r="OLS7" s="59"/>
      <c r="OLT7" s="59"/>
      <c r="OLU7" s="59"/>
      <c r="OLV7" s="59"/>
      <c r="OLW7" s="59"/>
      <c r="OLX7" s="59"/>
      <c r="OLY7" s="59"/>
      <c r="OLZ7" s="59"/>
      <c r="OMA7" s="59"/>
      <c r="OMB7" s="59"/>
      <c r="OMC7" s="59"/>
      <c r="OMD7" s="59"/>
      <c r="OME7" s="59"/>
      <c r="OMF7" s="59"/>
      <c r="OMG7" s="59"/>
      <c r="OMH7" s="59"/>
      <c r="OMI7" s="59"/>
      <c r="OMJ7" s="59"/>
      <c r="OMK7" s="59"/>
      <c r="OML7" s="59"/>
      <c r="OMM7" s="59"/>
      <c r="OMN7" s="59"/>
      <c r="OMO7" s="59"/>
      <c r="OMP7" s="59"/>
      <c r="OMQ7" s="59"/>
      <c r="OMR7" s="59"/>
      <c r="OMS7" s="59"/>
      <c r="OMT7" s="59"/>
      <c r="OMU7" s="59"/>
      <c r="OMV7" s="59"/>
      <c r="OMW7" s="59"/>
      <c r="OMX7" s="59"/>
      <c r="OMY7" s="59"/>
      <c r="OMZ7" s="59"/>
      <c r="ONA7" s="59"/>
      <c r="ONB7" s="59"/>
      <c r="ONC7" s="59"/>
      <c r="OND7" s="59"/>
      <c r="ONE7" s="59"/>
      <c r="ONF7" s="59"/>
      <c r="ONG7" s="59"/>
      <c r="ONH7" s="59"/>
      <c r="ONI7" s="59"/>
      <c r="ONJ7" s="59"/>
      <c r="ONK7" s="59"/>
      <c r="ONL7" s="59"/>
      <c r="ONM7" s="59"/>
      <c r="ONN7" s="59"/>
      <c r="ONO7" s="59"/>
      <c r="ONP7" s="59"/>
      <c r="ONQ7" s="59"/>
      <c r="ONR7" s="59"/>
      <c r="ONS7" s="59"/>
      <c r="ONT7" s="59"/>
      <c r="ONU7" s="59"/>
      <c r="ONV7" s="59"/>
      <c r="ONW7" s="59"/>
      <c r="ONX7" s="59"/>
      <c r="ONY7" s="59"/>
      <c r="ONZ7" s="59"/>
      <c r="OOA7" s="59"/>
      <c r="OOB7" s="59"/>
      <c r="OOC7" s="59"/>
      <c r="OOD7" s="59"/>
      <c r="OOE7" s="59"/>
      <c r="OOF7" s="59"/>
      <c r="OOG7" s="59"/>
      <c r="OOH7" s="59"/>
      <c r="OOI7" s="59"/>
      <c r="OOJ7" s="59"/>
      <c r="OOK7" s="59"/>
      <c r="OOL7" s="59"/>
      <c r="OOM7" s="59"/>
      <c r="OON7" s="59"/>
      <c r="OOO7" s="59"/>
      <c r="OOP7" s="59"/>
      <c r="OOQ7" s="59"/>
      <c r="OOR7" s="59"/>
      <c r="OOS7" s="59"/>
      <c r="OOT7" s="59"/>
      <c r="OOU7" s="59"/>
      <c r="OOV7" s="59"/>
      <c r="OOW7" s="59"/>
      <c r="OOX7" s="59"/>
      <c r="OOY7" s="59"/>
      <c r="OOZ7" s="59"/>
      <c r="OPA7" s="59"/>
      <c r="OPB7" s="59"/>
      <c r="OPC7" s="59"/>
      <c r="OPD7" s="59"/>
      <c r="OPE7" s="59"/>
      <c r="OPF7" s="59"/>
      <c r="OPG7" s="59"/>
      <c r="OPH7" s="59"/>
      <c r="OPI7" s="59"/>
      <c r="OPJ7" s="59"/>
      <c r="OPK7" s="59"/>
      <c r="OPL7" s="59"/>
      <c r="OPM7" s="59"/>
      <c r="OPN7" s="59"/>
      <c r="OPO7" s="59"/>
      <c r="OPP7" s="59"/>
      <c r="OPQ7" s="59"/>
      <c r="OPR7" s="59"/>
      <c r="OPS7" s="59"/>
      <c r="OPT7" s="59"/>
      <c r="OPU7" s="59"/>
      <c r="OPV7" s="59"/>
      <c r="OPW7" s="59"/>
      <c r="OPX7" s="59"/>
      <c r="OPY7" s="59"/>
      <c r="OPZ7" s="59"/>
      <c r="OQA7" s="59"/>
      <c r="OQB7" s="59"/>
      <c r="OQC7" s="59"/>
      <c r="OQD7" s="59"/>
      <c r="OQE7" s="59"/>
      <c r="OQF7" s="59"/>
      <c r="OQG7" s="59"/>
      <c r="OQH7" s="59"/>
      <c r="OQI7" s="59"/>
      <c r="OQJ7" s="59"/>
      <c r="OQK7" s="59"/>
      <c r="OQL7" s="59"/>
      <c r="OQM7" s="59"/>
      <c r="OQN7" s="59"/>
      <c r="OQO7" s="59"/>
      <c r="OQP7" s="59"/>
      <c r="OQQ7" s="59"/>
      <c r="OQR7" s="59"/>
      <c r="OQS7" s="59"/>
      <c r="OQT7" s="59"/>
      <c r="OQU7" s="59"/>
      <c r="OQV7" s="59"/>
      <c r="OQW7" s="59"/>
      <c r="OQX7" s="59"/>
      <c r="OQY7" s="59"/>
      <c r="OQZ7" s="59"/>
      <c r="ORA7" s="59"/>
      <c r="ORB7" s="59"/>
      <c r="ORC7" s="59"/>
      <c r="ORD7" s="59"/>
      <c r="ORE7" s="59"/>
      <c r="ORF7" s="59"/>
      <c r="ORG7" s="59"/>
      <c r="ORH7" s="59"/>
      <c r="ORI7" s="59"/>
      <c r="ORJ7" s="59"/>
      <c r="ORK7" s="59"/>
      <c r="ORL7" s="59"/>
      <c r="ORM7" s="59"/>
      <c r="ORN7" s="59"/>
      <c r="ORO7" s="59"/>
      <c r="ORP7" s="59"/>
      <c r="ORQ7" s="59"/>
      <c r="ORR7" s="59"/>
      <c r="ORS7" s="59"/>
      <c r="ORT7" s="59"/>
      <c r="ORU7" s="59"/>
      <c r="ORV7" s="59"/>
      <c r="ORW7" s="59"/>
      <c r="ORX7" s="59"/>
      <c r="ORY7" s="59"/>
      <c r="ORZ7" s="59"/>
      <c r="OSA7" s="59"/>
      <c r="OSB7" s="59"/>
      <c r="OSC7" s="59"/>
      <c r="OSD7" s="59"/>
      <c r="OSE7" s="59"/>
      <c r="OSF7" s="59"/>
      <c r="OSG7" s="59"/>
      <c r="OSH7" s="59"/>
      <c r="OSI7" s="59"/>
      <c r="OSJ7" s="59"/>
      <c r="OSK7" s="59"/>
      <c r="OSL7" s="59"/>
      <c r="OSM7" s="59"/>
      <c r="OSN7" s="59"/>
      <c r="OSO7" s="59"/>
      <c r="OSP7" s="59"/>
      <c r="OSQ7" s="59"/>
      <c r="OSR7" s="59"/>
      <c r="OSS7" s="59"/>
      <c r="OST7" s="59"/>
      <c r="OSU7" s="59"/>
      <c r="OSV7" s="59"/>
      <c r="OSW7" s="59"/>
      <c r="OSX7" s="59"/>
      <c r="OSY7" s="59"/>
      <c r="OSZ7" s="59"/>
      <c r="OTA7" s="59"/>
      <c r="OTB7" s="59"/>
      <c r="OTC7" s="59"/>
      <c r="OTD7" s="59"/>
      <c r="OTE7" s="59"/>
      <c r="OTF7" s="59"/>
      <c r="OTG7" s="59"/>
      <c r="OTH7" s="59"/>
      <c r="OTI7" s="59"/>
      <c r="OTJ7" s="59"/>
      <c r="OTK7" s="59"/>
      <c r="OTL7" s="59"/>
      <c r="OTM7" s="59"/>
      <c r="OTN7" s="59"/>
      <c r="OTO7" s="59"/>
      <c r="OTP7" s="59"/>
      <c r="OTQ7" s="59"/>
      <c r="OTR7" s="59"/>
      <c r="OTS7" s="59"/>
      <c r="OTT7" s="59"/>
      <c r="OTU7" s="59"/>
      <c r="OTV7" s="59"/>
      <c r="OTW7" s="59"/>
      <c r="OTX7" s="59"/>
      <c r="OTY7" s="59"/>
      <c r="OTZ7" s="59"/>
      <c r="OUA7" s="59"/>
      <c r="OUB7" s="59"/>
      <c r="OUC7" s="59"/>
      <c r="OUD7" s="59"/>
      <c r="OUE7" s="59"/>
      <c r="OUF7" s="59"/>
      <c r="OUG7" s="59"/>
      <c r="OUH7" s="59"/>
      <c r="OUI7" s="59"/>
      <c r="OUJ7" s="59"/>
      <c r="OUK7" s="59"/>
      <c r="OUL7" s="59"/>
      <c r="OUM7" s="59"/>
      <c r="OUN7" s="59"/>
      <c r="OUO7" s="59"/>
      <c r="OUP7" s="59"/>
      <c r="OUQ7" s="59"/>
      <c r="OUR7" s="59"/>
      <c r="OUS7" s="59"/>
      <c r="OUT7" s="59"/>
      <c r="OUU7" s="59"/>
      <c r="OUV7" s="59"/>
      <c r="OUW7" s="59"/>
      <c r="OUX7" s="59"/>
      <c r="OUY7" s="59"/>
      <c r="OUZ7" s="59"/>
      <c r="OVA7" s="59"/>
      <c r="OVB7" s="59"/>
      <c r="OVC7" s="59"/>
      <c r="OVD7" s="59"/>
      <c r="OVE7" s="59"/>
      <c r="OVF7" s="59"/>
      <c r="OVG7" s="59"/>
      <c r="OVH7" s="59"/>
      <c r="OVI7" s="59"/>
      <c r="OVJ7" s="59"/>
      <c r="OVK7" s="59"/>
      <c r="OVL7" s="59"/>
      <c r="OVM7" s="59"/>
      <c r="OVN7" s="59"/>
      <c r="OVO7" s="59"/>
      <c r="OVP7" s="59"/>
      <c r="OVQ7" s="59"/>
      <c r="OVR7" s="59"/>
      <c r="OVS7" s="59"/>
      <c r="OVT7" s="59"/>
      <c r="OVU7" s="59"/>
      <c r="OVV7" s="59"/>
      <c r="OVW7" s="59"/>
      <c r="OVX7" s="59"/>
      <c r="OVY7" s="59"/>
      <c r="OVZ7" s="59"/>
      <c r="OWA7" s="59"/>
      <c r="OWB7" s="59"/>
      <c r="OWC7" s="59"/>
      <c r="OWD7" s="59"/>
      <c r="OWE7" s="59"/>
      <c r="OWF7" s="59"/>
      <c r="OWG7" s="59"/>
      <c r="OWH7" s="59"/>
      <c r="OWI7" s="59"/>
      <c r="OWJ7" s="59"/>
      <c r="OWK7" s="59"/>
      <c r="OWL7" s="59"/>
      <c r="OWM7" s="59"/>
      <c r="OWN7" s="59"/>
      <c r="OWO7" s="59"/>
      <c r="OWP7" s="59"/>
      <c r="OWQ7" s="59"/>
      <c r="OWR7" s="59"/>
      <c r="OWS7" s="59"/>
      <c r="OWT7" s="59"/>
      <c r="OWU7" s="59"/>
      <c r="OWV7" s="59"/>
      <c r="OWW7" s="59"/>
      <c r="OWX7" s="59"/>
      <c r="OWY7" s="59"/>
      <c r="OWZ7" s="59"/>
      <c r="OXA7" s="59"/>
      <c r="OXB7" s="59"/>
      <c r="OXC7" s="59"/>
      <c r="OXD7" s="59"/>
      <c r="OXE7" s="59"/>
      <c r="OXF7" s="59"/>
      <c r="OXG7" s="59"/>
      <c r="OXH7" s="59"/>
      <c r="OXI7" s="59"/>
      <c r="OXJ7" s="59"/>
      <c r="OXK7" s="59"/>
      <c r="OXL7" s="59"/>
      <c r="OXM7" s="59"/>
      <c r="OXN7" s="59"/>
      <c r="OXO7" s="59"/>
      <c r="OXP7" s="59"/>
      <c r="OXQ7" s="59"/>
      <c r="OXR7" s="59"/>
      <c r="OXS7" s="59"/>
      <c r="OXT7" s="59"/>
      <c r="OXU7" s="59"/>
      <c r="OXV7" s="59"/>
      <c r="OXW7" s="59"/>
      <c r="OXX7" s="59"/>
      <c r="OXY7" s="59"/>
      <c r="OXZ7" s="59"/>
      <c r="OYA7" s="59"/>
      <c r="OYB7" s="59"/>
      <c r="OYC7" s="59"/>
      <c r="OYD7" s="59"/>
      <c r="OYE7" s="59"/>
      <c r="OYF7" s="59"/>
      <c r="OYG7" s="59"/>
      <c r="OYH7" s="59"/>
      <c r="OYI7" s="59"/>
      <c r="OYJ7" s="59"/>
      <c r="OYK7" s="59"/>
      <c r="OYL7" s="59"/>
      <c r="OYM7" s="59"/>
      <c r="OYN7" s="59"/>
      <c r="OYO7" s="59"/>
      <c r="OYP7" s="59"/>
      <c r="OYQ7" s="59"/>
      <c r="OYR7" s="59"/>
      <c r="OYS7" s="59"/>
      <c r="OYT7" s="59"/>
      <c r="OYU7" s="59"/>
      <c r="OYV7" s="59"/>
      <c r="OYW7" s="59"/>
      <c r="OYX7" s="59"/>
      <c r="OYY7" s="59"/>
      <c r="OYZ7" s="59"/>
      <c r="OZA7" s="59"/>
      <c r="OZB7" s="59"/>
      <c r="OZC7" s="59"/>
      <c r="OZD7" s="59"/>
      <c r="OZE7" s="59"/>
      <c r="OZF7" s="59"/>
      <c r="OZG7" s="59"/>
      <c r="OZH7" s="59"/>
      <c r="OZI7" s="59"/>
      <c r="OZJ7" s="59"/>
      <c r="OZK7" s="59"/>
      <c r="OZL7" s="59"/>
      <c r="OZM7" s="59"/>
      <c r="OZN7" s="59"/>
      <c r="OZO7" s="59"/>
      <c r="OZP7" s="59"/>
      <c r="OZQ7" s="59"/>
      <c r="OZR7" s="59"/>
      <c r="OZS7" s="59"/>
      <c r="OZT7" s="59"/>
      <c r="OZU7" s="59"/>
      <c r="OZV7" s="59"/>
      <c r="OZW7" s="59"/>
      <c r="OZX7" s="59"/>
      <c r="OZY7" s="59"/>
      <c r="OZZ7" s="59"/>
      <c r="PAA7" s="59"/>
      <c r="PAB7" s="59"/>
      <c r="PAC7" s="59"/>
      <c r="PAD7" s="59"/>
      <c r="PAE7" s="59"/>
      <c r="PAF7" s="59"/>
      <c r="PAG7" s="59"/>
      <c r="PAH7" s="59"/>
      <c r="PAI7" s="59"/>
      <c r="PAJ7" s="59"/>
      <c r="PAK7" s="59"/>
      <c r="PAL7" s="59"/>
      <c r="PAM7" s="59"/>
      <c r="PAN7" s="59"/>
      <c r="PAO7" s="59"/>
      <c r="PAP7" s="59"/>
      <c r="PAQ7" s="59"/>
      <c r="PAR7" s="59"/>
      <c r="PAS7" s="59"/>
      <c r="PAT7" s="59"/>
      <c r="PAU7" s="59"/>
      <c r="PAV7" s="59"/>
      <c r="PAW7" s="59"/>
      <c r="PAX7" s="59"/>
      <c r="PAY7" s="59"/>
      <c r="PAZ7" s="59"/>
      <c r="PBA7" s="59"/>
      <c r="PBB7" s="59"/>
      <c r="PBC7" s="59"/>
      <c r="PBD7" s="59"/>
      <c r="PBE7" s="59"/>
      <c r="PBF7" s="59"/>
      <c r="PBG7" s="59"/>
      <c r="PBH7" s="59"/>
      <c r="PBI7" s="59"/>
      <c r="PBJ7" s="59"/>
      <c r="PBK7" s="59"/>
      <c r="PBL7" s="59"/>
      <c r="PBM7" s="59"/>
      <c r="PBN7" s="59"/>
      <c r="PBO7" s="59"/>
      <c r="PBP7" s="59"/>
      <c r="PBQ7" s="59"/>
      <c r="PBR7" s="59"/>
      <c r="PBS7" s="59"/>
      <c r="PBT7" s="59"/>
      <c r="PBU7" s="59"/>
      <c r="PBV7" s="59"/>
      <c r="PBW7" s="59"/>
      <c r="PBX7" s="59"/>
      <c r="PBY7" s="59"/>
      <c r="PBZ7" s="59"/>
      <c r="PCA7" s="59"/>
      <c r="PCB7" s="59"/>
      <c r="PCC7" s="59"/>
      <c r="PCD7" s="59"/>
      <c r="PCE7" s="59"/>
      <c r="PCF7" s="59"/>
      <c r="PCG7" s="59"/>
      <c r="PCH7" s="59"/>
      <c r="PCI7" s="59"/>
      <c r="PCJ7" s="59"/>
      <c r="PCK7" s="59"/>
      <c r="PCL7" s="59"/>
      <c r="PCM7" s="59"/>
      <c r="PCN7" s="59"/>
      <c r="PCO7" s="59"/>
      <c r="PCP7" s="59"/>
      <c r="PCQ7" s="59"/>
      <c r="PCR7" s="59"/>
      <c r="PCS7" s="59"/>
      <c r="PCT7" s="59"/>
      <c r="PCU7" s="59"/>
      <c r="PCV7" s="59"/>
      <c r="PCW7" s="59"/>
      <c r="PCX7" s="59"/>
      <c r="PCY7" s="59"/>
      <c r="PCZ7" s="59"/>
      <c r="PDA7" s="59"/>
      <c r="PDB7" s="59"/>
      <c r="PDC7" s="59"/>
      <c r="PDD7" s="59"/>
      <c r="PDE7" s="59"/>
      <c r="PDF7" s="59"/>
      <c r="PDG7" s="59"/>
      <c r="PDH7" s="59"/>
      <c r="PDI7" s="59"/>
      <c r="PDJ7" s="59"/>
      <c r="PDK7" s="59"/>
      <c r="PDL7" s="59"/>
      <c r="PDM7" s="59"/>
      <c r="PDN7" s="59"/>
      <c r="PDO7" s="59"/>
      <c r="PDP7" s="59"/>
      <c r="PDQ7" s="59"/>
      <c r="PDR7" s="59"/>
      <c r="PDS7" s="59"/>
      <c r="PDT7" s="59"/>
      <c r="PDU7" s="59"/>
      <c r="PDV7" s="59"/>
      <c r="PDW7" s="59"/>
      <c r="PDX7" s="59"/>
      <c r="PDY7" s="59"/>
      <c r="PDZ7" s="59"/>
      <c r="PEA7" s="59"/>
      <c r="PEB7" s="59"/>
      <c r="PEC7" s="59"/>
      <c r="PED7" s="59"/>
      <c r="PEE7" s="59"/>
      <c r="PEF7" s="59"/>
      <c r="PEG7" s="59"/>
      <c r="PEH7" s="59"/>
      <c r="PEI7" s="59"/>
      <c r="PEJ7" s="59"/>
      <c r="PEK7" s="59"/>
      <c r="PEL7" s="59"/>
      <c r="PEM7" s="59"/>
      <c r="PEN7" s="59"/>
      <c r="PEO7" s="59"/>
      <c r="PEP7" s="59"/>
      <c r="PEQ7" s="59"/>
      <c r="PER7" s="59"/>
      <c r="PES7" s="59"/>
      <c r="PET7" s="59"/>
      <c r="PEU7" s="59"/>
      <c r="PEV7" s="59"/>
      <c r="PEW7" s="59"/>
      <c r="PEX7" s="59"/>
      <c r="PEY7" s="59"/>
      <c r="PEZ7" s="59"/>
      <c r="PFA7" s="59"/>
      <c r="PFB7" s="59"/>
      <c r="PFC7" s="59"/>
      <c r="PFD7" s="59"/>
      <c r="PFE7" s="59"/>
      <c r="PFF7" s="59"/>
      <c r="PFG7" s="59"/>
      <c r="PFH7" s="59"/>
      <c r="PFI7" s="59"/>
      <c r="PFJ7" s="59"/>
      <c r="PFK7" s="59"/>
      <c r="PFL7" s="59"/>
      <c r="PFM7" s="59"/>
      <c r="PFN7" s="59"/>
      <c r="PFO7" s="59"/>
      <c r="PFP7" s="59"/>
      <c r="PFQ7" s="59"/>
      <c r="PFR7" s="59"/>
      <c r="PFS7" s="59"/>
      <c r="PFT7" s="59"/>
      <c r="PFU7" s="59"/>
      <c r="PFV7" s="59"/>
      <c r="PFW7" s="59"/>
      <c r="PFX7" s="59"/>
      <c r="PFY7" s="59"/>
      <c r="PFZ7" s="59"/>
      <c r="PGA7" s="59"/>
      <c r="PGB7" s="59"/>
      <c r="PGC7" s="59"/>
      <c r="PGD7" s="59"/>
      <c r="PGE7" s="59"/>
      <c r="PGF7" s="59"/>
      <c r="PGG7" s="59"/>
      <c r="PGH7" s="59"/>
      <c r="PGI7" s="59"/>
      <c r="PGJ7" s="59"/>
      <c r="PGK7" s="59"/>
      <c r="PGL7" s="59"/>
      <c r="PGM7" s="59"/>
      <c r="PGN7" s="59"/>
      <c r="PGO7" s="59"/>
      <c r="PGP7" s="59"/>
      <c r="PGQ7" s="59"/>
      <c r="PGR7" s="59"/>
      <c r="PGS7" s="59"/>
      <c r="PGT7" s="59"/>
      <c r="PGU7" s="59"/>
      <c r="PGV7" s="59"/>
      <c r="PGW7" s="59"/>
      <c r="PGX7" s="59"/>
      <c r="PGY7" s="59"/>
      <c r="PGZ7" s="59"/>
      <c r="PHA7" s="59"/>
      <c r="PHB7" s="59"/>
      <c r="PHC7" s="59"/>
      <c r="PHD7" s="59"/>
      <c r="PHE7" s="59"/>
      <c r="PHF7" s="59"/>
      <c r="PHG7" s="59"/>
      <c r="PHH7" s="59"/>
      <c r="PHI7" s="59"/>
      <c r="PHJ7" s="59"/>
      <c r="PHK7" s="59"/>
      <c r="PHL7" s="59"/>
      <c r="PHM7" s="59"/>
      <c r="PHN7" s="59"/>
      <c r="PHO7" s="59"/>
      <c r="PHP7" s="59"/>
      <c r="PHQ7" s="59"/>
      <c r="PHR7" s="59"/>
      <c r="PHS7" s="59"/>
      <c r="PHT7" s="59"/>
      <c r="PHU7" s="59"/>
      <c r="PHV7" s="59"/>
      <c r="PHW7" s="59"/>
      <c r="PHX7" s="59"/>
      <c r="PHY7" s="59"/>
      <c r="PHZ7" s="59"/>
      <c r="PIA7" s="59"/>
      <c r="PIB7" s="59"/>
      <c r="PIC7" s="59"/>
      <c r="PID7" s="59"/>
      <c r="PIE7" s="59"/>
      <c r="PIF7" s="59"/>
      <c r="PIG7" s="59"/>
      <c r="PIH7" s="59"/>
      <c r="PII7" s="59"/>
      <c r="PIJ7" s="59"/>
      <c r="PIK7" s="59"/>
      <c r="PIL7" s="59"/>
      <c r="PIM7" s="59"/>
      <c r="PIN7" s="59"/>
      <c r="PIO7" s="59"/>
      <c r="PIP7" s="59"/>
      <c r="PIQ7" s="59"/>
      <c r="PIR7" s="59"/>
      <c r="PIS7" s="59"/>
      <c r="PIT7" s="59"/>
      <c r="PIU7" s="59"/>
      <c r="PIV7" s="59"/>
      <c r="PIW7" s="59"/>
      <c r="PIX7" s="59"/>
      <c r="PIY7" s="59"/>
      <c r="PIZ7" s="59"/>
      <c r="PJA7" s="59"/>
      <c r="PJB7" s="59"/>
      <c r="PJC7" s="59"/>
      <c r="PJD7" s="59"/>
      <c r="PJE7" s="59"/>
      <c r="PJF7" s="59"/>
      <c r="PJG7" s="59"/>
      <c r="PJH7" s="59"/>
      <c r="PJI7" s="59"/>
      <c r="PJJ7" s="59"/>
      <c r="PJK7" s="59"/>
      <c r="PJL7" s="59"/>
      <c r="PJM7" s="59"/>
      <c r="PJN7" s="59"/>
      <c r="PJO7" s="59"/>
      <c r="PJP7" s="59"/>
      <c r="PJQ7" s="59"/>
      <c r="PJR7" s="59"/>
      <c r="PJS7" s="59"/>
      <c r="PJT7" s="59"/>
      <c r="PJU7" s="59"/>
      <c r="PJV7" s="59"/>
      <c r="PJW7" s="59"/>
      <c r="PJX7" s="59"/>
      <c r="PJY7" s="59"/>
      <c r="PJZ7" s="59"/>
      <c r="PKA7" s="59"/>
      <c r="PKB7" s="59"/>
      <c r="PKC7" s="59"/>
      <c r="PKD7" s="59"/>
      <c r="PKE7" s="59"/>
      <c r="PKF7" s="59"/>
      <c r="PKG7" s="59"/>
      <c r="PKH7" s="59"/>
      <c r="PKI7" s="59"/>
      <c r="PKJ7" s="59"/>
      <c r="PKK7" s="59"/>
      <c r="PKL7" s="59"/>
      <c r="PKM7" s="59"/>
      <c r="PKN7" s="59"/>
      <c r="PKO7" s="59"/>
      <c r="PKP7" s="59"/>
      <c r="PKQ7" s="59"/>
      <c r="PKR7" s="59"/>
      <c r="PKS7" s="59"/>
      <c r="PKT7" s="59"/>
      <c r="PKU7" s="59"/>
      <c r="PKV7" s="59"/>
      <c r="PKW7" s="59"/>
      <c r="PKX7" s="59"/>
      <c r="PKY7" s="59"/>
      <c r="PKZ7" s="59"/>
      <c r="PLA7" s="59"/>
      <c r="PLB7" s="59"/>
      <c r="PLC7" s="59"/>
      <c r="PLD7" s="59"/>
      <c r="PLE7" s="59"/>
      <c r="PLF7" s="59"/>
      <c r="PLG7" s="59"/>
      <c r="PLH7" s="59"/>
      <c r="PLI7" s="59"/>
      <c r="PLJ7" s="59"/>
      <c r="PLK7" s="59"/>
      <c r="PLL7" s="59"/>
      <c r="PLM7" s="59"/>
      <c r="PLN7" s="59"/>
      <c r="PLO7" s="59"/>
      <c r="PLP7" s="59"/>
      <c r="PLQ7" s="59"/>
      <c r="PLR7" s="59"/>
      <c r="PLS7" s="59"/>
      <c r="PLT7" s="59"/>
      <c r="PLU7" s="59"/>
      <c r="PLV7" s="59"/>
      <c r="PLW7" s="59"/>
      <c r="PLX7" s="59"/>
      <c r="PLY7" s="59"/>
      <c r="PLZ7" s="59"/>
      <c r="PMA7" s="59"/>
      <c r="PMB7" s="59"/>
      <c r="PMC7" s="59"/>
      <c r="PMD7" s="59"/>
      <c r="PME7" s="59"/>
      <c r="PMF7" s="59"/>
      <c r="PMG7" s="59"/>
      <c r="PMH7" s="59"/>
      <c r="PMI7" s="59"/>
      <c r="PMJ7" s="59"/>
      <c r="PMK7" s="59"/>
      <c r="PML7" s="59"/>
      <c r="PMM7" s="59"/>
      <c r="PMN7" s="59"/>
      <c r="PMO7" s="59"/>
      <c r="PMP7" s="59"/>
      <c r="PMQ7" s="59"/>
      <c r="PMR7" s="59"/>
      <c r="PMS7" s="59"/>
      <c r="PMT7" s="59"/>
      <c r="PMU7" s="59"/>
      <c r="PMV7" s="59"/>
      <c r="PMW7" s="59"/>
      <c r="PMX7" s="59"/>
      <c r="PMY7" s="59"/>
      <c r="PMZ7" s="59"/>
      <c r="PNA7" s="59"/>
      <c r="PNB7" s="59"/>
      <c r="PNC7" s="59"/>
      <c r="PND7" s="59"/>
      <c r="PNE7" s="59"/>
      <c r="PNF7" s="59"/>
      <c r="PNG7" s="59"/>
      <c r="PNH7" s="59"/>
      <c r="PNI7" s="59"/>
      <c r="PNJ7" s="59"/>
      <c r="PNK7" s="59"/>
      <c r="PNL7" s="59"/>
      <c r="PNM7" s="59"/>
      <c r="PNN7" s="59"/>
      <c r="PNO7" s="59"/>
      <c r="PNP7" s="59"/>
      <c r="PNQ7" s="59"/>
      <c r="PNR7" s="59"/>
      <c r="PNS7" s="59"/>
      <c r="PNT7" s="59"/>
      <c r="PNU7" s="59"/>
      <c r="PNV7" s="59"/>
      <c r="PNW7" s="59"/>
      <c r="PNX7" s="59"/>
      <c r="PNY7" s="59"/>
      <c r="PNZ7" s="59"/>
      <c r="POA7" s="59"/>
      <c r="POB7" s="59"/>
      <c r="POC7" s="59"/>
      <c r="POD7" s="59"/>
      <c r="POE7" s="59"/>
      <c r="POF7" s="59"/>
      <c r="POG7" s="59"/>
      <c r="POH7" s="59"/>
      <c r="POI7" s="59"/>
      <c r="POJ7" s="59"/>
      <c r="POK7" s="59"/>
      <c r="POL7" s="59"/>
      <c r="POM7" s="59"/>
      <c r="PON7" s="59"/>
      <c r="POO7" s="59"/>
      <c r="POP7" s="59"/>
      <c r="POQ7" s="59"/>
      <c r="POR7" s="59"/>
      <c r="POS7" s="59"/>
      <c r="POT7" s="59"/>
      <c r="POU7" s="59"/>
      <c r="POV7" s="59"/>
      <c r="POW7" s="59"/>
      <c r="POX7" s="59"/>
      <c r="POY7" s="59"/>
      <c r="POZ7" s="59"/>
      <c r="PPA7" s="59"/>
      <c r="PPB7" s="59"/>
      <c r="PPC7" s="59"/>
      <c r="PPD7" s="59"/>
      <c r="PPE7" s="59"/>
      <c r="PPF7" s="59"/>
      <c r="PPG7" s="59"/>
      <c r="PPH7" s="59"/>
      <c r="PPI7" s="59"/>
      <c r="PPJ7" s="59"/>
      <c r="PPK7" s="59"/>
      <c r="PPL7" s="59"/>
      <c r="PPM7" s="59"/>
      <c r="PPN7" s="59"/>
      <c r="PPO7" s="59"/>
      <c r="PPP7" s="59"/>
      <c r="PPQ7" s="59"/>
      <c r="PPR7" s="59"/>
      <c r="PPS7" s="59"/>
      <c r="PPT7" s="59"/>
      <c r="PPU7" s="59"/>
      <c r="PPV7" s="59"/>
      <c r="PPW7" s="59"/>
      <c r="PPX7" s="59"/>
      <c r="PPY7" s="59"/>
      <c r="PPZ7" s="59"/>
      <c r="PQA7" s="59"/>
      <c r="PQB7" s="59"/>
      <c r="PQC7" s="59"/>
      <c r="PQD7" s="59"/>
      <c r="PQE7" s="59"/>
      <c r="PQF7" s="59"/>
      <c r="PQG7" s="59"/>
      <c r="PQH7" s="59"/>
      <c r="PQI7" s="59"/>
      <c r="PQJ7" s="59"/>
      <c r="PQK7" s="59"/>
      <c r="PQL7" s="59"/>
      <c r="PQM7" s="59"/>
      <c r="PQN7" s="59"/>
      <c r="PQO7" s="59"/>
      <c r="PQP7" s="59"/>
      <c r="PQQ7" s="59"/>
      <c r="PQR7" s="59"/>
      <c r="PQS7" s="59"/>
      <c r="PQT7" s="59"/>
      <c r="PQU7" s="59"/>
      <c r="PQV7" s="59"/>
      <c r="PQW7" s="59"/>
      <c r="PQX7" s="59"/>
      <c r="PQY7" s="59"/>
      <c r="PQZ7" s="59"/>
      <c r="PRA7" s="59"/>
      <c r="PRB7" s="59"/>
      <c r="PRC7" s="59"/>
      <c r="PRD7" s="59"/>
      <c r="PRE7" s="59"/>
      <c r="PRF7" s="59"/>
      <c r="PRG7" s="59"/>
      <c r="PRH7" s="59"/>
      <c r="PRI7" s="59"/>
      <c r="PRJ7" s="59"/>
      <c r="PRK7" s="59"/>
      <c r="PRL7" s="59"/>
      <c r="PRM7" s="59"/>
      <c r="PRN7" s="59"/>
      <c r="PRO7" s="59"/>
      <c r="PRP7" s="59"/>
      <c r="PRQ7" s="59"/>
      <c r="PRR7" s="59"/>
      <c r="PRS7" s="59"/>
      <c r="PRT7" s="59"/>
      <c r="PRU7" s="59"/>
      <c r="PRV7" s="59"/>
      <c r="PRW7" s="59"/>
      <c r="PRX7" s="59"/>
      <c r="PRY7" s="59"/>
      <c r="PRZ7" s="59"/>
      <c r="PSA7" s="59"/>
      <c r="PSB7" s="59"/>
      <c r="PSC7" s="59"/>
      <c r="PSD7" s="59"/>
      <c r="PSE7" s="59"/>
      <c r="PSF7" s="59"/>
      <c r="PSG7" s="59"/>
      <c r="PSH7" s="59"/>
      <c r="PSI7" s="59"/>
      <c r="PSJ7" s="59"/>
      <c r="PSK7" s="59"/>
      <c r="PSL7" s="59"/>
      <c r="PSM7" s="59"/>
      <c r="PSN7" s="59"/>
      <c r="PSO7" s="59"/>
      <c r="PSP7" s="59"/>
      <c r="PSQ7" s="59"/>
      <c r="PSR7" s="59"/>
      <c r="PSS7" s="59"/>
      <c r="PST7" s="59"/>
      <c r="PSU7" s="59"/>
      <c r="PSV7" s="59"/>
      <c r="PSW7" s="59"/>
      <c r="PSX7" s="59"/>
      <c r="PSY7" s="59"/>
      <c r="PSZ7" s="59"/>
      <c r="PTA7" s="59"/>
      <c r="PTB7" s="59"/>
      <c r="PTC7" s="59"/>
      <c r="PTD7" s="59"/>
      <c r="PTE7" s="59"/>
      <c r="PTF7" s="59"/>
      <c r="PTG7" s="59"/>
      <c r="PTH7" s="59"/>
      <c r="PTI7" s="59"/>
      <c r="PTJ7" s="59"/>
      <c r="PTK7" s="59"/>
      <c r="PTL7" s="59"/>
      <c r="PTM7" s="59"/>
      <c r="PTN7" s="59"/>
      <c r="PTO7" s="59"/>
      <c r="PTP7" s="59"/>
      <c r="PTQ7" s="59"/>
      <c r="PTR7" s="59"/>
      <c r="PTS7" s="59"/>
      <c r="PTT7" s="59"/>
      <c r="PTU7" s="59"/>
      <c r="PTV7" s="59"/>
      <c r="PTW7" s="59"/>
      <c r="PTX7" s="59"/>
      <c r="PTY7" s="59"/>
      <c r="PTZ7" s="59"/>
      <c r="PUA7" s="59"/>
      <c r="PUB7" s="59"/>
      <c r="PUC7" s="59"/>
      <c r="PUD7" s="59"/>
      <c r="PUE7" s="59"/>
      <c r="PUF7" s="59"/>
      <c r="PUG7" s="59"/>
      <c r="PUH7" s="59"/>
      <c r="PUI7" s="59"/>
      <c r="PUJ7" s="59"/>
      <c r="PUK7" s="59"/>
      <c r="PUL7" s="59"/>
      <c r="PUM7" s="59"/>
      <c r="PUN7" s="59"/>
      <c r="PUO7" s="59"/>
      <c r="PUP7" s="59"/>
      <c r="PUQ7" s="59"/>
      <c r="PUR7" s="59"/>
      <c r="PUS7" s="59"/>
      <c r="PUT7" s="59"/>
      <c r="PUU7" s="59"/>
      <c r="PUV7" s="59"/>
      <c r="PUW7" s="59"/>
      <c r="PUX7" s="59"/>
      <c r="PUY7" s="59"/>
      <c r="PUZ7" s="59"/>
      <c r="PVA7" s="59"/>
      <c r="PVB7" s="59"/>
      <c r="PVC7" s="59"/>
      <c r="PVD7" s="59"/>
      <c r="PVE7" s="59"/>
      <c r="PVF7" s="59"/>
      <c r="PVG7" s="59"/>
      <c r="PVH7" s="59"/>
      <c r="PVI7" s="59"/>
      <c r="PVJ7" s="59"/>
      <c r="PVK7" s="59"/>
      <c r="PVL7" s="59"/>
      <c r="PVM7" s="59"/>
      <c r="PVN7" s="59"/>
      <c r="PVO7" s="59"/>
      <c r="PVP7" s="59"/>
      <c r="PVQ7" s="59"/>
      <c r="PVR7" s="59"/>
      <c r="PVS7" s="59"/>
      <c r="PVT7" s="59"/>
      <c r="PVU7" s="59"/>
      <c r="PVV7" s="59"/>
      <c r="PVW7" s="59"/>
      <c r="PVX7" s="59"/>
      <c r="PVY7" s="59"/>
      <c r="PVZ7" s="59"/>
      <c r="PWA7" s="59"/>
      <c r="PWB7" s="59"/>
      <c r="PWC7" s="59"/>
      <c r="PWD7" s="59"/>
      <c r="PWE7" s="59"/>
      <c r="PWF7" s="59"/>
      <c r="PWG7" s="59"/>
      <c r="PWH7" s="59"/>
      <c r="PWI7" s="59"/>
      <c r="PWJ7" s="59"/>
      <c r="PWK7" s="59"/>
      <c r="PWL7" s="59"/>
      <c r="PWM7" s="59"/>
      <c r="PWN7" s="59"/>
      <c r="PWO7" s="59"/>
      <c r="PWP7" s="59"/>
      <c r="PWQ7" s="59"/>
      <c r="PWR7" s="59"/>
      <c r="PWS7" s="59"/>
      <c r="PWT7" s="59"/>
      <c r="PWU7" s="59"/>
      <c r="PWV7" s="59"/>
      <c r="PWW7" s="59"/>
      <c r="PWX7" s="59"/>
      <c r="PWY7" s="59"/>
      <c r="PWZ7" s="59"/>
      <c r="PXA7" s="59"/>
      <c r="PXB7" s="59"/>
      <c r="PXC7" s="59"/>
      <c r="PXD7" s="59"/>
      <c r="PXE7" s="59"/>
      <c r="PXF7" s="59"/>
      <c r="PXG7" s="59"/>
      <c r="PXH7" s="59"/>
      <c r="PXI7" s="59"/>
      <c r="PXJ7" s="59"/>
      <c r="PXK7" s="59"/>
      <c r="PXL7" s="59"/>
      <c r="PXM7" s="59"/>
      <c r="PXN7" s="59"/>
      <c r="PXO7" s="59"/>
      <c r="PXP7" s="59"/>
      <c r="PXQ7" s="59"/>
      <c r="PXR7" s="59"/>
      <c r="PXS7" s="59"/>
      <c r="PXT7" s="59"/>
      <c r="PXU7" s="59"/>
      <c r="PXV7" s="59"/>
      <c r="PXW7" s="59"/>
      <c r="PXX7" s="59"/>
      <c r="PXY7" s="59"/>
      <c r="PXZ7" s="59"/>
      <c r="PYA7" s="59"/>
      <c r="PYB7" s="59"/>
      <c r="PYC7" s="59"/>
      <c r="PYD7" s="59"/>
      <c r="PYE7" s="59"/>
      <c r="PYF7" s="59"/>
      <c r="PYG7" s="59"/>
      <c r="PYH7" s="59"/>
      <c r="PYI7" s="59"/>
      <c r="PYJ7" s="59"/>
      <c r="PYK7" s="59"/>
      <c r="PYL7" s="59"/>
      <c r="PYM7" s="59"/>
      <c r="PYN7" s="59"/>
      <c r="PYO7" s="59"/>
      <c r="PYP7" s="59"/>
      <c r="PYQ7" s="59"/>
      <c r="PYR7" s="59"/>
      <c r="PYS7" s="59"/>
      <c r="PYT7" s="59"/>
      <c r="PYU7" s="59"/>
      <c r="PYV7" s="59"/>
      <c r="PYW7" s="59"/>
      <c r="PYX7" s="59"/>
      <c r="PYY7" s="59"/>
      <c r="PYZ7" s="59"/>
      <c r="PZA7" s="59"/>
      <c r="PZB7" s="59"/>
      <c r="PZC7" s="59"/>
      <c r="PZD7" s="59"/>
      <c r="PZE7" s="59"/>
      <c r="PZF7" s="59"/>
      <c r="PZG7" s="59"/>
      <c r="PZH7" s="59"/>
      <c r="PZI7" s="59"/>
      <c r="PZJ7" s="59"/>
      <c r="PZK7" s="59"/>
      <c r="PZL7" s="59"/>
      <c r="PZM7" s="59"/>
      <c r="PZN7" s="59"/>
      <c r="PZO7" s="59"/>
      <c r="PZP7" s="59"/>
      <c r="PZQ7" s="59"/>
      <c r="PZR7" s="59"/>
      <c r="PZS7" s="59"/>
      <c r="PZT7" s="59"/>
      <c r="PZU7" s="59"/>
      <c r="PZV7" s="59"/>
      <c r="PZW7" s="59"/>
      <c r="PZX7" s="59"/>
      <c r="PZY7" s="59"/>
      <c r="PZZ7" s="59"/>
      <c r="QAA7" s="59"/>
      <c r="QAB7" s="59"/>
      <c r="QAC7" s="59"/>
      <c r="QAD7" s="59"/>
      <c r="QAE7" s="59"/>
      <c r="QAF7" s="59"/>
      <c r="QAG7" s="59"/>
      <c r="QAH7" s="59"/>
      <c r="QAI7" s="59"/>
      <c r="QAJ7" s="59"/>
      <c r="QAK7" s="59"/>
      <c r="QAL7" s="59"/>
      <c r="QAM7" s="59"/>
      <c r="QAN7" s="59"/>
      <c r="QAO7" s="59"/>
      <c r="QAP7" s="59"/>
      <c r="QAQ7" s="59"/>
      <c r="QAR7" s="59"/>
      <c r="QAS7" s="59"/>
      <c r="QAT7" s="59"/>
      <c r="QAU7" s="59"/>
      <c r="QAV7" s="59"/>
      <c r="QAW7" s="59"/>
      <c r="QAX7" s="59"/>
      <c r="QAY7" s="59"/>
      <c r="QAZ7" s="59"/>
      <c r="QBA7" s="59"/>
      <c r="QBB7" s="59"/>
      <c r="QBC7" s="59"/>
      <c r="QBD7" s="59"/>
      <c r="QBE7" s="59"/>
      <c r="QBF7" s="59"/>
      <c r="QBG7" s="59"/>
      <c r="QBH7" s="59"/>
      <c r="QBI7" s="59"/>
      <c r="QBJ7" s="59"/>
      <c r="QBK7" s="59"/>
      <c r="QBL7" s="59"/>
      <c r="QBM7" s="59"/>
      <c r="QBN7" s="59"/>
      <c r="QBO7" s="59"/>
      <c r="QBP7" s="59"/>
      <c r="QBQ7" s="59"/>
      <c r="QBR7" s="59"/>
      <c r="QBS7" s="59"/>
      <c r="QBT7" s="59"/>
      <c r="QBU7" s="59"/>
      <c r="QBV7" s="59"/>
      <c r="QBW7" s="59"/>
      <c r="QBX7" s="59"/>
      <c r="QBY7" s="59"/>
      <c r="QBZ7" s="59"/>
      <c r="QCA7" s="59"/>
      <c r="QCB7" s="59"/>
      <c r="QCC7" s="59"/>
      <c r="QCD7" s="59"/>
      <c r="QCE7" s="59"/>
      <c r="QCF7" s="59"/>
      <c r="QCG7" s="59"/>
      <c r="QCH7" s="59"/>
      <c r="QCI7" s="59"/>
      <c r="QCJ7" s="59"/>
      <c r="QCK7" s="59"/>
      <c r="QCL7" s="59"/>
      <c r="QCM7" s="59"/>
      <c r="QCN7" s="59"/>
      <c r="QCO7" s="59"/>
      <c r="QCP7" s="59"/>
      <c r="QCQ7" s="59"/>
      <c r="QCR7" s="59"/>
      <c r="QCS7" s="59"/>
      <c r="QCT7" s="59"/>
      <c r="QCU7" s="59"/>
      <c r="QCV7" s="59"/>
      <c r="QCW7" s="59"/>
      <c r="QCX7" s="59"/>
      <c r="QCY7" s="59"/>
      <c r="QCZ7" s="59"/>
      <c r="QDA7" s="59"/>
      <c r="QDB7" s="59"/>
      <c r="QDC7" s="59"/>
      <c r="QDD7" s="59"/>
      <c r="QDE7" s="59"/>
      <c r="QDF7" s="59"/>
      <c r="QDG7" s="59"/>
      <c r="QDH7" s="59"/>
      <c r="QDI7" s="59"/>
      <c r="QDJ7" s="59"/>
      <c r="QDK7" s="59"/>
      <c r="QDL7" s="59"/>
      <c r="QDM7" s="59"/>
      <c r="QDN7" s="59"/>
      <c r="QDO7" s="59"/>
      <c r="QDP7" s="59"/>
      <c r="QDQ7" s="59"/>
      <c r="QDR7" s="59"/>
      <c r="QDS7" s="59"/>
      <c r="QDT7" s="59"/>
      <c r="QDU7" s="59"/>
      <c r="QDV7" s="59"/>
      <c r="QDW7" s="59"/>
      <c r="QDX7" s="59"/>
      <c r="QDY7" s="59"/>
      <c r="QDZ7" s="59"/>
      <c r="QEA7" s="59"/>
      <c r="QEB7" s="59"/>
      <c r="QEC7" s="59"/>
      <c r="QED7" s="59"/>
      <c r="QEE7" s="59"/>
      <c r="QEF7" s="59"/>
      <c r="QEG7" s="59"/>
      <c r="QEH7" s="59"/>
      <c r="QEI7" s="59"/>
      <c r="QEJ7" s="59"/>
      <c r="QEK7" s="59"/>
      <c r="QEL7" s="59"/>
      <c r="QEM7" s="59"/>
      <c r="QEN7" s="59"/>
      <c r="QEO7" s="59"/>
      <c r="QEP7" s="59"/>
      <c r="QEQ7" s="59"/>
      <c r="QER7" s="59"/>
      <c r="QES7" s="59"/>
      <c r="QET7" s="59"/>
      <c r="QEU7" s="59"/>
      <c r="QEV7" s="59"/>
      <c r="QEW7" s="59"/>
      <c r="QEX7" s="59"/>
      <c r="QEY7" s="59"/>
      <c r="QEZ7" s="59"/>
      <c r="QFA7" s="59"/>
      <c r="QFB7" s="59"/>
      <c r="QFC7" s="59"/>
      <c r="QFD7" s="59"/>
      <c r="QFE7" s="59"/>
      <c r="QFF7" s="59"/>
      <c r="QFG7" s="59"/>
      <c r="QFH7" s="59"/>
      <c r="QFI7" s="59"/>
      <c r="QFJ7" s="59"/>
      <c r="QFK7" s="59"/>
      <c r="QFL7" s="59"/>
      <c r="QFM7" s="59"/>
      <c r="QFN7" s="59"/>
      <c r="QFO7" s="59"/>
      <c r="QFP7" s="59"/>
      <c r="QFQ7" s="59"/>
      <c r="QFR7" s="59"/>
      <c r="QFS7" s="59"/>
      <c r="QFT7" s="59"/>
      <c r="QFU7" s="59"/>
      <c r="QFV7" s="59"/>
      <c r="QFW7" s="59"/>
      <c r="QFX7" s="59"/>
      <c r="QFY7" s="59"/>
      <c r="QFZ7" s="59"/>
      <c r="QGA7" s="59"/>
      <c r="QGB7" s="59"/>
      <c r="QGC7" s="59"/>
      <c r="QGD7" s="59"/>
      <c r="QGE7" s="59"/>
      <c r="QGF7" s="59"/>
      <c r="QGG7" s="59"/>
      <c r="QGH7" s="59"/>
      <c r="QGI7" s="59"/>
      <c r="QGJ7" s="59"/>
      <c r="QGK7" s="59"/>
      <c r="QGL7" s="59"/>
      <c r="QGM7" s="59"/>
      <c r="QGN7" s="59"/>
      <c r="QGO7" s="59"/>
      <c r="QGP7" s="59"/>
      <c r="QGQ7" s="59"/>
      <c r="QGR7" s="59"/>
      <c r="QGS7" s="59"/>
      <c r="QGT7" s="59"/>
      <c r="QGU7" s="59"/>
      <c r="QGV7" s="59"/>
      <c r="QGW7" s="59"/>
      <c r="QGX7" s="59"/>
      <c r="QGY7" s="59"/>
      <c r="QGZ7" s="59"/>
      <c r="QHA7" s="59"/>
      <c r="QHB7" s="59"/>
      <c r="QHC7" s="59"/>
      <c r="QHD7" s="59"/>
      <c r="QHE7" s="59"/>
      <c r="QHF7" s="59"/>
      <c r="QHG7" s="59"/>
      <c r="QHH7" s="59"/>
      <c r="QHI7" s="59"/>
      <c r="QHJ7" s="59"/>
      <c r="QHK7" s="59"/>
      <c r="QHL7" s="59"/>
      <c r="QHM7" s="59"/>
      <c r="QHN7" s="59"/>
      <c r="QHO7" s="59"/>
      <c r="QHP7" s="59"/>
      <c r="QHQ7" s="59"/>
      <c r="QHR7" s="59"/>
      <c r="QHS7" s="59"/>
      <c r="QHT7" s="59"/>
      <c r="QHU7" s="59"/>
      <c r="QHV7" s="59"/>
      <c r="QHW7" s="59"/>
      <c r="QHX7" s="59"/>
      <c r="QHY7" s="59"/>
      <c r="QHZ7" s="59"/>
      <c r="QIA7" s="59"/>
      <c r="QIB7" s="59"/>
      <c r="QIC7" s="59"/>
      <c r="QID7" s="59"/>
      <c r="QIE7" s="59"/>
      <c r="QIF7" s="59"/>
      <c r="QIG7" s="59"/>
      <c r="QIH7" s="59"/>
      <c r="QII7" s="59"/>
      <c r="QIJ7" s="59"/>
      <c r="QIK7" s="59"/>
      <c r="QIL7" s="59"/>
      <c r="QIM7" s="59"/>
      <c r="QIN7" s="59"/>
      <c r="QIO7" s="59"/>
      <c r="QIP7" s="59"/>
      <c r="QIQ7" s="59"/>
      <c r="QIR7" s="59"/>
      <c r="QIS7" s="59"/>
      <c r="QIT7" s="59"/>
      <c r="QIU7" s="59"/>
      <c r="QIV7" s="59"/>
      <c r="QIW7" s="59"/>
      <c r="QIX7" s="59"/>
      <c r="QIY7" s="59"/>
      <c r="QIZ7" s="59"/>
      <c r="QJA7" s="59"/>
      <c r="QJB7" s="59"/>
      <c r="QJC7" s="59"/>
      <c r="QJD7" s="59"/>
      <c r="QJE7" s="59"/>
      <c r="QJF7" s="59"/>
      <c r="QJG7" s="59"/>
      <c r="QJH7" s="59"/>
      <c r="QJI7" s="59"/>
      <c r="QJJ7" s="59"/>
      <c r="QJK7" s="59"/>
      <c r="QJL7" s="59"/>
      <c r="QJM7" s="59"/>
      <c r="QJN7" s="59"/>
      <c r="QJO7" s="59"/>
      <c r="QJP7" s="59"/>
      <c r="QJQ7" s="59"/>
      <c r="QJR7" s="59"/>
      <c r="QJS7" s="59"/>
      <c r="QJT7" s="59"/>
      <c r="QJU7" s="59"/>
      <c r="QJV7" s="59"/>
      <c r="QJW7" s="59"/>
      <c r="QJX7" s="59"/>
      <c r="QJY7" s="59"/>
      <c r="QJZ7" s="59"/>
      <c r="QKA7" s="59"/>
      <c r="QKB7" s="59"/>
      <c r="QKC7" s="59"/>
      <c r="QKD7" s="59"/>
      <c r="QKE7" s="59"/>
      <c r="QKF7" s="59"/>
      <c r="QKG7" s="59"/>
      <c r="QKH7" s="59"/>
      <c r="QKI7" s="59"/>
      <c r="QKJ7" s="59"/>
      <c r="QKK7" s="59"/>
      <c r="QKL7" s="59"/>
      <c r="QKM7" s="59"/>
      <c r="QKN7" s="59"/>
      <c r="QKO7" s="59"/>
      <c r="QKP7" s="59"/>
      <c r="QKQ7" s="59"/>
      <c r="QKR7" s="59"/>
      <c r="QKS7" s="59"/>
      <c r="QKT7" s="59"/>
      <c r="QKU7" s="59"/>
      <c r="QKV7" s="59"/>
      <c r="QKW7" s="59"/>
      <c r="QKX7" s="59"/>
      <c r="QKY7" s="59"/>
      <c r="QKZ7" s="59"/>
      <c r="QLA7" s="59"/>
      <c r="QLB7" s="59"/>
      <c r="QLC7" s="59"/>
      <c r="QLD7" s="59"/>
      <c r="QLE7" s="59"/>
      <c r="QLF7" s="59"/>
      <c r="QLG7" s="59"/>
      <c r="QLH7" s="59"/>
      <c r="QLI7" s="59"/>
      <c r="QLJ7" s="59"/>
      <c r="QLK7" s="59"/>
      <c r="QLL7" s="59"/>
      <c r="QLM7" s="59"/>
      <c r="QLN7" s="59"/>
      <c r="QLO7" s="59"/>
      <c r="QLP7" s="59"/>
      <c r="QLQ7" s="59"/>
      <c r="QLR7" s="59"/>
      <c r="QLS7" s="59"/>
      <c r="QLT7" s="59"/>
      <c r="QLU7" s="59"/>
      <c r="QLV7" s="59"/>
      <c r="QLW7" s="59"/>
      <c r="QLX7" s="59"/>
      <c r="QLY7" s="59"/>
      <c r="QLZ7" s="59"/>
      <c r="QMA7" s="59"/>
      <c r="QMB7" s="59"/>
      <c r="QMC7" s="59"/>
      <c r="QMD7" s="59"/>
      <c r="QME7" s="59"/>
      <c r="QMF7" s="59"/>
      <c r="QMG7" s="59"/>
      <c r="QMH7" s="59"/>
      <c r="QMI7" s="59"/>
      <c r="QMJ7" s="59"/>
      <c r="QMK7" s="59"/>
      <c r="QML7" s="59"/>
      <c r="QMM7" s="59"/>
      <c r="QMN7" s="59"/>
      <c r="QMO7" s="59"/>
      <c r="QMP7" s="59"/>
      <c r="QMQ7" s="59"/>
      <c r="QMR7" s="59"/>
      <c r="QMS7" s="59"/>
      <c r="QMT7" s="59"/>
      <c r="QMU7" s="59"/>
      <c r="QMV7" s="59"/>
      <c r="QMW7" s="59"/>
      <c r="QMX7" s="59"/>
      <c r="QMY7" s="59"/>
      <c r="QMZ7" s="59"/>
      <c r="QNA7" s="59"/>
      <c r="QNB7" s="59"/>
      <c r="QNC7" s="59"/>
      <c r="QND7" s="59"/>
      <c r="QNE7" s="59"/>
      <c r="QNF7" s="59"/>
      <c r="QNG7" s="59"/>
      <c r="QNH7" s="59"/>
      <c r="QNI7" s="59"/>
      <c r="QNJ7" s="59"/>
      <c r="QNK7" s="59"/>
      <c r="QNL7" s="59"/>
      <c r="QNM7" s="59"/>
      <c r="QNN7" s="59"/>
      <c r="QNO7" s="59"/>
      <c r="QNP7" s="59"/>
      <c r="QNQ7" s="59"/>
      <c r="QNR7" s="59"/>
      <c r="QNS7" s="59"/>
      <c r="QNT7" s="59"/>
      <c r="QNU7" s="59"/>
      <c r="QNV7" s="59"/>
      <c r="QNW7" s="59"/>
      <c r="QNX7" s="59"/>
      <c r="QNY7" s="59"/>
      <c r="QNZ7" s="59"/>
      <c r="QOA7" s="59"/>
      <c r="QOB7" s="59"/>
      <c r="QOC7" s="59"/>
      <c r="QOD7" s="59"/>
      <c r="QOE7" s="59"/>
      <c r="QOF7" s="59"/>
      <c r="QOG7" s="59"/>
      <c r="QOH7" s="59"/>
      <c r="QOI7" s="59"/>
      <c r="QOJ7" s="59"/>
      <c r="QOK7" s="59"/>
      <c r="QOL7" s="59"/>
      <c r="QOM7" s="59"/>
      <c r="QON7" s="59"/>
      <c r="QOO7" s="59"/>
      <c r="QOP7" s="59"/>
      <c r="QOQ7" s="59"/>
      <c r="QOR7" s="59"/>
      <c r="QOS7" s="59"/>
      <c r="QOT7" s="59"/>
      <c r="QOU7" s="59"/>
      <c r="QOV7" s="59"/>
      <c r="QOW7" s="59"/>
      <c r="QOX7" s="59"/>
      <c r="QOY7" s="59"/>
      <c r="QOZ7" s="59"/>
      <c r="QPA7" s="59"/>
      <c r="QPB7" s="59"/>
      <c r="QPC7" s="59"/>
      <c r="QPD7" s="59"/>
      <c r="QPE7" s="59"/>
      <c r="QPF7" s="59"/>
      <c r="QPG7" s="59"/>
      <c r="QPH7" s="59"/>
      <c r="QPI7" s="59"/>
      <c r="QPJ7" s="59"/>
      <c r="QPK7" s="59"/>
      <c r="QPL7" s="59"/>
      <c r="QPM7" s="59"/>
      <c r="QPN7" s="59"/>
      <c r="QPO7" s="59"/>
      <c r="QPP7" s="59"/>
      <c r="QPQ7" s="59"/>
      <c r="QPR7" s="59"/>
      <c r="QPS7" s="59"/>
      <c r="QPT7" s="59"/>
      <c r="QPU7" s="59"/>
      <c r="QPV7" s="59"/>
      <c r="QPW7" s="59"/>
      <c r="QPX7" s="59"/>
      <c r="QPY7" s="59"/>
      <c r="QPZ7" s="59"/>
      <c r="QQA7" s="59"/>
      <c r="QQB7" s="59"/>
      <c r="QQC7" s="59"/>
      <c r="QQD7" s="59"/>
      <c r="QQE7" s="59"/>
      <c r="QQF7" s="59"/>
      <c r="QQG7" s="59"/>
      <c r="QQH7" s="59"/>
      <c r="QQI7" s="59"/>
      <c r="QQJ7" s="59"/>
      <c r="QQK7" s="59"/>
      <c r="QQL7" s="59"/>
      <c r="QQM7" s="59"/>
      <c r="QQN7" s="59"/>
      <c r="QQO7" s="59"/>
      <c r="QQP7" s="59"/>
      <c r="QQQ7" s="59"/>
      <c r="QQR7" s="59"/>
      <c r="QQS7" s="59"/>
      <c r="QQT7" s="59"/>
      <c r="QQU7" s="59"/>
      <c r="QQV7" s="59"/>
      <c r="QQW7" s="59"/>
      <c r="QQX7" s="59"/>
      <c r="QQY7" s="59"/>
      <c r="QQZ7" s="59"/>
      <c r="QRA7" s="59"/>
      <c r="QRB7" s="59"/>
      <c r="QRC7" s="59"/>
      <c r="QRD7" s="59"/>
      <c r="QRE7" s="59"/>
      <c r="QRF7" s="59"/>
      <c r="QRG7" s="59"/>
      <c r="QRH7" s="59"/>
      <c r="QRI7" s="59"/>
      <c r="QRJ7" s="59"/>
      <c r="QRK7" s="59"/>
      <c r="QRL7" s="59"/>
      <c r="QRM7" s="59"/>
      <c r="QRN7" s="59"/>
      <c r="QRO7" s="59"/>
      <c r="QRP7" s="59"/>
      <c r="QRQ7" s="59"/>
      <c r="QRR7" s="59"/>
      <c r="QRS7" s="59"/>
      <c r="QRT7" s="59"/>
      <c r="QRU7" s="59"/>
      <c r="QRV7" s="59"/>
      <c r="QRW7" s="59"/>
      <c r="QRX7" s="59"/>
      <c r="QRY7" s="59"/>
      <c r="QRZ7" s="59"/>
      <c r="QSA7" s="59"/>
      <c r="QSB7" s="59"/>
      <c r="QSC7" s="59"/>
      <c r="QSD7" s="59"/>
      <c r="QSE7" s="59"/>
      <c r="QSF7" s="59"/>
      <c r="QSG7" s="59"/>
      <c r="QSH7" s="59"/>
      <c r="QSI7" s="59"/>
      <c r="QSJ7" s="59"/>
      <c r="QSK7" s="59"/>
      <c r="QSL7" s="59"/>
      <c r="QSM7" s="59"/>
      <c r="QSN7" s="59"/>
      <c r="QSO7" s="59"/>
      <c r="QSP7" s="59"/>
      <c r="QSQ7" s="59"/>
      <c r="QSR7" s="59"/>
      <c r="QSS7" s="59"/>
      <c r="QST7" s="59"/>
      <c r="QSU7" s="59"/>
      <c r="QSV7" s="59"/>
      <c r="QSW7" s="59"/>
      <c r="QSX7" s="59"/>
      <c r="QSY7" s="59"/>
      <c r="QSZ7" s="59"/>
      <c r="QTA7" s="59"/>
      <c r="QTB7" s="59"/>
      <c r="QTC7" s="59"/>
      <c r="QTD7" s="59"/>
      <c r="QTE7" s="59"/>
      <c r="QTF7" s="59"/>
      <c r="QTG7" s="59"/>
      <c r="QTH7" s="59"/>
      <c r="QTI7" s="59"/>
      <c r="QTJ7" s="59"/>
      <c r="QTK7" s="59"/>
      <c r="QTL7" s="59"/>
      <c r="QTM7" s="59"/>
      <c r="QTN7" s="59"/>
      <c r="QTO7" s="59"/>
      <c r="QTP7" s="59"/>
      <c r="QTQ7" s="59"/>
      <c r="QTR7" s="59"/>
      <c r="QTS7" s="59"/>
      <c r="QTT7" s="59"/>
      <c r="QTU7" s="59"/>
      <c r="QTV7" s="59"/>
      <c r="QTW7" s="59"/>
      <c r="QTX7" s="59"/>
      <c r="QTY7" s="59"/>
      <c r="QTZ7" s="59"/>
      <c r="QUA7" s="59"/>
      <c r="QUB7" s="59"/>
      <c r="QUC7" s="59"/>
      <c r="QUD7" s="59"/>
      <c r="QUE7" s="59"/>
      <c r="QUF7" s="59"/>
      <c r="QUG7" s="59"/>
      <c r="QUH7" s="59"/>
      <c r="QUI7" s="59"/>
      <c r="QUJ7" s="59"/>
      <c r="QUK7" s="59"/>
      <c r="QUL7" s="59"/>
      <c r="QUM7" s="59"/>
      <c r="QUN7" s="59"/>
      <c r="QUO7" s="59"/>
      <c r="QUP7" s="59"/>
      <c r="QUQ7" s="59"/>
      <c r="QUR7" s="59"/>
      <c r="QUS7" s="59"/>
      <c r="QUT7" s="59"/>
      <c r="QUU7" s="59"/>
      <c r="QUV7" s="59"/>
      <c r="QUW7" s="59"/>
      <c r="QUX7" s="59"/>
      <c r="QUY7" s="59"/>
      <c r="QUZ7" s="59"/>
      <c r="QVA7" s="59"/>
      <c r="QVB7" s="59"/>
      <c r="QVC7" s="59"/>
      <c r="QVD7" s="59"/>
      <c r="QVE7" s="59"/>
      <c r="QVF7" s="59"/>
      <c r="QVG7" s="59"/>
      <c r="QVH7" s="59"/>
      <c r="QVI7" s="59"/>
      <c r="QVJ7" s="59"/>
      <c r="QVK7" s="59"/>
      <c r="QVL7" s="59"/>
      <c r="QVM7" s="59"/>
      <c r="QVN7" s="59"/>
      <c r="QVO7" s="59"/>
      <c r="QVP7" s="59"/>
      <c r="QVQ7" s="59"/>
      <c r="QVR7" s="59"/>
      <c r="QVS7" s="59"/>
      <c r="QVT7" s="59"/>
      <c r="QVU7" s="59"/>
      <c r="QVV7" s="59"/>
      <c r="QVW7" s="59"/>
      <c r="QVX7" s="59"/>
      <c r="QVY7" s="59"/>
      <c r="QVZ7" s="59"/>
      <c r="QWA7" s="59"/>
      <c r="QWB7" s="59"/>
      <c r="QWC7" s="59"/>
      <c r="QWD7" s="59"/>
      <c r="QWE7" s="59"/>
      <c r="QWF7" s="59"/>
      <c r="QWG7" s="59"/>
      <c r="QWH7" s="59"/>
      <c r="QWI7" s="59"/>
      <c r="QWJ7" s="59"/>
      <c r="QWK7" s="59"/>
      <c r="QWL7" s="59"/>
      <c r="QWM7" s="59"/>
      <c r="QWN7" s="59"/>
      <c r="QWO7" s="59"/>
      <c r="QWP7" s="59"/>
      <c r="QWQ7" s="59"/>
      <c r="QWR7" s="59"/>
      <c r="QWS7" s="59"/>
      <c r="QWT7" s="59"/>
      <c r="QWU7" s="59"/>
      <c r="QWV7" s="59"/>
      <c r="QWW7" s="59"/>
      <c r="QWX7" s="59"/>
      <c r="QWY7" s="59"/>
      <c r="QWZ7" s="59"/>
      <c r="QXA7" s="59"/>
      <c r="QXB7" s="59"/>
      <c r="QXC7" s="59"/>
      <c r="QXD7" s="59"/>
      <c r="QXE7" s="59"/>
      <c r="QXF7" s="59"/>
      <c r="QXG7" s="59"/>
      <c r="QXH7" s="59"/>
      <c r="QXI7" s="59"/>
      <c r="QXJ7" s="59"/>
      <c r="QXK7" s="59"/>
      <c r="QXL7" s="59"/>
      <c r="QXM7" s="59"/>
      <c r="QXN7" s="59"/>
      <c r="QXO7" s="59"/>
      <c r="QXP7" s="59"/>
      <c r="QXQ7" s="59"/>
      <c r="QXR7" s="59"/>
      <c r="QXS7" s="59"/>
      <c r="QXT7" s="59"/>
      <c r="QXU7" s="59"/>
      <c r="QXV7" s="59"/>
      <c r="QXW7" s="59"/>
      <c r="QXX7" s="59"/>
      <c r="QXY7" s="59"/>
      <c r="QXZ7" s="59"/>
      <c r="QYA7" s="59"/>
      <c r="QYB7" s="59"/>
      <c r="QYC7" s="59"/>
      <c r="QYD7" s="59"/>
      <c r="QYE7" s="59"/>
      <c r="QYF7" s="59"/>
      <c r="QYG7" s="59"/>
      <c r="QYH7" s="59"/>
      <c r="QYI7" s="59"/>
      <c r="QYJ7" s="59"/>
      <c r="QYK7" s="59"/>
      <c r="QYL7" s="59"/>
      <c r="QYM7" s="59"/>
      <c r="QYN7" s="59"/>
      <c r="QYO7" s="59"/>
      <c r="QYP7" s="59"/>
      <c r="QYQ7" s="59"/>
      <c r="QYR7" s="59"/>
      <c r="QYS7" s="59"/>
      <c r="QYT7" s="59"/>
      <c r="QYU7" s="59"/>
      <c r="QYV7" s="59"/>
      <c r="QYW7" s="59"/>
      <c r="QYX7" s="59"/>
      <c r="QYY7" s="59"/>
      <c r="QYZ7" s="59"/>
      <c r="QZA7" s="59"/>
      <c r="QZB7" s="59"/>
      <c r="QZC7" s="59"/>
      <c r="QZD7" s="59"/>
      <c r="QZE7" s="59"/>
      <c r="QZF7" s="59"/>
      <c r="QZG7" s="59"/>
      <c r="QZH7" s="59"/>
      <c r="QZI7" s="59"/>
      <c r="QZJ7" s="59"/>
      <c r="QZK7" s="59"/>
      <c r="QZL7" s="59"/>
      <c r="QZM7" s="59"/>
      <c r="QZN7" s="59"/>
      <c r="QZO7" s="59"/>
      <c r="QZP7" s="59"/>
      <c r="QZQ7" s="59"/>
      <c r="QZR7" s="59"/>
      <c r="QZS7" s="59"/>
      <c r="QZT7" s="59"/>
      <c r="QZU7" s="59"/>
      <c r="QZV7" s="59"/>
      <c r="QZW7" s="59"/>
      <c r="QZX7" s="59"/>
      <c r="QZY7" s="59"/>
      <c r="QZZ7" s="59"/>
      <c r="RAA7" s="59"/>
      <c r="RAB7" s="59"/>
      <c r="RAC7" s="59"/>
      <c r="RAD7" s="59"/>
      <c r="RAE7" s="59"/>
      <c r="RAF7" s="59"/>
      <c r="RAG7" s="59"/>
      <c r="RAH7" s="59"/>
      <c r="RAI7" s="59"/>
      <c r="RAJ7" s="59"/>
      <c r="RAK7" s="59"/>
      <c r="RAL7" s="59"/>
      <c r="RAM7" s="59"/>
      <c r="RAN7" s="59"/>
      <c r="RAO7" s="59"/>
      <c r="RAP7" s="59"/>
      <c r="RAQ7" s="59"/>
      <c r="RAR7" s="59"/>
      <c r="RAS7" s="59"/>
      <c r="RAT7" s="59"/>
      <c r="RAU7" s="59"/>
      <c r="RAV7" s="59"/>
      <c r="RAW7" s="59"/>
      <c r="RAX7" s="59"/>
      <c r="RAY7" s="59"/>
      <c r="RAZ7" s="59"/>
      <c r="RBA7" s="59"/>
      <c r="RBB7" s="59"/>
      <c r="RBC7" s="59"/>
      <c r="RBD7" s="59"/>
      <c r="RBE7" s="59"/>
      <c r="RBF7" s="59"/>
      <c r="RBG7" s="59"/>
      <c r="RBH7" s="59"/>
      <c r="RBI7" s="59"/>
      <c r="RBJ7" s="59"/>
      <c r="RBK7" s="59"/>
      <c r="RBL7" s="59"/>
      <c r="RBM7" s="59"/>
      <c r="RBN7" s="59"/>
      <c r="RBO7" s="59"/>
      <c r="RBP7" s="59"/>
      <c r="RBQ7" s="59"/>
      <c r="RBR7" s="59"/>
      <c r="RBS7" s="59"/>
      <c r="RBT7" s="59"/>
      <c r="RBU7" s="59"/>
      <c r="RBV7" s="59"/>
      <c r="RBW7" s="59"/>
      <c r="RBX7" s="59"/>
      <c r="RBY7" s="59"/>
      <c r="RBZ7" s="59"/>
      <c r="RCA7" s="59"/>
      <c r="RCB7" s="59"/>
      <c r="RCC7" s="59"/>
      <c r="RCD7" s="59"/>
      <c r="RCE7" s="59"/>
      <c r="RCF7" s="59"/>
      <c r="RCG7" s="59"/>
      <c r="RCH7" s="59"/>
      <c r="RCI7" s="59"/>
      <c r="RCJ7" s="59"/>
      <c r="RCK7" s="59"/>
      <c r="RCL7" s="59"/>
      <c r="RCM7" s="59"/>
      <c r="RCN7" s="59"/>
      <c r="RCO7" s="59"/>
      <c r="RCP7" s="59"/>
      <c r="RCQ7" s="59"/>
      <c r="RCR7" s="59"/>
      <c r="RCS7" s="59"/>
      <c r="RCT7" s="59"/>
      <c r="RCU7" s="59"/>
      <c r="RCV7" s="59"/>
      <c r="RCW7" s="59"/>
      <c r="RCX7" s="59"/>
      <c r="RCY7" s="59"/>
      <c r="RCZ7" s="59"/>
      <c r="RDA7" s="59"/>
      <c r="RDB7" s="59"/>
      <c r="RDC7" s="59"/>
      <c r="RDD7" s="59"/>
      <c r="RDE7" s="59"/>
      <c r="RDF7" s="59"/>
      <c r="RDG7" s="59"/>
      <c r="RDH7" s="59"/>
      <c r="RDI7" s="59"/>
      <c r="RDJ7" s="59"/>
      <c r="RDK7" s="59"/>
      <c r="RDL7" s="59"/>
      <c r="RDM7" s="59"/>
      <c r="RDN7" s="59"/>
      <c r="RDO7" s="59"/>
      <c r="RDP7" s="59"/>
      <c r="RDQ7" s="59"/>
      <c r="RDR7" s="59"/>
      <c r="RDS7" s="59"/>
      <c r="RDT7" s="59"/>
      <c r="RDU7" s="59"/>
      <c r="RDV7" s="59"/>
      <c r="RDW7" s="59"/>
      <c r="RDX7" s="59"/>
      <c r="RDY7" s="59"/>
      <c r="RDZ7" s="59"/>
      <c r="REA7" s="59"/>
      <c r="REB7" s="59"/>
      <c r="REC7" s="59"/>
      <c r="RED7" s="59"/>
      <c r="REE7" s="59"/>
      <c r="REF7" s="59"/>
      <c r="REG7" s="59"/>
      <c r="REH7" s="59"/>
      <c r="REI7" s="59"/>
      <c r="REJ7" s="59"/>
      <c r="REK7" s="59"/>
      <c r="REL7" s="59"/>
      <c r="REM7" s="59"/>
      <c r="REN7" s="59"/>
      <c r="REO7" s="59"/>
      <c r="REP7" s="59"/>
      <c r="REQ7" s="59"/>
      <c r="RER7" s="59"/>
      <c r="RES7" s="59"/>
      <c r="RET7" s="59"/>
      <c r="REU7" s="59"/>
      <c r="REV7" s="59"/>
      <c r="REW7" s="59"/>
      <c r="REX7" s="59"/>
      <c r="REY7" s="59"/>
      <c r="REZ7" s="59"/>
      <c r="RFA7" s="59"/>
      <c r="RFB7" s="59"/>
      <c r="RFC7" s="59"/>
      <c r="RFD7" s="59"/>
      <c r="RFE7" s="59"/>
      <c r="RFF7" s="59"/>
      <c r="RFG7" s="59"/>
      <c r="RFH7" s="59"/>
      <c r="RFI7" s="59"/>
      <c r="RFJ7" s="59"/>
      <c r="RFK7" s="59"/>
      <c r="RFL7" s="59"/>
      <c r="RFM7" s="59"/>
      <c r="RFN7" s="59"/>
      <c r="RFO7" s="59"/>
      <c r="RFP7" s="59"/>
      <c r="RFQ7" s="59"/>
      <c r="RFR7" s="59"/>
      <c r="RFS7" s="59"/>
      <c r="RFT7" s="59"/>
      <c r="RFU7" s="59"/>
      <c r="RFV7" s="59"/>
      <c r="RFW7" s="59"/>
      <c r="RFX7" s="59"/>
      <c r="RFY7" s="59"/>
      <c r="RFZ7" s="59"/>
      <c r="RGA7" s="59"/>
      <c r="RGB7" s="59"/>
      <c r="RGC7" s="59"/>
      <c r="RGD7" s="59"/>
      <c r="RGE7" s="59"/>
      <c r="RGF7" s="59"/>
      <c r="RGG7" s="59"/>
      <c r="RGH7" s="59"/>
      <c r="RGI7" s="59"/>
      <c r="RGJ7" s="59"/>
      <c r="RGK7" s="59"/>
      <c r="RGL7" s="59"/>
      <c r="RGM7" s="59"/>
      <c r="RGN7" s="59"/>
      <c r="RGO7" s="59"/>
      <c r="RGP7" s="59"/>
      <c r="RGQ7" s="59"/>
      <c r="RGR7" s="59"/>
      <c r="RGS7" s="59"/>
      <c r="RGT7" s="59"/>
      <c r="RGU7" s="59"/>
      <c r="RGV7" s="59"/>
      <c r="RGW7" s="59"/>
      <c r="RGX7" s="59"/>
      <c r="RGY7" s="59"/>
      <c r="RGZ7" s="59"/>
      <c r="RHA7" s="59"/>
      <c r="RHB7" s="59"/>
      <c r="RHC7" s="59"/>
      <c r="RHD7" s="59"/>
      <c r="RHE7" s="59"/>
      <c r="RHF7" s="59"/>
      <c r="RHG7" s="59"/>
      <c r="RHH7" s="59"/>
      <c r="RHI7" s="59"/>
      <c r="RHJ7" s="59"/>
      <c r="RHK7" s="59"/>
      <c r="RHL7" s="59"/>
      <c r="RHM7" s="59"/>
      <c r="RHN7" s="59"/>
      <c r="RHO7" s="59"/>
      <c r="RHP7" s="59"/>
      <c r="RHQ7" s="59"/>
      <c r="RHR7" s="59"/>
      <c r="RHS7" s="59"/>
      <c r="RHT7" s="59"/>
      <c r="RHU7" s="59"/>
      <c r="RHV7" s="59"/>
      <c r="RHW7" s="59"/>
      <c r="RHX7" s="59"/>
      <c r="RHY7" s="59"/>
      <c r="RHZ7" s="59"/>
      <c r="RIA7" s="59"/>
      <c r="RIB7" s="59"/>
      <c r="RIC7" s="59"/>
      <c r="RID7" s="59"/>
      <c r="RIE7" s="59"/>
      <c r="RIF7" s="59"/>
      <c r="RIG7" s="59"/>
      <c r="RIH7" s="59"/>
      <c r="RII7" s="59"/>
      <c r="RIJ7" s="59"/>
      <c r="RIK7" s="59"/>
      <c r="RIL7" s="59"/>
      <c r="RIM7" s="59"/>
      <c r="RIN7" s="59"/>
      <c r="RIO7" s="59"/>
      <c r="RIP7" s="59"/>
      <c r="RIQ7" s="59"/>
      <c r="RIR7" s="59"/>
      <c r="RIS7" s="59"/>
      <c r="RIT7" s="59"/>
      <c r="RIU7" s="59"/>
      <c r="RIV7" s="59"/>
      <c r="RIW7" s="59"/>
      <c r="RIX7" s="59"/>
      <c r="RIY7" s="59"/>
      <c r="RIZ7" s="59"/>
      <c r="RJA7" s="59"/>
      <c r="RJB7" s="59"/>
      <c r="RJC7" s="59"/>
      <c r="RJD7" s="59"/>
      <c r="RJE7" s="59"/>
      <c r="RJF7" s="59"/>
      <c r="RJG7" s="59"/>
      <c r="RJH7" s="59"/>
      <c r="RJI7" s="59"/>
      <c r="RJJ7" s="59"/>
      <c r="RJK7" s="59"/>
      <c r="RJL7" s="59"/>
      <c r="RJM7" s="59"/>
      <c r="RJN7" s="59"/>
      <c r="RJO7" s="59"/>
      <c r="RJP7" s="59"/>
      <c r="RJQ7" s="59"/>
      <c r="RJR7" s="59"/>
      <c r="RJS7" s="59"/>
      <c r="RJT7" s="59"/>
      <c r="RJU7" s="59"/>
      <c r="RJV7" s="59"/>
      <c r="RJW7" s="59"/>
      <c r="RJX7" s="59"/>
      <c r="RJY7" s="59"/>
      <c r="RJZ7" s="59"/>
      <c r="RKA7" s="59"/>
      <c r="RKB7" s="59"/>
      <c r="RKC7" s="59"/>
      <c r="RKD7" s="59"/>
      <c r="RKE7" s="59"/>
      <c r="RKF7" s="59"/>
      <c r="RKG7" s="59"/>
      <c r="RKH7" s="59"/>
      <c r="RKI7" s="59"/>
      <c r="RKJ7" s="59"/>
      <c r="RKK7" s="59"/>
      <c r="RKL7" s="59"/>
      <c r="RKM7" s="59"/>
      <c r="RKN7" s="59"/>
      <c r="RKO7" s="59"/>
      <c r="RKP7" s="59"/>
      <c r="RKQ7" s="59"/>
      <c r="RKR7" s="59"/>
      <c r="RKS7" s="59"/>
      <c r="RKT7" s="59"/>
      <c r="RKU7" s="59"/>
      <c r="RKV7" s="59"/>
      <c r="RKW7" s="59"/>
      <c r="RKX7" s="59"/>
      <c r="RKY7" s="59"/>
      <c r="RKZ7" s="59"/>
      <c r="RLA7" s="59"/>
      <c r="RLB7" s="59"/>
      <c r="RLC7" s="59"/>
      <c r="RLD7" s="59"/>
      <c r="RLE7" s="59"/>
      <c r="RLF7" s="59"/>
      <c r="RLG7" s="59"/>
      <c r="RLH7" s="59"/>
      <c r="RLI7" s="59"/>
      <c r="RLJ7" s="59"/>
      <c r="RLK7" s="59"/>
      <c r="RLL7" s="59"/>
      <c r="RLM7" s="59"/>
      <c r="RLN7" s="59"/>
      <c r="RLO7" s="59"/>
      <c r="RLP7" s="59"/>
      <c r="RLQ7" s="59"/>
      <c r="RLR7" s="59"/>
      <c r="RLS7" s="59"/>
      <c r="RLT7" s="59"/>
      <c r="RLU7" s="59"/>
      <c r="RLV7" s="59"/>
      <c r="RLW7" s="59"/>
      <c r="RLX7" s="59"/>
      <c r="RLY7" s="59"/>
      <c r="RLZ7" s="59"/>
      <c r="RMA7" s="59"/>
      <c r="RMB7" s="59"/>
      <c r="RMC7" s="59"/>
      <c r="RMD7" s="59"/>
      <c r="RME7" s="59"/>
      <c r="RMF7" s="59"/>
      <c r="RMG7" s="59"/>
      <c r="RMH7" s="59"/>
      <c r="RMI7" s="59"/>
      <c r="RMJ7" s="59"/>
      <c r="RMK7" s="59"/>
      <c r="RML7" s="59"/>
      <c r="RMM7" s="59"/>
      <c r="RMN7" s="59"/>
      <c r="RMO7" s="59"/>
      <c r="RMP7" s="59"/>
      <c r="RMQ7" s="59"/>
      <c r="RMR7" s="59"/>
      <c r="RMS7" s="59"/>
      <c r="RMT7" s="59"/>
      <c r="RMU7" s="59"/>
      <c r="RMV7" s="59"/>
      <c r="RMW7" s="59"/>
      <c r="RMX7" s="59"/>
      <c r="RMY7" s="59"/>
      <c r="RMZ7" s="59"/>
      <c r="RNA7" s="59"/>
      <c r="RNB7" s="59"/>
      <c r="RNC7" s="59"/>
      <c r="RND7" s="59"/>
      <c r="RNE7" s="59"/>
      <c r="RNF7" s="59"/>
      <c r="RNG7" s="59"/>
      <c r="RNH7" s="59"/>
      <c r="RNI7" s="59"/>
      <c r="RNJ7" s="59"/>
      <c r="RNK7" s="59"/>
      <c r="RNL7" s="59"/>
      <c r="RNM7" s="59"/>
      <c r="RNN7" s="59"/>
      <c r="RNO7" s="59"/>
      <c r="RNP7" s="59"/>
      <c r="RNQ7" s="59"/>
      <c r="RNR7" s="59"/>
      <c r="RNS7" s="59"/>
      <c r="RNT7" s="59"/>
      <c r="RNU7" s="59"/>
      <c r="RNV7" s="59"/>
      <c r="RNW7" s="59"/>
      <c r="RNX7" s="59"/>
      <c r="RNY7" s="59"/>
      <c r="RNZ7" s="59"/>
      <c r="ROA7" s="59"/>
      <c r="ROB7" s="59"/>
      <c r="ROC7" s="59"/>
      <c r="ROD7" s="59"/>
      <c r="ROE7" s="59"/>
      <c r="ROF7" s="59"/>
      <c r="ROG7" s="59"/>
      <c r="ROH7" s="59"/>
      <c r="ROI7" s="59"/>
      <c r="ROJ7" s="59"/>
      <c r="ROK7" s="59"/>
      <c r="ROL7" s="59"/>
      <c r="ROM7" s="59"/>
      <c r="RON7" s="59"/>
      <c r="ROO7" s="59"/>
      <c r="ROP7" s="59"/>
      <c r="ROQ7" s="59"/>
      <c r="ROR7" s="59"/>
      <c r="ROS7" s="59"/>
      <c r="ROT7" s="59"/>
      <c r="ROU7" s="59"/>
      <c r="ROV7" s="59"/>
      <c r="ROW7" s="59"/>
      <c r="ROX7" s="59"/>
      <c r="ROY7" s="59"/>
      <c r="ROZ7" s="59"/>
      <c r="RPA7" s="59"/>
      <c r="RPB7" s="59"/>
      <c r="RPC7" s="59"/>
      <c r="RPD7" s="59"/>
      <c r="RPE7" s="59"/>
      <c r="RPF7" s="59"/>
      <c r="RPG7" s="59"/>
      <c r="RPH7" s="59"/>
      <c r="RPI7" s="59"/>
      <c r="RPJ7" s="59"/>
      <c r="RPK7" s="59"/>
      <c r="RPL7" s="59"/>
      <c r="RPM7" s="59"/>
      <c r="RPN7" s="59"/>
      <c r="RPO7" s="59"/>
      <c r="RPP7" s="59"/>
      <c r="RPQ7" s="59"/>
      <c r="RPR7" s="59"/>
      <c r="RPS7" s="59"/>
      <c r="RPT7" s="59"/>
      <c r="RPU7" s="59"/>
      <c r="RPV7" s="59"/>
      <c r="RPW7" s="59"/>
      <c r="RPX7" s="59"/>
      <c r="RPY7" s="59"/>
      <c r="RPZ7" s="59"/>
      <c r="RQA7" s="59"/>
      <c r="RQB7" s="59"/>
      <c r="RQC7" s="59"/>
      <c r="RQD7" s="59"/>
      <c r="RQE7" s="59"/>
      <c r="RQF7" s="59"/>
      <c r="RQG7" s="59"/>
      <c r="RQH7" s="59"/>
      <c r="RQI7" s="59"/>
      <c r="RQJ7" s="59"/>
      <c r="RQK7" s="59"/>
      <c r="RQL7" s="59"/>
      <c r="RQM7" s="59"/>
      <c r="RQN7" s="59"/>
      <c r="RQO7" s="59"/>
      <c r="RQP7" s="59"/>
      <c r="RQQ7" s="59"/>
      <c r="RQR7" s="59"/>
      <c r="RQS7" s="59"/>
      <c r="RQT7" s="59"/>
      <c r="RQU7" s="59"/>
      <c r="RQV7" s="59"/>
      <c r="RQW7" s="59"/>
      <c r="RQX7" s="59"/>
      <c r="RQY7" s="59"/>
      <c r="RQZ7" s="59"/>
      <c r="RRA7" s="59"/>
      <c r="RRB7" s="59"/>
      <c r="RRC7" s="59"/>
      <c r="RRD7" s="59"/>
      <c r="RRE7" s="59"/>
      <c r="RRF7" s="59"/>
      <c r="RRG7" s="59"/>
      <c r="RRH7" s="59"/>
      <c r="RRI7" s="59"/>
      <c r="RRJ7" s="59"/>
      <c r="RRK7" s="59"/>
      <c r="RRL7" s="59"/>
      <c r="RRM7" s="59"/>
      <c r="RRN7" s="59"/>
      <c r="RRO7" s="59"/>
      <c r="RRP7" s="59"/>
      <c r="RRQ7" s="59"/>
      <c r="RRR7" s="59"/>
      <c r="RRS7" s="59"/>
      <c r="RRT7" s="59"/>
      <c r="RRU7" s="59"/>
      <c r="RRV7" s="59"/>
      <c r="RRW7" s="59"/>
      <c r="RRX7" s="59"/>
      <c r="RRY7" s="59"/>
      <c r="RRZ7" s="59"/>
      <c r="RSA7" s="59"/>
      <c r="RSB7" s="59"/>
      <c r="RSC7" s="59"/>
      <c r="RSD7" s="59"/>
      <c r="RSE7" s="59"/>
      <c r="RSF7" s="59"/>
      <c r="RSG7" s="59"/>
      <c r="RSH7" s="59"/>
      <c r="RSI7" s="59"/>
      <c r="RSJ7" s="59"/>
      <c r="RSK7" s="59"/>
      <c r="RSL7" s="59"/>
      <c r="RSM7" s="59"/>
      <c r="RSN7" s="59"/>
      <c r="RSO7" s="59"/>
      <c r="RSP7" s="59"/>
      <c r="RSQ7" s="59"/>
      <c r="RSR7" s="59"/>
      <c r="RSS7" s="59"/>
      <c r="RST7" s="59"/>
      <c r="RSU7" s="59"/>
      <c r="RSV7" s="59"/>
      <c r="RSW7" s="59"/>
      <c r="RSX7" s="59"/>
      <c r="RSY7" s="59"/>
      <c r="RSZ7" s="59"/>
      <c r="RTA7" s="59"/>
      <c r="RTB7" s="59"/>
      <c r="RTC7" s="59"/>
      <c r="RTD7" s="59"/>
      <c r="RTE7" s="59"/>
      <c r="RTF7" s="59"/>
      <c r="RTG7" s="59"/>
      <c r="RTH7" s="59"/>
      <c r="RTI7" s="59"/>
      <c r="RTJ7" s="59"/>
      <c r="RTK7" s="59"/>
      <c r="RTL7" s="59"/>
      <c r="RTM7" s="59"/>
      <c r="RTN7" s="59"/>
      <c r="RTO7" s="59"/>
      <c r="RTP7" s="59"/>
      <c r="RTQ7" s="59"/>
      <c r="RTR7" s="59"/>
      <c r="RTS7" s="59"/>
      <c r="RTT7" s="59"/>
      <c r="RTU7" s="59"/>
      <c r="RTV7" s="59"/>
      <c r="RTW7" s="59"/>
      <c r="RTX7" s="59"/>
      <c r="RTY7" s="59"/>
      <c r="RTZ7" s="59"/>
      <c r="RUA7" s="59"/>
      <c r="RUB7" s="59"/>
      <c r="RUC7" s="59"/>
      <c r="RUD7" s="59"/>
      <c r="RUE7" s="59"/>
      <c r="RUF7" s="59"/>
      <c r="RUG7" s="59"/>
      <c r="RUH7" s="59"/>
      <c r="RUI7" s="59"/>
      <c r="RUJ7" s="59"/>
      <c r="RUK7" s="59"/>
      <c r="RUL7" s="59"/>
      <c r="RUM7" s="59"/>
      <c r="RUN7" s="59"/>
      <c r="RUO7" s="59"/>
      <c r="RUP7" s="59"/>
      <c r="RUQ7" s="59"/>
      <c r="RUR7" s="59"/>
      <c r="RUS7" s="59"/>
      <c r="RUT7" s="59"/>
      <c r="RUU7" s="59"/>
      <c r="RUV7" s="59"/>
      <c r="RUW7" s="59"/>
      <c r="RUX7" s="59"/>
      <c r="RUY7" s="59"/>
      <c r="RUZ7" s="59"/>
      <c r="RVA7" s="59"/>
      <c r="RVB7" s="59"/>
      <c r="RVC7" s="59"/>
      <c r="RVD7" s="59"/>
      <c r="RVE7" s="59"/>
      <c r="RVF7" s="59"/>
      <c r="RVG7" s="59"/>
      <c r="RVH7" s="59"/>
      <c r="RVI7" s="59"/>
      <c r="RVJ7" s="59"/>
      <c r="RVK7" s="59"/>
      <c r="RVL7" s="59"/>
      <c r="RVM7" s="59"/>
      <c r="RVN7" s="59"/>
      <c r="RVO7" s="59"/>
      <c r="RVP7" s="59"/>
      <c r="RVQ7" s="59"/>
      <c r="RVR7" s="59"/>
      <c r="RVS7" s="59"/>
      <c r="RVT7" s="59"/>
      <c r="RVU7" s="59"/>
      <c r="RVV7" s="59"/>
      <c r="RVW7" s="59"/>
      <c r="RVX7" s="59"/>
      <c r="RVY7" s="59"/>
      <c r="RVZ7" s="59"/>
      <c r="RWA7" s="59"/>
      <c r="RWB7" s="59"/>
      <c r="RWC7" s="59"/>
      <c r="RWD7" s="59"/>
      <c r="RWE7" s="59"/>
      <c r="RWF7" s="59"/>
      <c r="RWG7" s="59"/>
      <c r="RWH7" s="59"/>
      <c r="RWI7" s="59"/>
      <c r="RWJ7" s="59"/>
      <c r="RWK7" s="59"/>
      <c r="RWL7" s="59"/>
      <c r="RWM7" s="59"/>
      <c r="RWN7" s="59"/>
      <c r="RWO7" s="59"/>
      <c r="RWP7" s="59"/>
      <c r="RWQ7" s="59"/>
      <c r="RWR7" s="59"/>
      <c r="RWS7" s="59"/>
      <c r="RWT7" s="59"/>
      <c r="RWU7" s="59"/>
      <c r="RWV7" s="59"/>
      <c r="RWW7" s="59"/>
      <c r="RWX7" s="59"/>
      <c r="RWY7" s="59"/>
      <c r="RWZ7" s="59"/>
      <c r="RXA7" s="59"/>
      <c r="RXB7" s="59"/>
      <c r="RXC7" s="59"/>
      <c r="RXD7" s="59"/>
      <c r="RXE7" s="59"/>
      <c r="RXF7" s="59"/>
      <c r="RXG7" s="59"/>
      <c r="RXH7" s="59"/>
      <c r="RXI7" s="59"/>
      <c r="RXJ7" s="59"/>
      <c r="RXK7" s="59"/>
      <c r="RXL7" s="59"/>
      <c r="RXM7" s="59"/>
      <c r="RXN7" s="59"/>
      <c r="RXO7" s="59"/>
      <c r="RXP7" s="59"/>
      <c r="RXQ7" s="59"/>
      <c r="RXR7" s="59"/>
      <c r="RXS7" s="59"/>
      <c r="RXT7" s="59"/>
      <c r="RXU7" s="59"/>
      <c r="RXV7" s="59"/>
      <c r="RXW7" s="59"/>
      <c r="RXX7" s="59"/>
      <c r="RXY7" s="59"/>
      <c r="RXZ7" s="59"/>
      <c r="RYA7" s="59"/>
      <c r="RYB7" s="59"/>
      <c r="RYC7" s="59"/>
      <c r="RYD7" s="59"/>
      <c r="RYE7" s="59"/>
      <c r="RYF7" s="59"/>
      <c r="RYG7" s="59"/>
      <c r="RYH7" s="59"/>
      <c r="RYI7" s="59"/>
      <c r="RYJ7" s="59"/>
      <c r="RYK7" s="59"/>
      <c r="RYL7" s="59"/>
      <c r="RYM7" s="59"/>
      <c r="RYN7" s="59"/>
      <c r="RYO7" s="59"/>
      <c r="RYP7" s="59"/>
      <c r="RYQ7" s="59"/>
      <c r="RYR7" s="59"/>
      <c r="RYS7" s="59"/>
      <c r="RYT7" s="59"/>
      <c r="RYU7" s="59"/>
      <c r="RYV7" s="59"/>
      <c r="RYW7" s="59"/>
      <c r="RYX7" s="59"/>
      <c r="RYY7" s="59"/>
      <c r="RYZ7" s="59"/>
      <c r="RZA7" s="59"/>
      <c r="RZB7" s="59"/>
      <c r="RZC7" s="59"/>
      <c r="RZD7" s="59"/>
      <c r="RZE7" s="59"/>
      <c r="RZF7" s="59"/>
      <c r="RZG7" s="59"/>
      <c r="RZH7" s="59"/>
      <c r="RZI7" s="59"/>
      <c r="RZJ7" s="59"/>
      <c r="RZK7" s="59"/>
      <c r="RZL7" s="59"/>
      <c r="RZM7" s="59"/>
      <c r="RZN7" s="59"/>
      <c r="RZO7" s="59"/>
      <c r="RZP7" s="59"/>
      <c r="RZQ7" s="59"/>
      <c r="RZR7" s="59"/>
      <c r="RZS7" s="59"/>
      <c r="RZT7" s="59"/>
      <c r="RZU7" s="59"/>
      <c r="RZV7" s="59"/>
      <c r="RZW7" s="59"/>
      <c r="RZX7" s="59"/>
      <c r="RZY7" s="59"/>
      <c r="RZZ7" s="59"/>
      <c r="SAA7" s="59"/>
      <c r="SAB7" s="59"/>
      <c r="SAC7" s="59"/>
      <c r="SAD7" s="59"/>
      <c r="SAE7" s="59"/>
      <c r="SAF7" s="59"/>
      <c r="SAG7" s="59"/>
      <c r="SAH7" s="59"/>
      <c r="SAI7" s="59"/>
      <c r="SAJ7" s="59"/>
      <c r="SAK7" s="59"/>
      <c r="SAL7" s="59"/>
      <c r="SAM7" s="59"/>
      <c r="SAN7" s="59"/>
      <c r="SAO7" s="59"/>
      <c r="SAP7" s="59"/>
      <c r="SAQ7" s="59"/>
      <c r="SAR7" s="59"/>
      <c r="SAS7" s="59"/>
      <c r="SAT7" s="59"/>
      <c r="SAU7" s="59"/>
      <c r="SAV7" s="59"/>
      <c r="SAW7" s="59"/>
      <c r="SAX7" s="59"/>
      <c r="SAY7" s="59"/>
      <c r="SAZ7" s="59"/>
      <c r="SBA7" s="59"/>
      <c r="SBB7" s="59"/>
      <c r="SBC7" s="59"/>
      <c r="SBD7" s="59"/>
      <c r="SBE7" s="59"/>
      <c r="SBF7" s="59"/>
      <c r="SBG7" s="59"/>
      <c r="SBH7" s="59"/>
      <c r="SBI7" s="59"/>
      <c r="SBJ7" s="59"/>
      <c r="SBK7" s="59"/>
      <c r="SBL7" s="59"/>
      <c r="SBM7" s="59"/>
      <c r="SBN7" s="59"/>
      <c r="SBO7" s="59"/>
      <c r="SBP7" s="59"/>
      <c r="SBQ7" s="59"/>
      <c r="SBR7" s="59"/>
      <c r="SBS7" s="59"/>
      <c r="SBT7" s="59"/>
      <c r="SBU7" s="59"/>
      <c r="SBV7" s="59"/>
      <c r="SBW7" s="59"/>
      <c r="SBX7" s="59"/>
      <c r="SBY7" s="59"/>
      <c r="SBZ7" s="59"/>
      <c r="SCA7" s="59"/>
      <c r="SCB7" s="59"/>
      <c r="SCC7" s="59"/>
      <c r="SCD7" s="59"/>
      <c r="SCE7" s="59"/>
      <c r="SCF7" s="59"/>
      <c r="SCG7" s="59"/>
      <c r="SCH7" s="59"/>
      <c r="SCI7" s="59"/>
      <c r="SCJ7" s="59"/>
      <c r="SCK7" s="59"/>
      <c r="SCL7" s="59"/>
      <c r="SCM7" s="59"/>
      <c r="SCN7" s="59"/>
      <c r="SCO7" s="59"/>
      <c r="SCP7" s="59"/>
      <c r="SCQ7" s="59"/>
      <c r="SCR7" s="59"/>
      <c r="SCS7" s="59"/>
      <c r="SCT7" s="59"/>
      <c r="SCU7" s="59"/>
      <c r="SCV7" s="59"/>
      <c r="SCW7" s="59"/>
      <c r="SCX7" s="59"/>
      <c r="SCY7" s="59"/>
      <c r="SCZ7" s="59"/>
      <c r="SDA7" s="59"/>
      <c r="SDB7" s="59"/>
      <c r="SDC7" s="59"/>
      <c r="SDD7" s="59"/>
      <c r="SDE7" s="59"/>
      <c r="SDF7" s="59"/>
      <c r="SDG7" s="59"/>
      <c r="SDH7" s="59"/>
      <c r="SDI7" s="59"/>
      <c r="SDJ7" s="59"/>
      <c r="SDK7" s="59"/>
      <c r="SDL7" s="59"/>
      <c r="SDM7" s="59"/>
      <c r="SDN7" s="59"/>
      <c r="SDO7" s="59"/>
      <c r="SDP7" s="59"/>
      <c r="SDQ7" s="59"/>
      <c r="SDR7" s="59"/>
      <c r="SDS7" s="59"/>
      <c r="SDT7" s="59"/>
      <c r="SDU7" s="59"/>
      <c r="SDV7" s="59"/>
      <c r="SDW7" s="59"/>
      <c r="SDX7" s="59"/>
      <c r="SDY7" s="59"/>
      <c r="SDZ7" s="59"/>
      <c r="SEA7" s="59"/>
      <c r="SEB7" s="59"/>
      <c r="SEC7" s="59"/>
      <c r="SED7" s="59"/>
      <c r="SEE7" s="59"/>
      <c r="SEF7" s="59"/>
      <c r="SEG7" s="59"/>
      <c r="SEH7" s="59"/>
      <c r="SEI7" s="59"/>
      <c r="SEJ7" s="59"/>
      <c r="SEK7" s="59"/>
      <c r="SEL7" s="59"/>
      <c r="SEM7" s="59"/>
      <c r="SEN7" s="59"/>
      <c r="SEO7" s="59"/>
      <c r="SEP7" s="59"/>
      <c r="SEQ7" s="59"/>
      <c r="SER7" s="59"/>
      <c r="SES7" s="59"/>
      <c r="SET7" s="59"/>
      <c r="SEU7" s="59"/>
      <c r="SEV7" s="59"/>
      <c r="SEW7" s="59"/>
      <c r="SEX7" s="59"/>
      <c r="SEY7" s="59"/>
      <c r="SEZ7" s="59"/>
      <c r="SFA7" s="59"/>
      <c r="SFB7" s="59"/>
      <c r="SFC7" s="59"/>
      <c r="SFD7" s="59"/>
      <c r="SFE7" s="59"/>
      <c r="SFF7" s="59"/>
      <c r="SFG7" s="59"/>
      <c r="SFH7" s="59"/>
      <c r="SFI7" s="59"/>
      <c r="SFJ7" s="59"/>
      <c r="SFK7" s="59"/>
      <c r="SFL7" s="59"/>
      <c r="SFM7" s="59"/>
      <c r="SFN7" s="59"/>
      <c r="SFO7" s="59"/>
      <c r="SFP7" s="59"/>
      <c r="SFQ7" s="59"/>
      <c r="SFR7" s="59"/>
      <c r="SFS7" s="59"/>
      <c r="SFT7" s="59"/>
      <c r="SFU7" s="59"/>
      <c r="SFV7" s="59"/>
      <c r="SFW7" s="59"/>
      <c r="SFX7" s="59"/>
      <c r="SFY7" s="59"/>
      <c r="SFZ7" s="59"/>
      <c r="SGA7" s="59"/>
      <c r="SGB7" s="59"/>
      <c r="SGC7" s="59"/>
      <c r="SGD7" s="59"/>
      <c r="SGE7" s="59"/>
      <c r="SGF7" s="59"/>
      <c r="SGG7" s="59"/>
      <c r="SGH7" s="59"/>
      <c r="SGI7" s="59"/>
      <c r="SGJ7" s="59"/>
      <c r="SGK7" s="59"/>
      <c r="SGL7" s="59"/>
      <c r="SGM7" s="59"/>
      <c r="SGN7" s="59"/>
      <c r="SGO7" s="59"/>
      <c r="SGP7" s="59"/>
      <c r="SGQ7" s="59"/>
      <c r="SGR7" s="59"/>
      <c r="SGS7" s="59"/>
      <c r="SGT7" s="59"/>
      <c r="SGU7" s="59"/>
      <c r="SGV7" s="59"/>
      <c r="SGW7" s="59"/>
      <c r="SGX7" s="59"/>
      <c r="SGY7" s="59"/>
      <c r="SGZ7" s="59"/>
      <c r="SHA7" s="59"/>
      <c r="SHB7" s="59"/>
      <c r="SHC7" s="59"/>
      <c r="SHD7" s="59"/>
      <c r="SHE7" s="59"/>
      <c r="SHF7" s="59"/>
      <c r="SHG7" s="59"/>
      <c r="SHH7" s="59"/>
      <c r="SHI7" s="59"/>
      <c r="SHJ7" s="59"/>
      <c r="SHK7" s="59"/>
      <c r="SHL7" s="59"/>
      <c r="SHM7" s="59"/>
      <c r="SHN7" s="59"/>
      <c r="SHO7" s="59"/>
      <c r="SHP7" s="59"/>
      <c r="SHQ7" s="59"/>
      <c r="SHR7" s="59"/>
      <c r="SHS7" s="59"/>
      <c r="SHT7" s="59"/>
      <c r="SHU7" s="59"/>
      <c r="SHV7" s="59"/>
      <c r="SHW7" s="59"/>
      <c r="SHX7" s="59"/>
      <c r="SHY7" s="59"/>
      <c r="SHZ7" s="59"/>
      <c r="SIA7" s="59"/>
      <c r="SIB7" s="59"/>
      <c r="SIC7" s="59"/>
      <c r="SID7" s="59"/>
      <c r="SIE7" s="59"/>
      <c r="SIF7" s="59"/>
      <c r="SIG7" s="59"/>
      <c r="SIH7" s="59"/>
      <c r="SII7" s="59"/>
      <c r="SIJ7" s="59"/>
      <c r="SIK7" s="59"/>
      <c r="SIL7" s="59"/>
      <c r="SIM7" s="59"/>
      <c r="SIN7" s="59"/>
      <c r="SIO7" s="59"/>
      <c r="SIP7" s="59"/>
      <c r="SIQ7" s="59"/>
      <c r="SIR7" s="59"/>
      <c r="SIS7" s="59"/>
      <c r="SIT7" s="59"/>
      <c r="SIU7" s="59"/>
      <c r="SIV7" s="59"/>
      <c r="SIW7" s="59"/>
      <c r="SIX7" s="59"/>
      <c r="SIY7" s="59"/>
      <c r="SIZ7" s="59"/>
      <c r="SJA7" s="59"/>
      <c r="SJB7" s="59"/>
      <c r="SJC7" s="59"/>
      <c r="SJD7" s="59"/>
      <c r="SJE7" s="59"/>
      <c r="SJF7" s="59"/>
      <c r="SJG7" s="59"/>
      <c r="SJH7" s="59"/>
      <c r="SJI7" s="59"/>
      <c r="SJJ7" s="59"/>
      <c r="SJK7" s="59"/>
      <c r="SJL7" s="59"/>
      <c r="SJM7" s="59"/>
      <c r="SJN7" s="59"/>
      <c r="SJO7" s="59"/>
      <c r="SJP7" s="59"/>
      <c r="SJQ7" s="59"/>
      <c r="SJR7" s="59"/>
      <c r="SJS7" s="59"/>
      <c r="SJT7" s="59"/>
      <c r="SJU7" s="59"/>
      <c r="SJV7" s="59"/>
      <c r="SJW7" s="59"/>
      <c r="SJX7" s="59"/>
      <c r="SJY7" s="59"/>
      <c r="SJZ7" s="59"/>
      <c r="SKA7" s="59"/>
      <c r="SKB7" s="59"/>
      <c r="SKC7" s="59"/>
      <c r="SKD7" s="59"/>
      <c r="SKE7" s="59"/>
      <c r="SKF7" s="59"/>
      <c r="SKG7" s="59"/>
      <c r="SKH7" s="59"/>
      <c r="SKI7" s="59"/>
      <c r="SKJ7" s="59"/>
      <c r="SKK7" s="59"/>
      <c r="SKL7" s="59"/>
      <c r="SKM7" s="59"/>
      <c r="SKN7" s="59"/>
      <c r="SKO7" s="59"/>
      <c r="SKP7" s="59"/>
      <c r="SKQ7" s="59"/>
      <c r="SKR7" s="59"/>
      <c r="SKS7" s="59"/>
      <c r="SKT7" s="59"/>
      <c r="SKU7" s="59"/>
      <c r="SKV7" s="59"/>
      <c r="SKW7" s="59"/>
      <c r="SKX7" s="59"/>
      <c r="SKY7" s="59"/>
      <c r="SKZ7" s="59"/>
      <c r="SLA7" s="59"/>
      <c r="SLB7" s="59"/>
      <c r="SLC7" s="59"/>
      <c r="SLD7" s="59"/>
      <c r="SLE7" s="59"/>
      <c r="SLF7" s="59"/>
      <c r="SLG7" s="59"/>
      <c r="SLH7" s="59"/>
      <c r="SLI7" s="59"/>
      <c r="SLJ7" s="59"/>
      <c r="SLK7" s="59"/>
      <c r="SLL7" s="59"/>
      <c r="SLM7" s="59"/>
      <c r="SLN7" s="59"/>
      <c r="SLO7" s="59"/>
      <c r="SLP7" s="59"/>
      <c r="SLQ7" s="59"/>
      <c r="SLR7" s="59"/>
      <c r="SLS7" s="59"/>
      <c r="SLT7" s="59"/>
      <c r="SLU7" s="59"/>
      <c r="SLV7" s="59"/>
      <c r="SLW7" s="59"/>
      <c r="SLX7" s="59"/>
      <c r="SLY7" s="59"/>
      <c r="SLZ7" s="59"/>
      <c r="SMA7" s="59"/>
      <c r="SMB7" s="59"/>
      <c r="SMC7" s="59"/>
      <c r="SMD7" s="59"/>
      <c r="SME7" s="59"/>
      <c r="SMF7" s="59"/>
      <c r="SMG7" s="59"/>
      <c r="SMH7" s="59"/>
      <c r="SMI7" s="59"/>
      <c r="SMJ7" s="59"/>
      <c r="SMK7" s="59"/>
      <c r="SML7" s="59"/>
      <c r="SMM7" s="59"/>
      <c r="SMN7" s="59"/>
      <c r="SMO7" s="59"/>
      <c r="SMP7" s="59"/>
      <c r="SMQ7" s="59"/>
      <c r="SMR7" s="59"/>
      <c r="SMS7" s="59"/>
      <c r="SMT7" s="59"/>
      <c r="SMU7" s="59"/>
      <c r="SMV7" s="59"/>
      <c r="SMW7" s="59"/>
      <c r="SMX7" s="59"/>
      <c r="SMY7" s="59"/>
      <c r="SMZ7" s="59"/>
      <c r="SNA7" s="59"/>
      <c r="SNB7" s="59"/>
      <c r="SNC7" s="59"/>
      <c r="SND7" s="59"/>
      <c r="SNE7" s="59"/>
      <c r="SNF7" s="59"/>
      <c r="SNG7" s="59"/>
      <c r="SNH7" s="59"/>
      <c r="SNI7" s="59"/>
      <c r="SNJ7" s="59"/>
      <c r="SNK7" s="59"/>
      <c r="SNL7" s="59"/>
      <c r="SNM7" s="59"/>
      <c r="SNN7" s="59"/>
      <c r="SNO7" s="59"/>
      <c r="SNP7" s="59"/>
      <c r="SNQ7" s="59"/>
      <c r="SNR7" s="59"/>
      <c r="SNS7" s="59"/>
      <c r="SNT7" s="59"/>
      <c r="SNU7" s="59"/>
      <c r="SNV7" s="59"/>
      <c r="SNW7" s="59"/>
      <c r="SNX7" s="59"/>
      <c r="SNY7" s="59"/>
      <c r="SNZ7" s="59"/>
      <c r="SOA7" s="59"/>
      <c r="SOB7" s="59"/>
      <c r="SOC7" s="59"/>
      <c r="SOD7" s="59"/>
      <c r="SOE7" s="59"/>
      <c r="SOF7" s="59"/>
      <c r="SOG7" s="59"/>
      <c r="SOH7" s="59"/>
      <c r="SOI7" s="59"/>
      <c r="SOJ7" s="59"/>
      <c r="SOK7" s="59"/>
      <c r="SOL7" s="59"/>
      <c r="SOM7" s="59"/>
      <c r="SON7" s="59"/>
      <c r="SOO7" s="59"/>
      <c r="SOP7" s="59"/>
      <c r="SOQ7" s="59"/>
      <c r="SOR7" s="59"/>
      <c r="SOS7" s="59"/>
      <c r="SOT7" s="59"/>
      <c r="SOU7" s="59"/>
      <c r="SOV7" s="59"/>
      <c r="SOW7" s="59"/>
      <c r="SOX7" s="59"/>
      <c r="SOY7" s="59"/>
      <c r="SOZ7" s="59"/>
      <c r="SPA7" s="59"/>
      <c r="SPB7" s="59"/>
      <c r="SPC7" s="59"/>
      <c r="SPD7" s="59"/>
      <c r="SPE7" s="59"/>
      <c r="SPF7" s="59"/>
      <c r="SPG7" s="59"/>
      <c r="SPH7" s="59"/>
      <c r="SPI7" s="59"/>
      <c r="SPJ7" s="59"/>
      <c r="SPK7" s="59"/>
      <c r="SPL7" s="59"/>
      <c r="SPM7" s="59"/>
      <c r="SPN7" s="59"/>
      <c r="SPO7" s="59"/>
      <c r="SPP7" s="59"/>
      <c r="SPQ7" s="59"/>
      <c r="SPR7" s="59"/>
      <c r="SPS7" s="59"/>
      <c r="SPT7" s="59"/>
      <c r="SPU7" s="59"/>
      <c r="SPV7" s="59"/>
      <c r="SPW7" s="59"/>
      <c r="SPX7" s="59"/>
      <c r="SPY7" s="59"/>
      <c r="SPZ7" s="59"/>
      <c r="SQA7" s="59"/>
      <c r="SQB7" s="59"/>
      <c r="SQC7" s="59"/>
      <c r="SQD7" s="59"/>
      <c r="SQE7" s="59"/>
      <c r="SQF7" s="59"/>
      <c r="SQG7" s="59"/>
      <c r="SQH7" s="59"/>
      <c r="SQI7" s="59"/>
      <c r="SQJ7" s="59"/>
      <c r="SQK7" s="59"/>
      <c r="SQL7" s="59"/>
      <c r="SQM7" s="59"/>
      <c r="SQN7" s="59"/>
      <c r="SQO7" s="59"/>
      <c r="SQP7" s="59"/>
      <c r="SQQ7" s="59"/>
      <c r="SQR7" s="59"/>
      <c r="SQS7" s="59"/>
      <c r="SQT7" s="59"/>
      <c r="SQU7" s="59"/>
      <c r="SQV7" s="59"/>
      <c r="SQW7" s="59"/>
      <c r="SQX7" s="59"/>
      <c r="SQY7" s="59"/>
      <c r="SQZ7" s="59"/>
      <c r="SRA7" s="59"/>
      <c r="SRB7" s="59"/>
      <c r="SRC7" s="59"/>
      <c r="SRD7" s="59"/>
      <c r="SRE7" s="59"/>
      <c r="SRF7" s="59"/>
      <c r="SRG7" s="59"/>
      <c r="SRH7" s="59"/>
      <c r="SRI7" s="59"/>
      <c r="SRJ7" s="59"/>
      <c r="SRK7" s="59"/>
      <c r="SRL7" s="59"/>
      <c r="SRM7" s="59"/>
      <c r="SRN7" s="59"/>
      <c r="SRO7" s="59"/>
      <c r="SRP7" s="59"/>
      <c r="SRQ7" s="59"/>
      <c r="SRR7" s="59"/>
      <c r="SRS7" s="59"/>
      <c r="SRT7" s="59"/>
      <c r="SRU7" s="59"/>
      <c r="SRV7" s="59"/>
      <c r="SRW7" s="59"/>
      <c r="SRX7" s="59"/>
      <c r="SRY7" s="59"/>
      <c r="SRZ7" s="59"/>
      <c r="SSA7" s="59"/>
      <c r="SSB7" s="59"/>
      <c r="SSC7" s="59"/>
      <c r="SSD7" s="59"/>
      <c r="SSE7" s="59"/>
      <c r="SSF7" s="59"/>
      <c r="SSG7" s="59"/>
      <c r="SSH7" s="59"/>
      <c r="SSI7" s="59"/>
      <c r="SSJ7" s="59"/>
      <c r="SSK7" s="59"/>
      <c r="SSL7" s="59"/>
      <c r="SSM7" s="59"/>
      <c r="SSN7" s="59"/>
      <c r="SSO7" s="59"/>
      <c r="SSP7" s="59"/>
      <c r="SSQ7" s="59"/>
      <c r="SSR7" s="59"/>
      <c r="SSS7" s="59"/>
      <c r="SST7" s="59"/>
      <c r="SSU7" s="59"/>
      <c r="SSV7" s="59"/>
      <c r="SSW7" s="59"/>
      <c r="SSX7" s="59"/>
      <c r="SSY7" s="59"/>
      <c r="SSZ7" s="59"/>
      <c r="STA7" s="59"/>
      <c r="STB7" s="59"/>
      <c r="STC7" s="59"/>
      <c r="STD7" s="59"/>
      <c r="STE7" s="59"/>
      <c r="STF7" s="59"/>
      <c r="STG7" s="59"/>
      <c r="STH7" s="59"/>
      <c r="STI7" s="59"/>
      <c r="STJ7" s="59"/>
      <c r="STK7" s="59"/>
      <c r="STL7" s="59"/>
      <c r="STM7" s="59"/>
      <c r="STN7" s="59"/>
      <c r="STO7" s="59"/>
      <c r="STP7" s="59"/>
      <c r="STQ7" s="59"/>
      <c r="STR7" s="59"/>
      <c r="STS7" s="59"/>
      <c r="STT7" s="59"/>
      <c r="STU7" s="59"/>
      <c r="STV7" s="59"/>
      <c r="STW7" s="59"/>
      <c r="STX7" s="59"/>
      <c r="STY7" s="59"/>
      <c r="STZ7" s="59"/>
      <c r="SUA7" s="59"/>
      <c r="SUB7" s="59"/>
      <c r="SUC7" s="59"/>
      <c r="SUD7" s="59"/>
      <c r="SUE7" s="59"/>
      <c r="SUF7" s="59"/>
      <c r="SUG7" s="59"/>
      <c r="SUH7" s="59"/>
      <c r="SUI7" s="59"/>
      <c r="SUJ7" s="59"/>
      <c r="SUK7" s="59"/>
      <c r="SUL7" s="59"/>
      <c r="SUM7" s="59"/>
      <c r="SUN7" s="59"/>
      <c r="SUO7" s="59"/>
      <c r="SUP7" s="59"/>
      <c r="SUQ7" s="59"/>
      <c r="SUR7" s="59"/>
      <c r="SUS7" s="59"/>
      <c r="SUT7" s="59"/>
      <c r="SUU7" s="59"/>
      <c r="SUV7" s="59"/>
      <c r="SUW7" s="59"/>
      <c r="SUX7" s="59"/>
      <c r="SUY7" s="59"/>
      <c r="SUZ7" s="59"/>
      <c r="SVA7" s="59"/>
      <c r="SVB7" s="59"/>
      <c r="SVC7" s="59"/>
      <c r="SVD7" s="59"/>
      <c r="SVE7" s="59"/>
      <c r="SVF7" s="59"/>
      <c r="SVG7" s="59"/>
      <c r="SVH7" s="59"/>
      <c r="SVI7" s="59"/>
      <c r="SVJ7" s="59"/>
      <c r="SVK7" s="59"/>
      <c r="SVL7" s="59"/>
      <c r="SVM7" s="59"/>
      <c r="SVN7" s="59"/>
      <c r="SVO7" s="59"/>
      <c r="SVP7" s="59"/>
      <c r="SVQ7" s="59"/>
      <c r="SVR7" s="59"/>
      <c r="SVS7" s="59"/>
      <c r="SVT7" s="59"/>
      <c r="SVU7" s="59"/>
      <c r="SVV7" s="59"/>
      <c r="SVW7" s="59"/>
      <c r="SVX7" s="59"/>
      <c r="SVY7" s="59"/>
      <c r="SVZ7" s="59"/>
      <c r="SWA7" s="59"/>
      <c r="SWB7" s="59"/>
      <c r="SWC7" s="59"/>
      <c r="SWD7" s="59"/>
      <c r="SWE7" s="59"/>
      <c r="SWF7" s="59"/>
      <c r="SWG7" s="59"/>
      <c r="SWH7" s="59"/>
      <c r="SWI7" s="59"/>
      <c r="SWJ7" s="59"/>
      <c r="SWK7" s="59"/>
      <c r="SWL7" s="59"/>
      <c r="SWM7" s="59"/>
      <c r="SWN7" s="59"/>
      <c r="SWO7" s="59"/>
      <c r="SWP7" s="59"/>
      <c r="SWQ7" s="59"/>
      <c r="SWR7" s="59"/>
      <c r="SWS7" s="59"/>
      <c r="SWT7" s="59"/>
      <c r="SWU7" s="59"/>
      <c r="SWV7" s="59"/>
      <c r="SWW7" s="59"/>
      <c r="SWX7" s="59"/>
      <c r="SWY7" s="59"/>
      <c r="SWZ7" s="59"/>
      <c r="SXA7" s="59"/>
      <c r="SXB7" s="59"/>
      <c r="SXC7" s="59"/>
      <c r="SXD7" s="59"/>
      <c r="SXE7" s="59"/>
      <c r="SXF7" s="59"/>
      <c r="SXG7" s="59"/>
      <c r="SXH7" s="59"/>
      <c r="SXI7" s="59"/>
      <c r="SXJ7" s="59"/>
      <c r="SXK7" s="59"/>
      <c r="SXL7" s="59"/>
      <c r="SXM7" s="59"/>
      <c r="SXN7" s="59"/>
      <c r="SXO7" s="59"/>
      <c r="SXP7" s="59"/>
      <c r="SXQ7" s="59"/>
      <c r="SXR7" s="59"/>
      <c r="SXS7" s="59"/>
      <c r="SXT7" s="59"/>
      <c r="SXU7" s="59"/>
      <c r="SXV7" s="59"/>
      <c r="SXW7" s="59"/>
      <c r="SXX7" s="59"/>
      <c r="SXY7" s="59"/>
      <c r="SXZ7" s="59"/>
      <c r="SYA7" s="59"/>
      <c r="SYB7" s="59"/>
      <c r="SYC7" s="59"/>
      <c r="SYD7" s="59"/>
      <c r="SYE7" s="59"/>
      <c r="SYF7" s="59"/>
      <c r="SYG7" s="59"/>
      <c r="SYH7" s="59"/>
      <c r="SYI7" s="59"/>
      <c r="SYJ7" s="59"/>
      <c r="SYK7" s="59"/>
      <c r="SYL7" s="59"/>
      <c r="SYM7" s="59"/>
      <c r="SYN7" s="59"/>
      <c r="SYO7" s="59"/>
      <c r="SYP7" s="59"/>
      <c r="SYQ7" s="59"/>
      <c r="SYR7" s="59"/>
      <c r="SYS7" s="59"/>
      <c r="SYT7" s="59"/>
      <c r="SYU7" s="59"/>
      <c r="SYV7" s="59"/>
      <c r="SYW7" s="59"/>
      <c r="SYX7" s="59"/>
      <c r="SYY7" s="59"/>
      <c r="SYZ7" s="59"/>
      <c r="SZA7" s="59"/>
      <c r="SZB7" s="59"/>
      <c r="SZC7" s="59"/>
      <c r="SZD7" s="59"/>
      <c r="SZE7" s="59"/>
      <c r="SZF7" s="59"/>
      <c r="SZG7" s="59"/>
      <c r="SZH7" s="59"/>
      <c r="SZI7" s="59"/>
      <c r="SZJ7" s="59"/>
      <c r="SZK7" s="59"/>
      <c r="SZL7" s="59"/>
      <c r="SZM7" s="59"/>
      <c r="SZN7" s="59"/>
      <c r="SZO7" s="59"/>
      <c r="SZP7" s="59"/>
      <c r="SZQ7" s="59"/>
      <c r="SZR7" s="59"/>
      <c r="SZS7" s="59"/>
      <c r="SZT7" s="59"/>
      <c r="SZU7" s="59"/>
      <c r="SZV7" s="59"/>
      <c r="SZW7" s="59"/>
      <c r="SZX7" s="59"/>
      <c r="SZY7" s="59"/>
      <c r="SZZ7" s="59"/>
      <c r="TAA7" s="59"/>
      <c r="TAB7" s="59"/>
      <c r="TAC7" s="59"/>
      <c r="TAD7" s="59"/>
      <c r="TAE7" s="59"/>
      <c r="TAF7" s="59"/>
      <c r="TAG7" s="59"/>
      <c r="TAH7" s="59"/>
      <c r="TAI7" s="59"/>
      <c r="TAJ7" s="59"/>
      <c r="TAK7" s="59"/>
      <c r="TAL7" s="59"/>
      <c r="TAM7" s="59"/>
      <c r="TAN7" s="59"/>
      <c r="TAO7" s="59"/>
      <c r="TAP7" s="59"/>
      <c r="TAQ7" s="59"/>
      <c r="TAR7" s="59"/>
      <c r="TAS7" s="59"/>
      <c r="TAT7" s="59"/>
      <c r="TAU7" s="59"/>
      <c r="TAV7" s="59"/>
      <c r="TAW7" s="59"/>
      <c r="TAX7" s="59"/>
      <c r="TAY7" s="59"/>
      <c r="TAZ7" s="59"/>
      <c r="TBA7" s="59"/>
      <c r="TBB7" s="59"/>
      <c r="TBC7" s="59"/>
      <c r="TBD7" s="59"/>
      <c r="TBE7" s="59"/>
      <c r="TBF7" s="59"/>
      <c r="TBG7" s="59"/>
      <c r="TBH7" s="59"/>
      <c r="TBI7" s="59"/>
      <c r="TBJ7" s="59"/>
      <c r="TBK7" s="59"/>
      <c r="TBL7" s="59"/>
      <c r="TBM7" s="59"/>
      <c r="TBN7" s="59"/>
      <c r="TBO7" s="59"/>
      <c r="TBP7" s="59"/>
      <c r="TBQ7" s="59"/>
      <c r="TBR7" s="59"/>
      <c r="TBS7" s="59"/>
      <c r="TBT7" s="59"/>
      <c r="TBU7" s="59"/>
      <c r="TBV7" s="59"/>
      <c r="TBW7" s="59"/>
      <c r="TBX7" s="59"/>
      <c r="TBY7" s="59"/>
      <c r="TBZ7" s="59"/>
      <c r="TCA7" s="59"/>
      <c r="TCB7" s="59"/>
      <c r="TCC7" s="59"/>
      <c r="TCD7" s="59"/>
      <c r="TCE7" s="59"/>
      <c r="TCF7" s="59"/>
      <c r="TCG7" s="59"/>
      <c r="TCH7" s="59"/>
      <c r="TCI7" s="59"/>
      <c r="TCJ7" s="59"/>
      <c r="TCK7" s="59"/>
      <c r="TCL7" s="59"/>
      <c r="TCM7" s="59"/>
      <c r="TCN7" s="59"/>
      <c r="TCO7" s="59"/>
      <c r="TCP7" s="59"/>
      <c r="TCQ7" s="59"/>
      <c r="TCR7" s="59"/>
      <c r="TCS7" s="59"/>
      <c r="TCT7" s="59"/>
      <c r="TCU7" s="59"/>
      <c r="TCV7" s="59"/>
      <c r="TCW7" s="59"/>
      <c r="TCX7" s="59"/>
      <c r="TCY7" s="59"/>
      <c r="TCZ7" s="59"/>
      <c r="TDA7" s="59"/>
      <c r="TDB7" s="59"/>
      <c r="TDC7" s="59"/>
      <c r="TDD7" s="59"/>
      <c r="TDE7" s="59"/>
      <c r="TDF7" s="59"/>
      <c r="TDG7" s="59"/>
      <c r="TDH7" s="59"/>
      <c r="TDI7" s="59"/>
      <c r="TDJ7" s="59"/>
      <c r="TDK7" s="59"/>
      <c r="TDL7" s="59"/>
      <c r="TDM7" s="59"/>
      <c r="TDN7" s="59"/>
      <c r="TDO7" s="59"/>
      <c r="TDP7" s="59"/>
      <c r="TDQ7" s="59"/>
      <c r="TDR7" s="59"/>
      <c r="TDS7" s="59"/>
      <c r="TDT7" s="59"/>
      <c r="TDU7" s="59"/>
      <c r="TDV7" s="59"/>
      <c r="TDW7" s="59"/>
      <c r="TDX7" s="59"/>
      <c r="TDY7" s="59"/>
      <c r="TDZ7" s="59"/>
      <c r="TEA7" s="59"/>
      <c r="TEB7" s="59"/>
      <c r="TEC7" s="59"/>
      <c r="TED7" s="59"/>
      <c r="TEE7" s="59"/>
      <c r="TEF7" s="59"/>
      <c r="TEG7" s="59"/>
      <c r="TEH7" s="59"/>
      <c r="TEI7" s="59"/>
      <c r="TEJ7" s="59"/>
      <c r="TEK7" s="59"/>
      <c r="TEL7" s="59"/>
      <c r="TEM7" s="59"/>
      <c r="TEN7" s="59"/>
      <c r="TEO7" s="59"/>
      <c r="TEP7" s="59"/>
      <c r="TEQ7" s="59"/>
      <c r="TER7" s="59"/>
      <c r="TES7" s="59"/>
      <c r="TET7" s="59"/>
      <c r="TEU7" s="59"/>
      <c r="TEV7" s="59"/>
      <c r="TEW7" s="59"/>
      <c r="TEX7" s="59"/>
      <c r="TEY7" s="59"/>
      <c r="TEZ7" s="59"/>
      <c r="TFA7" s="59"/>
      <c r="TFB7" s="59"/>
      <c r="TFC7" s="59"/>
      <c r="TFD7" s="59"/>
      <c r="TFE7" s="59"/>
      <c r="TFF7" s="59"/>
      <c r="TFG7" s="59"/>
      <c r="TFH7" s="59"/>
      <c r="TFI7" s="59"/>
      <c r="TFJ7" s="59"/>
      <c r="TFK7" s="59"/>
      <c r="TFL7" s="59"/>
      <c r="TFM7" s="59"/>
      <c r="TFN7" s="59"/>
      <c r="TFO7" s="59"/>
      <c r="TFP7" s="59"/>
      <c r="TFQ7" s="59"/>
      <c r="TFR7" s="59"/>
      <c r="TFS7" s="59"/>
      <c r="TFT7" s="59"/>
      <c r="TFU7" s="59"/>
      <c r="TFV7" s="59"/>
      <c r="TFW7" s="59"/>
      <c r="TFX7" s="59"/>
      <c r="TFY7" s="59"/>
      <c r="TFZ7" s="59"/>
      <c r="TGA7" s="59"/>
      <c r="TGB7" s="59"/>
      <c r="TGC7" s="59"/>
      <c r="TGD7" s="59"/>
      <c r="TGE7" s="59"/>
      <c r="TGF7" s="59"/>
      <c r="TGG7" s="59"/>
      <c r="TGH7" s="59"/>
      <c r="TGI7" s="59"/>
      <c r="TGJ7" s="59"/>
      <c r="TGK7" s="59"/>
      <c r="TGL7" s="59"/>
      <c r="TGM7" s="59"/>
      <c r="TGN7" s="59"/>
      <c r="TGO7" s="59"/>
      <c r="TGP7" s="59"/>
      <c r="TGQ7" s="59"/>
      <c r="TGR7" s="59"/>
      <c r="TGS7" s="59"/>
      <c r="TGT7" s="59"/>
      <c r="TGU7" s="59"/>
      <c r="TGV7" s="59"/>
      <c r="TGW7" s="59"/>
      <c r="TGX7" s="59"/>
      <c r="TGY7" s="59"/>
      <c r="TGZ7" s="59"/>
      <c r="THA7" s="59"/>
      <c r="THB7" s="59"/>
      <c r="THC7" s="59"/>
      <c r="THD7" s="59"/>
      <c r="THE7" s="59"/>
      <c r="THF7" s="59"/>
      <c r="THG7" s="59"/>
      <c r="THH7" s="59"/>
      <c r="THI7" s="59"/>
      <c r="THJ7" s="59"/>
      <c r="THK7" s="59"/>
      <c r="THL7" s="59"/>
      <c r="THM7" s="59"/>
      <c r="THN7" s="59"/>
      <c r="THO7" s="59"/>
      <c r="THP7" s="59"/>
      <c r="THQ7" s="59"/>
      <c r="THR7" s="59"/>
      <c r="THS7" s="59"/>
      <c r="THT7" s="59"/>
      <c r="THU7" s="59"/>
      <c r="THV7" s="59"/>
      <c r="THW7" s="59"/>
      <c r="THX7" s="59"/>
      <c r="THY7" s="59"/>
      <c r="THZ7" s="59"/>
      <c r="TIA7" s="59"/>
      <c r="TIB7" s="59"/>
      <c r="TIC7" s="59"/>
      <c r="TID7" s="59"/>
      <c r="TIE7" s="59"/>
      <c r="TIF7" s="59"/>
      <c r="TIG7" s="59"/>
      <c r="TIH7" s="59"/>
      <c r="TII7" s="59"/>
      <c r="TIJ7" s="59"/>
      <c r="TIK7" s="59"/>
      <c r="TIL7" s="59"/>
      <c r="TIM7" s="59"/>
      <c r="TIN7" s="59"/>
      <c r="TIO7" s="59"/>
      <c r="TIP7" s="59"/>
      <c r="TIQ7" s="59"/>
      <c r="TIR7" s="59"/>
      <c r="TIS7" s="59"/>
      <c r="TIT7" s="59"/>
      <c r="TIU7" s="59"/>
      <c r="TIV7" s="59"/>
      <c r="TIW7" s="59"/>
      <c r="TIX7" s="59"/>
      <c r="TIY7" s="59"/>
      <c r="TIZ7" s="59"/>
      <c r="TJA7" s="59"/>
      <c r="TJB7" s="59"/>
      <c r="TJC7" s="59"/>
      <c r="TJD7" s="59"/>
      <c r="TJE7" s="59"/>
      <c r="TJF7" s="59"/>
      <c r="TJG7" s="59"/>
      <c r="TJH7" s="59"/>
      <c r="TJI7" s="59"/>
      <c r="TJJ7" s="59"/>
      <c r="TJK7" s="59"/>
      <c r="TJL7" s="59"/>
      <c r="TJM7" s="59"/>
      <c r="TJN7" s="59"/>
      <c r="TJO7" s="59"/>
      <c r="TJP7" s="59"/>
      <c r="TJQ7" s="59"/>
      <c r="TJR7" s="59"/>
      <c r="TJS7" s="59"/>
      <c r="TJT7" s="59"/>
      <c r="TJU7" s="59"/>
      <c r="TJV7" s="59"/>
      <c r="TJW7" s="59"/>
      <c r="TJX7" s="59"/>
      <c r="TJY7" s="59"/>
      <c r="TJZ7" s="59"/>
      <c r="TKA7" s="59"/>
      <c r="TKB7" s="59"/>
      <c r="TKC7" s="59"/>
      <c r="TKD7" s="59"/>
      <c r="TKE7" s="59"/>
      <c r="TKF7" s="59"/>
      <c r="TKG7" s="59"/>
      <c r="TKH7" s="59"/>
      <c r="TKI7" s="59"/>
      <c r="TKJ7" s="59"/>
      <c r="TKK7" s="59"/>
      <c r="TKL7" s="59"/>
      <c r="TKM7" s="59"/>
      <c r="TKN7" s="59"/>
      <c r="TKO7" s="59"/>
      <c r="TKP7" s="59"/>
      <c r="TKQ7" s="59"/>
      <c r="TKR7" s="59"/>
      <c r="TKS7" s="59"/>
      <c r="TKT7" s="59"/>
      <c r="TKU7" s="59"/>
      <c r="TKV7" s="59"/>
      <c r="TKW7" s="59"/>
      <c r="TKX7" s="59"/>
      <c r="TKY7" s="59"/>
      <c r="TKZ7" s="59"/>
      <c r="TLA7" s="59"/>
      <c r="TLB7" s="59"/>
      <c r="TLC7" s="59"/>
      <c r="TLD7" s="59"/>
      <c r="TLE7" s="59"/>
      <c r="TLF7" s="59"/>
      <c r="TLG7" s="59"/>
      <c r="TLH7" s="59"/>
      <c r="TLI7" s="59"/>
      <c r="TLJ7" s="59"/>
      <c r="TLK7" s="59"/>
      <c r="TLL7" s="59"/>
      <c r="TLM7" s="59"/>
      <c r="TLN7" s="59"/>
      <c r="TLO7" s="59"/>
      <c r="TLP7" s="59"/>
      <c r="TLQ7" s="59"/>
      <c r="TLR7" s="59"/>
      <c r="TLS7" s="59"/>
      <c r="TLT7" s="59"/>
      <c r="TLU7" s="59"/>
      <c r="TLV7" s="59"/>
      <c r="TLW7" s="59"/>
      <c r="TLX7" s="59"/>
      <c r="TLY7" s="59"/>
      <c r="TLZ7" s="59"/>
      <c r="TMA7" s="59"/>
      <c r="TMB7" s="59"/>
      <c r="TMC7" s="59"/>
      <c r="TMD7" s="59"/>
      <c r="TME7" s="59"/>
      <c r="TMF7" s="59"/>
      <c r="TMG7" s="59"/>
      <c r="TMH7" s="59"/>
      <c r="TMI7" s="59"/>
      <c r="TMJ7" s="59"/>
      <c r="TMK7" s="59"/>
      <c r="TML7" s="59"/>
      <c r="TMM7" s="59"/>
      <c r="TMN7" s="59"/>
      <c r="TMO7" s="59"/>
      <c r="TMP7" s="59"/>
      <c r="TMQ7" s="59"/>
      <c r="TMR7" s="59"/>
      <c r="TMS7" s="59"/>
      <c r="TMT7" s="59"/>
      <c r="TMU7" s="59"/>
      <c r="TMV7" s="59"/>
      <c r="TMW7" s="59"/>
      <c r="TMX7" s="59"/>
      <c r="TMY7" s="59"/>
      <c r="TMZ7" s="59"/>
      <c r="TNA7" s="59"/>
      <c r="TNB7" s="59"/>
      <c r="TNC7" s="59"/>
      <c r="TND7" s="59"/>
      <c r="TNE7" s="59"/>
      <c r="TNF7" s="59"/>
      <c r="TNG7" s="59"/>
      <c r="TNH7" s="59"/>
      <c r="TNI7" s="59"/>
      <c r="TNJ7" s="59"/>
      <c r="TNK7" s="59"/>
      <c r="TNL7" s="59"/>
      <c r="TNM7" s="59"/>
      <c r="TNN7" s="59"/>
      <c r="TNO7" s="59"/>
      <c r="TNP7" s="59"/>
      <c r="TNQ7" s="59"/>
      <c r="TNR7" s="59"/>
      <c r="TNS7" s="59"/>
      <c r="TNT7" s="59"/>
      <c r="TNU7" s="59"/>
      <c r="TNV7" s="59"/>
      <c r="TNW7" s="59"/>
      <c r="TNX7" s="59"/>
      <c r="TNY7" s="59"/>
      <c r="TNZ7" s="59"/>
      <c r="TOA7" s="59"/>
      <c r="TOB7" s="59"/>
      <c r="TOC7" s="59"/>
      <c r="TOD7" s="59"/>
      <c r="TOE7" s="59"/>
      <c r="TOF7" s="59"/>
      <c r="TOG7" s="59"/>
      <c r="TOH7" s="59"/>
      <c r="TOI7" s="59"/>
      <c r="TOJ7" s="59"/>
      <c r="TOK7" s="59"/>
      <c r="TOL7" s="59"/>
      <c r="TOM7" s="59"/>
      <c r="TON7" s="59"/>
      <c r="TOO7" s="59"/>
      <c r="TOP7" s="59"/>
      <c r="TOQ7" s="59"/>
      <c r="TOR7" s="59"/>
      <c r="TOS7" s="59"/>
      <c r="TOT7" s="59"/>
      <c r="TOU7" s="59"/>
      <c r="TOV7" s="59"/>
      <c r="TOW7" s="59"/>
      <c r="TOX7" s="59"/>
      <c r="TOY7" s="59"/>
      <c r="TOZ7" s="59"/>
      <c r="TPA7" s="59"/>
      <c r="TPB7" s="59"/>
      <c r="TPC7" s="59"/>
      <c r="TPD7" s="59"/>
      <c r="TPE7" s="59"/>
      <c r="TPF7" s="59"/>
      <c r="TPG7" s="59"/>
      <c r="TPH7" s="59"/>
      <c r="TPI7" s="59"/>
      <c r="TPJ7" s="59"/>
      <c r="TPK7" s="59"/>
      <c r="TPL7" s="59"/>
      <c r="TPM7" s="59"/>
      <c r="TPN7" s="59"/>
      <c r="TPO7" s="59"/>
      <c r="TPP7" s="59"/>
      <c r="TPQ7" s="59"/>
      <c r="TPR7" s="59"/>
      <c r="TPS7" s="59"/>
      <c r="TPT7" s="59"/>
      <c r="TPU7" s="59"/>
      <c r="TPV7" s="59"/>
      <c r="TPW7" s="59"/>
      <c r="TPX7" s="59"/>
      <c r="TPY7" s="59"/>
      <c r="TPZ7" s="59"/>
      <c r="TQA7" s="59"/>
      <c r="TQB7" s="59"/>
      <c r="TQC7" s="59"/>
      <c r="TQD7" s="59"/>
      <c r="TQE7" s="59"/>
      <c r="TQF7" s="59"/>
      <c r="TQG7" s="59"/>
      <c r="TQH7" s="59"/>
      <c r="TQI7" s="59"/>
      <c r="TQJ7" s="59"/>
      <c r="TQK7" s="59"/>
      <c r="TQL7" s="59"/>
      <c r="TQM7" s="59"/>
      <c r="TQN7" s="59"/>
      <c r="TQO7" s="59"/>
      <c r="TQP7" s="59"/>
      <c r="TQQ7" s="59"/>
      <c r="TQR7" s="59"/>
      <c r="TQS7" s="59"/>
      <c r="TQT7" s="59"/>
      <c r="TQU7" s="59"/>
      <c r="TQV7" s="59"/>
      <c r="TQW7" s="59"/>
      <c r="TQX7" s="59"/>
      <c r="TQY7" s="59"/>
      <c r="TQZ7" s="59"/>
      <c r="TRA7" s="59"/>
      <c r="TRB7" s="59"/>
      <c r="TRC7" s="59"/>
      <c r="TRD7" s="59"/>
      <c r="TRE7" s="59"/>
      <c r="TRF7" s="59"/>
      <c r="TRG7" s="59"/>
      <c r="TRH7" s="59"/>
      <c r="TRI7" s="59"/>
      <c r="TRJ7" s="59"/>
      <c r="TRK7" s="59"/>
      <c r="TRL7" s="59"/>
      <c r="TRM7" s="59"/>
      <c r="TRN7" s="59"/>
      <c r="TRO7" s="59"/>
      <c r="TRP7" s="59"/>
      <c r="TRQ7" s="59"/>
      <c r="TRR7" s="59"/>
      <c r="TRS7" s="59"/>
      <c r="TRT7" s="59"/>
      <c r="TRU7" s="59"/>
      <c r="TRV7" s="59"/>
      <c r="TRW7" s="59"/>
      <c r="TRX7" s="59"/>
      <c r="TRY7" s="59"/>
      <c r="TRZ7" s="59"/>
      <c r="TSA7" s="59"/>
      <c r="TSB7" s="59"/>
      <c r="TSC7" s="59"/>
      <c r="TSD7" s="59"/>
      <c r="TSE7" s="59"/>
      <c r="TSF7" s="59"/>
      <c r="TSG7" s="59"/>
      <c r="TSH7" s="59"/>
      <c r="TSI7" s="59"/>
      <c r="TSJ7" s="59"/>
      <c r="TSK7" s="59"/>
      <c r="TSL7" s="59"/>
      <c r="TSM7" s="59"/>
      <c r="TSN7" s="59"/>
      <c r="TSO7" s="59"/>
      <c r="TSP7" s="59"/>
      <c r="TSQ7" s="59"/>
      <c r="TSR7" s="59"/>
      <c r="TSS7" s="59"/>
      <c r="TST7" s="59"/>
      <c r="TSU7" s="59"/>
      <c r="TSV7" s="59"/>
      <c r="TSW7" s="59"/>
      <c r="TSX7" s="59"/>
      <c r="TSY7" s="59"/>
      <c r="TSZ7" s="59"/>
      <c r="TTA7" s="59"/>
      <c r="TTB7" s="59"/>
      <c r="TTC7" s="59"/>
      <c r="TTD7" s="59"/>
      <c r="TTE7" s="59"/>
      <c r="TTF7" s="59"/>
      <c r="TTG7" s="59"/>
      <c r="TTH7" s="59"/>
      <c r="TTI7" s="59"/>
      <c r="TTJ7" s="59"/>
      <c r="TTK7" s="59"/>
      <c r="TTL7" s="59"/>
      <c r="TTM7" s="59"/>
      <c r="TTN7" s="59"/>
      <c r="TTO7" s="59"/>
      <c r="TTP7" s="59"/>
      <c r="TTQ7" s="59"/>
      <c r="TTR7" s="59"/>
      <c r="TTS7" s="59"/>
      <c r="TTT7" s="59"/>
      <c r="TTU7" s="59"/>
      <c r="TTV7" s="59"/>
      <c r="TTW7" s="59"/>
      <c r="TTX7" s="59"/>
      <c r="TTY7" s="59"/>
      <c r="TTZ7" s="59"/>
      <c r="TUA7" s="59"/>
      <c r="TUB7" s="59"/>
      <c r="TUC7" s="59"/>
      <c r="TUD7" s="59"/>
      <c r="TUE7" s="59"/>
      <c r="TUF7" s="59"/>
      <c r="TUG7" s="59"/>
      <c r="TUH7" s="59"/>
      <c r="TUI7" s="59"/>
      <c r="TUJ7" s="59"/>
      <c r="TUK7" s="59"/>
      <c r="TUL7" s="59"/>
      <c r="TUM7" s="59"/>
      <c r="TUN7" s="59"/>
      <c r="TUO7" s="59"/>
      <c r="TUP7" s="59"/>
      <c r="TUQ7" s="59"/>
      <c r="TUR7" s="59"/>
      <c r="TUS7" s="59"/>
      <c r="TUT7" s="59"/>
      <c r="TUU7" s="59"/>
      <c r="TUV7" s="59"/>
      <c r="TUW7" s="59"/>
      <c r="TUX7" s="59"/>
      <c r="TUY7" s="59"/>
      <c r="TUZ7" s="59"/>
      <c r="TVA7" s="59"/>
      <c r="TVB7" s="59"/>
      <c r="TVC7" s="59"/>
      <c r="TVD7" s="59"/>
      <c r="TVE7" s="59"/>
      <c r="TVF7" s="59"/>
      <c r="TVG7" s="59"/>
      <c r="TVH7" s="59"/>
      <c r="TVI7" s="59"/>
      <c r="TVJ7" s="59"/>
      <c r="TVK7" s="59"/>
      <c r="TVL7" s="59"/>
      <c r="TVM7" s="59"/>
      <c r="TVN7" s="59"/>
      <c r="TVO7" s="59"/>
      <c r="TVP7" s="59"/>
      <c r="TVQ7" s="59"/>
      <c r="TVR7" s="59"/>
      <c r="TVS7" s="59"/>
      <c r="TVT7" s="59"/>
      <c r="TVU7" s="59"/>
      <c r="TVV7" s="59"/>
      <c r="TVW7" s="59"/>
      <c r="TVX7" s="59"/>
      <c r="TVY7" s="59"/>
      <c r="TVZ7" s="59"/>
      <c r="TWA7" s="59"/>
      <c r="TWB7" s="59"/>
      <c r="TWC7" s="59"/>
      <c r="TWD7" s="59"/>
      <c r="TWE7" s="59"/>
      <c r="TWF7" s="59"/>
      <c r="TWG7" s="59"/>
      <c r="TWH7" s="59"/>
      <c r="TWI7" s="59"/>
      <c r="TWJ7" s="59"/>
      <c r="TWK7" s="59"/>
      <c r="TWL7" s="59"/>
      <c r="TWM7" s="59"/>
      <c r="TWN7" s="59"/>
      <c r="TWO7" s="59"/>
      <c r="TWP7" s="59"/>
      <c r="TWQ7" s="59"/>
      <c r="TWR7" s="59"/>
      <c r="TWS7" s="59"/>
      <c r="TWT7" s="59"/>
      <c r="TWU7" s="59"/>
      <c r="TWV7" s="59"/>
      <c r="TWW7" s="59"/>
      <c r="TWX7" s="59"/>
      <c r="TWY7" s="59"/>
      <c r="TWZ7" s="59"/>
      <c r="TXA7" s="59"/>
      <c r="TXB7" s="59"/>
      <c r="TXC7" s="59"/>
      <c r="TXD7" s="59"/>
      <c r="TXE7" s="59"/>
      <c r="TXF7" s="59"/>
      <c r="TXG7" s="59"/>
      <c r="TXH7" s="59"/>
      <c r="TXI7" s="59"/>
      <c r="TXJ7" s="59"/>
      <c r="TXK7" s="59"/>
      <c r="TXL7" s="59"/>
      <c r="TXM7" s="59"/>
      <c r="TXN7" s="59"/>
      <c r="TXO7" s="59"/>
      <c r="TXP7" s="59"/>
      <c r="TXQ7" s="59"/>
      <c r="TXR7" s="59"/>
      <c r="TXS7" s="59"/>
      <c r="TXT7" s="59"/>
      <c r="TXU7" s="59"/>
      <c r="TXV7" s="59"/>
      <c r="TXW7" s="59"/>
      <c r="TXX7" s="59"/>
      <c r="TXY7" s="59"/>
      <c r="TXZ7" s="59"/>
      <c r="TYA7" s="59"/>
      <c r="TYB7" s="59"/>
      <c r="TYC7" s="59"/>
      <c r="TYD7" s="59"/>
      <c r="TYE7" s="59"/>
      <c r="TYF7" s="59"/>
      <c r="TYG7" s="59"/>
      <c r="TYH7" s="59"/>
      <c r="TYI7" s="59"/>
      <c r="TYJ7" s="59"/>
      <c r="TYK7" s="59"/>
      <c r="TYL7" s="59"/>
      <c r="TYM7" s="59"/>
      <c r="TYN7" s="59"/>
      <c r="TYO7" s="59"/>
      <c r="TYP7" s="59"/>
      <c r="TYQ7" s="59"/>
      <c r="TYR7" s="59"/>
      <c r="TYS7" s="59"/>
      <c r="TYT7" s="59"/>
      <c r="TYU7" s="59"/>
      <c r="TYV7" s="59"/>
      <c r="TYW7" s="59"/>
      <c r="TYX7" s="59"/>
      <c r="TYY7" s="59"/>
      <c r="TYZ7" s="59"/>
      <c r="TZA7" s="59"/>
      <c r="TZB7" s="59"/>
      <c r="TZC7" s="59"/>
      <c r="TZD7" s="59"/>
      <c r="TZE7" s="59"/>
      <c r="TZF7" s="59"/>
      <c r="TZG7" s="59"/>
      <c r="TZH7" s="59"/>
      <c r="TZI7" s="59"/>
      <c r="TZJ7" s="59"/>
      <c r="TZK7" s="59"/>
      <c r="TZL7" s="59"/>
      <c r="TZM7" s="59"/>
      <c r="TZN7" s="59"/>
      <c r="TZO7" s="59"/>
      <c r="TZP7" s="59"/>
      <c r="TZQ7" s="59"/>
      <c r="TZR7" s="59"/>
      <c r="TZS7" s="59"/>
      <c r="TZT7" s="59"/>
      <c r="TZU7" s="59"/>
      <c r="TZV7" s="59"/>
      <c r="TZW7" s="59"/>
      <c r="TZX7" s="59"/>
      <c r="TZY7" s="59"/>
      <c r="TZZ7" s="59"/>
      <c r="UAA7" s="59"/>
      <c r="UAB7" s="59"/>
      <c r="UAC7" s="59"/>
      <c r="UAD7" s="59"/>
      <c r="UAE7" s="59"/>
      <c r="UAF7" s="59"/>
      <c r="UAG7" s="59"/>
      <c r="UAH7" s="59"/>
      <c r="UAI7" s="59"/>
      <c r="UAJ7" s="59"/>
      <c r="UAK7" s="59"/>
      <c r="UAL7" s="59"/>
      <c r="UAM7" s="59"/>
      <c r="UAN7" s="59"/>
      <c r="UAO7" s="59"/>
      <c r="UAP7" s="59"/>
      <c r="UAQ7" s="59"/>
      <c r="UAR7" s="59"/>
      <c r="UAS7" s="59"/>
      <c r="UAT7" s="59"/>
      <c r="UAU7" s="59"/>
      <c r="UAV7" s="59"/>
      <c r="UAW7" s="59"/>
      <c r="UAX7" s="59"/>
      <c r="UAY7" s="59"/>
      <c r="UAZ7" s="59"/>
      <c r="UBA7" s="59"/>
      <c r="UBB7" s="59"/>
      <c r="UBC7" s="59"/>
      <c r="UBD7" s="59"/>
      <c r="UBE7" s="59"/>
      <c r="UBF7" s="59"/>
      <c r="UBG7" s="59"/>
      <c r="UBH7" s="59"/>
      <c r="UBI7" s="59"/>
      <c r="UBJ7" s="59"/>
      <c r="UBK7" s="59"/>
      <c r="UBL7" s="59"/>
      <c r="UBM7" s="59"/>
      <c r="UBN7" s="59"/>
      <c r="UBO7" s="59"/>
      <c r="UBP7" s="59"/>
      <c r="UBQ7" s="59"/>
      <c r="UBR7" s="59"/>
      <c r="UBS7" s="59"/>
      <c r="UBT7" s="59"/>
      <c r="UBU7" s="59"/>
      <c r="UBV7" s="59"/>
      <c r="UBW7" s="59"/>
      <c r="UBX7" s="59"/>
      <c r="UBY7" s="59"/>
      <c r="UBZ7" s="59"/>
      <c r="UCA7" s="59"/>
      <c r="UCB7" s="59"/>
      <c r="UCC7" s="59"/>
      <c r="UCD7" s="59"/>
      <c r="UCE7" s="59"/>
      <c r="UCF7" s="59"/>
      <c r="UCG7" s="59"/>
      <c r="UCH7" s="59"/>
      <c r="UCI7" s="59"/>
      <c r="UCJ7" s="59"/>
      <c r="UCK7" s="59"/>
      <c r="UCL7" s="59"/>
      <c r="UCM7" s="59"/>
      <c r="UCN7" s="59"/>
      <c r="UCO7" s="59"/>
      <c r="UCP7" s="59"/>
      <c r="UCQ7" s="59"/>
      <c r="UCR7" s="59"/>
      <c r="UCS7" s="59"/>
      <c r="UCT7" s="59"/>
      <c r="UCU7" s="59"/>
      <c r="UCV7" s="59"/>
      <c r="UCW7" s="59"/>
      <c r="UCX7" s="59"/>
      <c r="UCY7" s="59"/>
      <c r="UCZ7" s="59"/>
      <c r="UDA7" s="59"/>
      <c r="UDB7" s="59"/>
      <c r="UDC7" s="59"/>
      <c r="UDD7" s="59"/>
      <c r="UDE7" s="59"/>
      <c r="UDF7" s="59"/>
      <c r="UDG7" s="59"/>
      <c r="UDH7" s="59"/>
      <c r="UDI7" s="59"/>
      <c r="UDJ7" s="59"/>
      <c r="UDK7" s="59"/>
      <c r="UDL7" s="59"/>
      <c r="UDM7" s="59"/>
      <c r="UDN7" s="59"/>
      <c r="UDO7" s="59"/>
      <c r="UDP7" s="59"/>
      <c r="UDQ7" s="59"/>
      <c r="UDR7" s="59"/>
      <c r="UDS7" s="59"/>
      <c r="UDT7" s="59"/>
      <c r="UDU7" s="59"/>
      <c r="UDV7" s="59"/>
      <c r="UDW7" s="59"/>
      <c r="UDX7" s="59"/>
      <c r="UDY7" s="59"/>
      <c r="UDZ7" s="59"/>
      <c r="UEA7" s="59"/>
      <c r="UEB7" s="59"/>
      <c r="UEC7" s="59"/>
      <c r="UED7" s="59"/>
      <c r="UEE7" s="59"/>
      <c r="UEF7" s="59"/>
      <c r="UEG7" s="59"/>
      <c r="UEH7" s="59"/>
      <c r="UEI7" s="59"/>
      <c r="UEJ7" s="59"/>
      <c r="UEK7" s="59"/>
      <c r="UEL7" s="59"/>
      <c r="UEM7" s="59"/>
      <c r="UEN7" s="59"/>
      <c r="UEO7" s="59"/>
      <c r="UEP7" s="59"/>
      <c r="UEQ7" s="59"/>
      <c r="UER7" s="59"/>
      <c r="UES7" s="59"/>
      <c r="UET7" s="59"/>
      <c r="UEU7" s="59"/>
      <c r="UEV7" s="59"/>
      <c r="UEW7" s="59"/>
      <c r="UEX7" s="59"/>
      <c r="UEY7" s="59"/>
      <c r="UEZ7" s="59"/>
      <c r="UFA7" s="59"/>
      <c r="UFB7" s="59"/>
      <c r="UFC7" s="59"/>
      <c r="UFD7" s="59"/>
      <c r="UFE7" s="59"/>
      <c r="UFF7" s="59"/>
      <c r="UFG7" s="59"/>
      <c r="UFH7" s="59"/>
      <c r="UFI7" s="59"/>
      <c r="UFJ7" s="59"/>
      <c r="UFK7" s="59"/>
      <c r="UFL7" s="59"/>
      <c r="UFM7" s="59"/>
      <c r="UFN7" s="59"/>
      <c r="UFO7" s="59"/>
      <c r="UFP7" s="59"/>
      <c r="UFQ7" s="59"/>
      <c r="UFR7" s="59"/>
      <c r="UFS7" s="59"/>
      <c r="UFT7" s="59"/>
      <c r="UFU7" s="59"/>
      <c r="UFV7" s="59"/>
      <c r="UFW7" s="59"/>
      <c r="UFX7" s="59"/>
      <c r="UFY7" s="59"/>
      <c r="UFZ7" s="59"/>
      <c r="UGA7" s="59"/>
      <c r="UGB7" s="59"/>
      <c r="UGC7" s="59"/>
      <c r="UGD7" s="59"/>
      <c r="UGE7" s="59"/>
      <c r="UGF7" s="59"/>
      <c r="UGG7" s="59"/>
      <c r="UGH7" s="59"/>
      <c r="UGI7" s="59"/>
      <c r="UGJ7" s="59"/>
      <c r="UGK7" s="59"/>
      <c r="UGL7" s="59"/>
      <c r="UGM7" s="59"/>
      <c r="UGN7" s="59"/>
      <c r="UGO7" s="59"/>
      <c r="UGP7" s="59"/>
      <c r="UGQ7" s="59"/>
      <c r="UGR7" s="59"/>
      <c r="UGS7" s="59"/>
      <c r="UGT7" s="59"/>
      <c r="UGU7" s="59"/>
      <c r="UGV7" s="59"/>
      <c r="UGW7" s="59"/>
      <c r="UGX7" s="59"/>
      <c r="UGY7" s="59"/>
      <c r="UGZ7" s="59"/>
      <c r="UHA7" s="59"/>
      <c r="UHB7" s="59"/>
      <c r="UHC7" s="59"/>
      <c r="UHD7" s="59"/>
      <c r="UHE7" s="59"/>
      <c r="UHF7" s="59"/>
      <c r="UHG7" s="59"/>
      <c r="UHH7" s="59"/>
      <c r="UHI7" s="59"/>
      <c r="UHJ7" s="59"/>
      <c r="UHK7" s="59"/>
      <c r="UHL7" s="59"/>
      <c r="UHM7" s="59"/>
      <c r="UHN7" s="59"/>
      <c r="UHO7" s="59"/>
      <c r="UHP7" s="59"/>
      <c r="UHQ7" s="59"/>
      <c r="UHR7" s="59"/>
      <c r="UHS7" s="59"/>
      <c r="UHT7" s="59"/>
      <c r="UHU7" s="59"/>
      <c r="UHV7" s="59"/>
      <c r="UHW7" s="59"/>
      <c r="UHX7" s="59"/>
      <c r="UHY7" s="59"/>
      <c r="UHZ7" s="59"/>
      <c r="UIA7" s="59"/>
      <c r="UIB7" s="59"/>
      <c r="UIC7" s="59"/>
      <c r="UID7" s="59"/>
      <c r="UIE7" s="59"/>
      <c r="UIF7" s="59"/>
      <c r="UIG7" s="59"/>
      <c r="UIH7" s="59"/>
      <c r="UII7" s="59"/>
      <c r="UIJ7" s="59"/>
      <c r="UIK7" s="59"/>
      <c r="UIL7" s="59"/>
      <c r="UIM7" s="59"/>
      <c r="UIN7" s="59"/>
      <c r="UIO7" s="59"/>
      <c r="UIP7" s="59"/>
      <c r="UIQ7" s="59"/>
      <c r="UIR7" s="59"/>
      <c r="UIS7" s="59"/>
      <c r="UIT7" s="59"/>
      <c r="UIU7" s="59"/>
      <c r="UIV7" s="59"/>
      <c r="UIW7" s="59"/>
      <c r="UIX7" s="59"/>
      <c r="UIY7" s="59"/>
      <c r="UIZ7" s="59"/>
      <c r="UJA7" s="59"/>
      <c r="UJB7" s="59"/>
      <c r="UJC7" s="59"/>
      <c r="UJD7" s="59"/>
      <c r="UJE7" s="59"/>
      <c r="UJF7" s="59"/>
      <c r="UJG7" s="59"/>
      <c r="UJH7" s="59"/>
      <c r="UJI7" s="59"/>
      <c r="UJJ7" s="59"/>
      <c r="UJK7" s="59"/>
      <c r="UJL7" s="59"/>
      <c r="UJM7" s="59"/>
      <c r="UJN7" s="59"/>
      <c r="UJO7" s="59"/>
      <c r="UJP7" s="59"/>
      <c r="UJQ7" s="59"/>
      <c r="UJR7" s="59"/>
      <c r="UJS7" s="59"/>
      <c r="UJT7" s="59"/>
      <c r="UJU7" s="59"/>
      <c r="UJV7" s="59"/>
      <c r="UJW7" s="59"/>
      <c r="UJX7" s="59"/>
      <c r="UJY7" s="59"/>
      <c r="UJZ7" s="59"/>
      <c r="UKA7" s="59"/>
      <c r="UKB7" s="59"/>
      <c r="UKC7" s="59"/>
      <c r="UKD7" s="59"/>
      <c r="UKE7" s="59"/>
      <c r="UKF7" s="59"/>
      <c r="UKG7" s="59"/>
      <c r="UKH7" s="59"/>
      <c r="UKI7" s="59"/>
      <c r="UKJ7" s="59"/>
      <c r="UKK7" s="59"/>
      <c r="UKL7" s="59"/>
      <c r="UKM7" s="59"/>
      <c r="UKN7" s="59"/>
      <c r="UKO7" s="59"/>
      <c r="UKP7" s="59"/>
      <c r="UKQ7" s="59"/>
      <c r="UKR7" s="59"/>
      <c r="UKS7" s="59"/>
      <c r="UKT7" s="59"/>
      <c r="UKU7" s="59"/>
      <c r="UKV7" s="59"/>
      <c r="UKW7" s="59"/>
      <c r="UKX7" s="59"/>
      <c r="UKY7" s="59"/>
      <c r="UKZ7" s="59"/>
      <c r="ULA7" s="59"/>
      <c r="ULB7" s="59"/>
      <c r="ULC7" s="59"/>
      <c r="ULD7" s="59"/>
      <c r="ULE7" s="59"/>
      <c r="ULF7" s="59"/>
      <c r="ULG7" s="59"/>
      <c r="ULH7" s="59"/>
      <c r="ULI7" s="59"/>
      <c r="ULJ7" s="59"/>
      <c r="ULK7" s="59"/>
      <c r="ULL7" s="59"/>
      <c r="ULM7" s="59"/>
      <c r="ULN7" s="59"/>
      <c r="ULO7" s="59"/>
      <c r="ULP7" s="59"/>
      <c r="ULQ7" s="59"/>
      <c r="ULR7" s="59"/>
      <c r="ULS7" s="59"/>
      <c r="ULT7" s="59"/>
      <c r="ULU7" s="59"/>
      <c r="ULV7" s="59"/>
      <c r="ULW7" s="59"/>
      <c r="ULX7" s="59"/>
      <c r="ULY7" s="59"/>
      <c r="ULZ7" s="59"/>
      <c r="UMA7" s="59"/>
      <c r="UMB7" s="59"/>
      <c r="UMC7" s="59"/>
      <c r="UMD7" s="59"/>
      <c r="UME7" s="59"/>
      <c r="UMF7" s="59"/>
      <c r="UMG7" s="59"/>
      <c r="UMH7" s="59"/>
      <c r="UMI7" s="59"/>
      <c r="UMJ7" s="59"/>
      <c r="UMK7" s="59"/>
      <c r="UML7" s="59"/>
      <c r="UMM7" s="59"/>
      <c r="UMN7" s="59"/>
      <c r="UMO7" s="59"/>
      <c r="UMP7" s="59"/>
      <c r="UMQ7" s="59"/>
      <c r="UMR7" s="59"/>
      <c r="UMS7" s="59"/>
      <c r="UMT7" s="59"/>
      <c r="UMU7" s="59"/>
      <c r="UMV7" s="59"/>
      <c r="UMW7" s="59"/>
      <c r="UMX7" s="59"/>
      <c r="UMY7" s="59"/>
      <c r="UMZ7" s="59"/>
      <c r="UNA7" s="59"/>
      <c r="UNB7" s="59"/>
      <c r="UNC7" s="59"/>
      <c r="UND7" s="59"/>
      <c r="UNE7" s="59"/>
      <c r="UNF7" s="59"/>
      <c r="UNG7" s="59"/>
      <c r="UNH7" s="59"/>
      <c r="UNI7" s="59"/>
      <c r="UNJ7" s="59"/>
      <c r="UNK7" s="59"/>
      <c r="UNL7" s="59"/>
      <c r="UNM7" s="59"/>
      <c r="UNN7" s="59"/>
      <c r="UNO7" s="59"/>
      <c r="UNP7" s="59"/>
      <c r="UNQ7" s="59"/>
      <c r="UNR7" s="59"/>
      <c r="UNS7" s="59"/>
      <c r="UNT7" s="59"/>
      <c r="UNU7" s="59"/>
      <c r="UNV7" s="59"/>
      <c r="UNW7" s="59"/>
      <c r="UNX7" s="59"/>
      <c r="UNY7" s="59"/>
      <c r="UNZ7" s="59"/>
      <c r="UOA7" s="59"/>
      <c r="UOB7" s="59"/>
      <c r="UOC7" s="59"/>
      <c r="UOD7" s="59"/>
      <c r="UOE7" s="59"/>
      <c r="UOF7" s="59"/>
      <c r="UOG7" s="59"/>
      <c r="UOH7" s="59"/>
      <c r="UOI7" s="59"/>
      <c r="UOJ7" s="59"/>
      <c r="UOK7" s="59"/>
      <c r="UOL7" s="59"/>
      <c r="UOM7" s="59"/>
      <c r="UON7" s="59"/>
      <c r="UOO7" s="59"/>
      <c r="UOP7" s="59"/>
      <c r="UOQ7" s="59"/>
      <c r="UOR7" s="59"/>
      <c r="UOS7" s="59"/>
      <c r="UOT7" s="59"/>
      <c r="UOU7" s="59"/>
      <c r="UOV7" s="59"/>
      <c r="UOW7" s="59"/>
      <c r="UOX7" s="59"/>
      <c r="UOY7" s="59"/>
      <c r="UOZ7" s="59"/>
      <c r="UPA7" s="59"/>
      <c r="UPB7" s="59"/>
      <c r="UPC7" s="59"/>
      <c r="UPD7" s="59"/>
      <c r="UPE7" s="59"/>
      <c r="UPF7" s="59"/>
      <c r="UPG7" s="59"/>
      <c r="UPH7" s="59"/>
      <c r="UPI7" s="59"/>
      <c r="UPJ7" s="59"/>
      <c r="UPK7" s="59"/>
      <c r="UPL7" s="59"/>
      <c r="UPM7" s="59"/>
      <c r="UPN7" s="59"/>
      <c r="UPO7" s="59"/>
      <c r="UPP7" s="59"/>
      <c r="UPQ7" s="59"/>
      <c r="UPR7" s="59"/>
      <c r="UPS7" s="59"/>
      <c r="UPT7" s="59"/>
      <c r="UPU7" s="59"/>
      <c r="UPV7" s="59"/>
      <c r="UPW7" s="59"/>
      <c r="UPX7" s="59"/>
      <c r="UPY7" s="59"/>
      <c r="UPZ7" s="59"/>
      <c r="UQA7" s="59"/>
      <c r="UQB7" s="59"/>
      <c r="UQC7" s="59"/>
      <c r="UQD7" s="59"/>
      <c r="UQE7" s="59"/>
      <c r="UQF7" s="59"/>
      <c r="UQG7" s="59"/>
      <c r="UQH7" s="59"/>
      <c r="UQI7" s="59"/>
      <c r="UQJ7" s="59"/>
      <c r="UQK7" s="59"/>
      <c r="UQL7" s="59"/>
      <c r="UQM7" s="59"/>
      <c r="UQN7" s="59"/>
      <c r="UQO7" s="59"/>
      <c r="UQP7" s="59"/>
      <c r="UQQ7" s="59"/>
      <c r="UQR7" s="59"/>
      <c r="UQS7" s="59"/>
      <c r="UQT7" s="59"/>
      <c r="UQU7" s="59"/>
      <c r="UQV7" s="59"/>
      <c r="UQW7" s="59"/>
      <c r="UQX7" s="59"/>
      <c r="UQY7" s="59"/>
      <c r="UQZ7" s="59"/>
      <c r="URA7" s="59"/>
      <c r="URB7" s="59"/>
      <c r="URC7" s="59"/>
      <c r="URD7" s="59"/>
      <c r="URE7" s="59"/>
      <c r="URF7" s="59"/>
      <c r="URG7" s="59"/>
      <c r="URH7" s="59"/>
      <c r="URI7" s="59"/>
      <c r="URJ7" s="59"/>
      <c r="URK7" s="59"/>
      <c r="URL7" s="59"/>
      <c r="URM7" s="59"/>
      <c r="URN7" s="59"/>
      <c r="URO7" s="59"/>
      <c r="URP7" s="59"/>
      <c r="URQ7" s="59"/>
      <c r="URR7" s="59"/>
      <c r="URS7" s="59"/>
      <c r="URT7" s="59"/>
      <c r="URU7" s="59"/>
      <c r="URV7" s="59"/>
      <c r="URW7" s="59"/>
      <c r="URX7" s="59"/>
      <c r="URY7" s="59"/>
      <c r="URZ7" s="59"/>
      <c r="USA7" s="59"/>
      <c r="USB7" s="59"/>
      <c r="USC7" s="59"/>
      <c r="USD7" s="59"/>
      <c r="USE7" s="59"/>
      <c r="USF7" s="59"/>
      <c r="USG7" s="59"/>
      <c r="USH7" s="59"/>
      <c r="USI7" s="59"/>
      <c r="USJ7" s="59"/>
      <c r="USK7" s="59"/>
      <c r="USL7" s="59"/>
      <c r="USM7" s="59"/>
      <c r="USN7" s="59"/>
      <c r="USO7" s="59"/>
      <c r="USP7" s="59"/>
      <c r="USQ7" s="59"/>
      <c r="USR7" s="59"/>
      <c r="USS7" s="59"/>
      <c r="UST7" s="59"/>
      <c r="USU7" s="59"/>
      <c r="USV7" s="59"/>
      <c r="USW7" s="59"/>
      <c r="USX7" s="59"/>
      <c r="USY7" s="59"/>
      <c r="USZ7" s="59"/>
      <c r="UTA7" s="59"/>
      <c r="UTB7" s="59"/>
      <c r="UTC7" s="59"/>
      <c r="UTD7" s="59"/>
      <c r="UTE7" s="59"/>
      <c r="UTF7" s="59"/>
      <c r="UTG7" s="59"/>
      <c r="UTH7" s="59"/>
      <c r="UTI7" s="59"/>
      <c r="UTJ7" s="59"/>
      <c r="UTK7" s="59"/>
      <c r="UTL7" s="59"/>
      <c r="UTM7" s="59"/>
      <c r="UTN7" s="59"/>
      <c r="UTO7" s="59"/>
      <c r="UTP7" s="59"/>
      <c r="UTQ7" s="59"/>
      <c r="UTR7" s="59"/>
      <c r="UTS7" s="59"/>
      <c r="UTT7" s="59"/>
      <c r="UTU7" s="59"/>
      <c r="UTV7" s="59"/>
      <c r="UTW7" s="59"/>
      <c r="UTX7" s="59"/>
      <c r="UTY7" s="59"/>
      <c r="UTZ7" s="59"/>
      <c r="UUA7" s="59"/>
      <c r="UUB7" s="59"/>
      <c r="UUC7" s="59"/>
      <c r="UUD7" s="59"/>
      <c r="UUE7" s="59"/>
      <c r="UUF7" s="59"/>
      <c r="UUG7" s="59"/>
      <c r="UUH7" s="59"/>
      <c r="UUI7" s="59"/>
      <c r="UUJ7" s="59"/>
      <c r="UUK7" s="59"/>
      <c r="UUL7" s="59"/>
      <c r="UUM7" s="59"/>
      <c r="UUN7" s="59"/>
      <c r="UUO7" s="59"/>
      <c r="UUP7" s="59"/>
      <c r="UUQ7" s="59"/>
      <c r="UUR7" s="59"/>
      <c r="UUS7" s="59"/>
      <c r="UUT7" s="59"/>
      <c r="UUU7" s="59"/>
      <c r="UUV7" s="59"/>
      <c r="UUW7" s="59"/>
      <c r="UUX7" s="59"/>
      <c r="UUY7" s="59"/>
      <c r="UUZ7" s="59"/>
      <c r="UVA7" s="59"/>
      <c r="UVB7" s="59"/>
      <c r="UVC7" s="59"/>
      <c r="UVD7" s="59"/>
      <c r="UVE7" s="59"/>
      <c r="UVF7" s="59"/>
      <c r="UVG7" s="59"/>
      <c r="UVH7" s="59"/>
      <c r="UVI7" s="59"/>
      <c r="UVJ7" s="59"/>
      <c r="UVK7" s="59"/>
      <c r="UVL7" s="59"/>
      <c r="UVM7" s="59"/>
      <c r="UVN7" s="59"/>
      <c r="UVO7" s="59"/>
      <c r="UVP7" s="59"/>
      <c r="UVQ7" s="59"/>
      <c r="UVR7" s="59"/>
      <c r="UVS7" s="59"/>
      <c r="UVT7" s="59"/>
      <c r="UVU7" s="59"/>
      <c r="UVV7" s="59"/>
      <c r="UVW7" s="59"/>
      <c r="UVX7" s="59"/>
      <c r="UVY7" s="59"/>
      <c r="UVZ7" s="59"/>
      <c r="UWA7" s="59"/>
      <c r="UWB7" s="59"/>
      <c r="UWC7" s="59"/>
      <c r="UWD7" s="59"/>
      <c r="UWE7" s="59"/>
      <c r="UWF7" s="59"/>
      <c r="UWG7" s="59"/>
      <c r="UWH7" s="59"/>
      <c r="UWI7" s="59"/>
      <c r="UWJ7" s="59"/>
      <c r="UWK7" s="59"/>
      <c r="UWL7" s="59"/>
      <c r="UWM7" s="59"/>
      <c r="UWN7" s="59"/>
      <c r="UWO7" s="59"/>
      <c r="UWP7" s="59"/>
      <c r="UWQ7" s="59"/>
      <c r="UWR7" s="59"/>
      <c r="UWS7" s="59"/>
      <c r="UWT7" s="59"/>
      <c r="UWU7" s="59"/>
      <c r="UWV7" s="59"/>
      <c r="UWW7" s="59"/>
      <c r="UWX7" s="59"/>
      <c r="UWY7" s="59"/>
      <c r="UWZ7" s="59"/>
      <c r="UXA7" s="59"/>
      <c r="UXB7" s="59"/>
      <c r="UXC7" s="59"/>
      <c r="UXD7" s="59"/>
      <c r="UXE7" s="59"/>
      <c r="UXF7" s="59"/>
      <c r="UXG7" s="59"/>
      <c r="UXH7" s="59"/>
      <c r="UXI7" s="59"/>
      <c r="UXJ7" s="59"/>
      <c r="UXK7" s="59"/>
      <c r="UXL7" s="59"/>
      <c r="UXM7" s="59"/>
      <c r="UXN7" s="59"/>
      <c r="UXO7" s="59"/>
      <c r="UXP7" s="59"/>
      <c r="UXQ7" s="59"/>
      <c r="UXR7" s="59"/>
      <c r="UXS7" s="59"/>
      <c r="UXT7" s="59"/>
      <c r="UXU7" s="59"/>
      <c r="UXV7" s="59"/>
      <c r="UXW7" s="59"/>
      <c r="UXX7" s="59"/>
      <c r="UXY7" s="59"/>
      <c r="UXZ7" s="59"/>
      <c r="UYA7" s="59"/>
      <c r="UYB7" s="59"/>
      <c r="UYC7" s="59"/>
      <c r="UYD7" s="59"/>
      <c r="UYE7" s="59"/>
      <c r="UYF7" s="59"/>
      <c r="UYG7" s="59"/>
      <c r="UYH7" s="59"/>
      <c r="UYI7" s="59"/>
      <c r="UYJ7" s="59"/>
      <c r="UYK7" s="59"/>
      <c r="UYL7" s="59"/>
      <c r="UYM7" s="59"/>
      <c r="UYN7" s="59"/>
      <c r="UYO7" s="59"/>
      <c r="UYP7" s="59"/>
      <c r="UYQ7" s="59"/>
      <c r="UYR7" s="59"/>
      <c r="UYS7" s="59"/>
      <c r="UYT7" s="59"/>
      <c r="UYU7" s="59"/>
      <c r="UYV7" s="59"/>
      <c r="UYW7" s="59"/>
      <c r="UYX7" s="59"/>
      <c r="UYY7" s="59"/>
      <c r="UYZ7" s="59"/>
      <c r="UZA7" s="59"/>
      <c r="UZB7" s="59"/>
      <c r="UZC7" s="59"/>
      <c r="UZD7" s="59"/>
      <c r="UZE7" s="59"/>
      <c r="UZF7" s="59"/>
      <c r="UZG7" s="59"/>
      <c r="UZH7" s="59"/>
      <c r="UZI7" s="59"/>
      <c r="UZJ7" s="59"/>
      <c r="UZK7" s="59"/>
      <c r="UZL7" s="59"/>
      <c r="UZM7" s="59"/>
      <c r="UZN7" s="59"/>
      <c r="UZO7" s="59"/>
      <c r="UZP7" s="59"/>
      <c r="UZQ7" s="59"/>
      <c r="UZR7" s="59"/>
      <c r="UZS7" s="59"/>
      <c r="UZT7" s="59"/>
      <c r="UZU7" s="59"/>
      <c r="UZV7" s="59"/>
      <c r="UZW7" s="59"/>
      <c r="UZX7" s="59"/>
      <c r="UZY7" s="59"/>
      <c r="UZZ7" s="59"/>
      <c r="VAA7" s="59"/>
      <c r="VAB7" s="59"/>
      <c r="VAC7" s="59"/>
      <c r="VAD7" s="59"/>
      <c r="VAE7" s="59"/>
      <c r="VAF7" s="59"/>
      <c r="VAG7" s="59"/>
      <c r="VAH7" s="59"/>
      <c r="VAI7" s="59"/>
      <c r="VAJ7" s="59"/>
      <c r="VAK7" s="59"/>
      <c r="VAL7" s="59"/>
      <c r="VAM7" s="59"/>
      <c r="VAN7" s="59"/>
      <c r="VAO7" s="59"/>
      <c r="VAP7" s="59"/>
      <c r="VAQ7" s="59"/>
      <c r="VAR7" s="59"/>
      <c r="VAS7" s="59"/>
      <c r="VAT7" s="59"/>
      <c r="VAU7" s="59"/>
      <c r="VAV7" s="59"/>
      <c r="VAW7" s="59"/>
      <c r="VAX7" s="59"/>
      <c r="VAY7" s="59"/>
      <c r="VAZ7" s="59"/>
      <c r="VBA7" s="59"/>
      <c r="VBB7" s="59"/>
      <c r="VBC7" s="59"/>
      <c r="VBD7" s="59"/>
      <c r="VBE7" s="59"/>
      <c r="VBF7" s="59"/>
      <c r="VBG7" s="59"/>
      <c r="VBH7" s="59"/>
      <c r="VBI7" s="59"/>
      <c r="VBJ7" s="59"/>
      <c r="VBK7" s="59"/>
      <c r="VBL7" s="59"/>
      <c r="VBM7" s="59"/>
      <c r="VBN7" s="59"/>
      <c r="VBO7" s="59"/>
      <c r="VBP7" s="59"/>
      <c r="VBQ7" s="59"/>
      <c r="VBR7" s="59"/>
      <c r="VBS7" s="59"/>
      <c r="VBT7" s="59"/>
      <c r="VBU7" s="59"/>
      <c r="VBV7" s="59"/>
      <c r="VBW7" s="59"/>
      <c r="VBX7" s="59"/>
      <c r="VBY7" s="59"/>
      <c r="VBZ7" s="59"/>
      <c r="VCA7" s="59"/>
      <c r="VCB7" s="59"/>
      <c r="VCC7" s="59"/>
      <c r="VCD7" s="59"/>
      <c r="VCE7" s="59"/>
      <c r="VCF7" s="59"/>
      <c r="VCG7" s="59"/>
      <c r="VCH7" s="59"/>
      <c r="VCI7" s="59"/>
      <c r="VCJ7" s="59"/>
      <c r="VCK7" s="59"/>
      <c r="VCL7" s="59"/>
      <c r="VCM7" s="59"/>
      <c r="VCN7" s="59"/>
      <c r="VCO7" s="59"/>
      <c r="VCP7" s="59"/>
      <c r="VCQ7" s="59"/>
      <c r="VCR7" s="59"/>
      <c r="VCS7" s="59"/>
      <c r="VCT7" s="59"/>
      <c r="VCU7" s="59"/>
      <c r="VCV7" s="59"/>
      <c r="VCW7" s="59"/>
      <c r="VCX7" s="59"/>
      <c r="VCY7" s="59"/>
      <c r="VCZ7" s="59"/>
      <c r="VDA7" s="59"/>
      <c r="VDB7" s="59"/>
      <c r="VDC7" s="59"/>
      <c r="VDD7" s="59"/>
      <c r="VDE7" s="59"/>
      <c r="VDF7" s="59"/>
      <c r="VDG7" s="59"/>
      <c r="VDH7" s="59"/>
      <c r="VDI7" s="59"/>
      <c r="VDJ7" s="59"/>
      <c r="VDK7" s="59"/>
      <c r="VDL7" s="59"/>
      <c r="VDM7" s="59"/>
      <c r="VDN7" s="59"/>
      <c r="VDO7" s="59"/>
      <c r="VDP7" s="59"/>
      <c r="VDQ7" s="59"/>
      <c r="VDR7" s="59"/>
      <c r="VDS7" s="59"/>
      <c r="VDT7" s="59"/>
      <c r="VDU7" s="59"/>
      <c r="VDV7" s="59"/>
      <c r="VDW7" s="59"/>
      <c r="VDX7" s="59"/>
      <c r="VDY7" s="59"/>
      <c r="VDZ7" s="59"/>
      <c r="VEA7" s="59"/>
      <c r="VEB7" s="59"/>
      <c r="VEC7" s="59"/>
      <c r="VED7" s="59"/>
      <c r="VEE7" s="59"/>
      <c r="VEF7" s="59"/>
      <c r="VEG7" s="59"/>
      <c r="VEH7" s="59"/>
      <c r="VEI7" s="59"/>
      <c r="VEJ7" s="59"/>
      <c r="VEK7" s="59"/>
      <c r="VEL7" s="59"/>
      <c r="VEM7" s="59"/>
      <c r="VEN7" s="59"/>
      <c r="VEO7" s="59"/>
      <c r="VEP7" s="59"/>
      <c r="VEQ7" s="59"/>
      <c r="VER7" s="59"/>
      <c r="VES7" s="59"/>
      <c r="VET7" s="59"/>
      <c r="VEU7" s="59"/>
      <c r="VEV7" s="59"/>
      <c r="VEW7" s="59"/>
      <c r="VEX7" s="59"/>
      <c r="VEY7" s="59"/>
      <c r="VEZ7" s="59"/>
      <c r="VFA7" s="59"/>
      <c r="VFB7" s="59"/>
      <c r="VFC7" s="59"/>
      <c r="VFD7" s="59"/>
      <c r="VFE7" s="59"/>
      <c r="VFF7" s="59"/>
      <c r="VFG7" s="59"/>
      <c r="VFH7" s="59"/>
      <c r="VFI7" s="59"/>
      <c r="VFJ7" s="59"/>
      <c r="VFK7" s="59"/>
      <c r="VFL7" s="59"/>
      <c r="VFM7" s="59"/>
      <c r="VFN7" s="59"/>
      <c r="VFO7" s="59"/>
      <c r="VFP7" s="59"/>
      <c r="VFQ7" s="59"/>
      <c r="VFR7" s="59"/>
      <c r="VFS7" s="59"/>
      <c r="VFT7" s="59"/>
      <c r="VFU7" s="59"/>
      <c r="VFV7" s="59"/>
      <c r="VFW7" s="59"/>
      <c r="VFX7" s="59"/>
      <c r="VFY7" s="59"/>
      <c r="VFZ7" s="59"/>
      <c r="VGA7" s="59"/>
      <c r="VGB7" s="59"/>
      <c r="VGC7" s="59"/>
      <c r="VGD7" s="59"/>
      <c r="VGE7" s="59"/>
      <c r="VGF7" s="59"/>
      <c r="VGG7" s="59"/>
      <c r="VGH7" s="59"/>
      <c r="VGI7" s="59"/>
      <c r="VGJ7" s="59"/>
      <c r="VGK7" s="59"/>
      <c r="VGL7" s="59"/>
      <c r="VGM7" s="59"/>
      <c r="VGN7" s="59"/>
      <c r="VGO7" s="59"/>
      <c r="VGP7" s="59"/>
      <c r="VGQ7" s="59"/>
      <c r="VGR7" s="59"/>
      <c r="VGS7" s="59"/>
      <c r="VGT7" s="59"/>
      <c r="VGU7" s="59"/>
      <c r="VGV7" s="59"/>
      <c r="VGW7" s="59"/>
      <c r="VGX7" s="59"/>
      <c r="VGY7" s="59"/>
      <c r="VGZ7" s="59"/>
      <c r="VHA7" s="59"/>
      <c r="VHB7" s="59"/>
      <c r="VHC7" s="59"/>
      <c r="VHD7" s="59"/>
      <c r="VHE7" s="59"/>
      <c r="VHF7" s="59"/>
      <c r="VHG7" s="59"/>
      <c r="VHH7" s="59"/>
      <c r="VHI7" s="59"/>
      <c r="VHJ7" s="59"/>
      <c r="VHK7" s="59"/>
      <c r="VHL7" s="59"/>
      <c r="VHM7" s="59"/>
      <c r="VHN7" s="59"/>
      <c r="VHO7" s="59"/>
      <c r="VHP7" s="59"/>
      <c r="VHQ7" s="59"/>
      <c r="VHR7" s="59"/>
      <c r="VHS7" s="59"/>
      <c r="VHT7" s="59"/>
      <c r="VHU7" s="59"/>
      <c r="VHV7" s="59"/>
      <c r="VHW7" s="59"/>
      <c r="VHX7" s="59"/>
      <c r="VHY7" s="59"/>
      <c r="VHZ7" s="59"/>
      <c r="VIA7" s="59"/>
      <c r="VIB7" s="59"/>
      <c r="VIC7" s="59"/>
      <c r="VID7" s="59"/>
      <c r="VIE7" s="59"/>
      <c r="VIF7" s="59"/>
      <c r="VIG7" s="59"/>
      <c r="VIH7" s="59"/>
      <c r="VII7" s="59"/>
      <c r="VIJ7" s="59"/>
      <c r="VIK7" s="59"/>
      <c r="VIL7" s="59"/>
      <c r="VIM7" s="59"/>
      <c r="VIN7" s="59"/>
      <c r="VIO7" s="59"/>
      <c r="VIP7" s="59"/>
      <c r="VIQ7" s="59"/>
      <c r="VIR7" s="59"/>
      <c r="VIS7" s="59"/>
      <c r="VIT7" s="59"/>
      <c r="VIU7" s="59"/>
      <c r="VIV7" s="59"/>
      <c r="VIW7" s="59"/>
      <c r="VIX7" s="59"/>
      <c r="VIY7" s="59"/>
      <c r="VIZ7" s="59"/>
      <c r="VJA7" s="59"/>
      <c r="VJB7" s="59"/>
      <c r="VJC7" s="59"/>
      <c r="VJD7" s="59"/>
      <c r="VJE7" s="59"/>
      <c r="VJF7" s="59"/>
      <c r="VJG7" s="59"/>
      <c r="VJH7" s="59"/>
      <c r="VJI7" s="59"/>
      <c r="VJJ7" s="59"/>
      <c r="VJK7" s="59"/>
      <c r="VJL7" s="59"/>
      <c r="VJM7" s="59"/>
      <c r="VJN7" s="59"/>
      <c r="VJO7" s="59"/>
      <c r="VJP7" s="59"/>
      <c r="VJQ7" s="59"/>
      <c r="VJR7" s="59"/>
      <c r="VJS7" s="59"/>
      <c r="VJT7" s="59"/>
      <c r="VJU7" s="59"/>
      <c r="VJV7" s="59"/>
      <c r="VJW7" s="59"/>
      <c r="VJX7" s="59"/>
      <c r="VJY7" s="59"/>
      <c r="VJZ7" s="59"/>
      <c r="VKA7" s="59"/>
      <c r="VKB7" s="59"/>
      <c r="VKC7" s="59"/>
      <c r="VKD7" s="59"/>
      <c r="VKE7" s="59"/>
      <c r="VKF7" s="59"/>
      <c r="VKG7" s="59"/>
      <c r="VKH7" s="59"/>
      <c r="VKI7" s="59"/>
      <c r="VKJ7" s="59"/>
      <c r="VKK7" s="59"/>
      <c r="VKL7" s="59"/>
      <c r="VKM7" s="59"/>
      <c r="VKN7" s="59"/>
      <c r="VKO7" s="59"/>
      <c r="VKP7" s="59"/>
      <c r="VKQ7" s="59"/>
      <c r="VKR7" s="59"/>
      <c r="VKS7" s="59"/>
      <c r="VKT7" s="59"/>
      <c r="VKU7" s="59"/>
      <c r="VKV7" s="59"/>
      <c r="VKW7" s="59"/>
      <c r="VKX7" s="59"/>
      <c r="VKY7" s="59"/>
      <c r="VKZ7" s="59"/>
      <c r="VLA7" s="59"/>
      <c r="VLB7" s="59"/>
      <c r="VLC7" s="59"/>
      <c r="VLD7" s="59"/>
      <c r="VLE7" s="59"/>
      <c r="VLF7" s="59"/>
      <c r="VLG7" s="59"/>
      <c r="VLH7" s="59"/>
      <c r="VLI7" s="59"/>
      <c r="VLJ7" s="59"/>
      <c r="VLK7" s="59"/>
      <c r="VLL7" s="59"/>
      <c r="VLM7" s="59"/>
      <c r="VLN7" s="59"/>
      <c r="VLO7" s="59"/>
      <c r="VLP7" s="59"/>
      <c r="VLQ7" s="59"/>
      <c r="VLR7" s="59"/>
      <c r="VLS7" s="59"/>
      <c r="VLT7" s="59"/>
      <c r="VLU7" s="59"/>
      <c r="VLV7" s="59"/>
      <c r="VLW7" s="59"/>
      <c r="VLX7" s="59"/>
      <c r="VLY7" s="59"/>
      <c r="VLZ7" s="59"/>
      <c r="VMA7" s="59"/>
      <c r="VMB7" s="59"/>
      <c r="VMC7" s="59"/>
      <c r="VMD7" s="59"/>
      <c r="VME7" s="59"/>
      <c r="VMF7" s="59"/>
      <c r="VMG7" s="59"/>
      <c r="VMH7" s="59"/>
      <c r="VMI7" s="59"/>
      <c r="VMJ7" s="59"/>
      <c r="VMK7" s="59"/>
      <c r="VML7" s="59"/>
      <c r="VMM7" s="59"/>
      <c r="VMN7" s="59"/>
      <c r="VMO7" s="59"/>
      <c r="VMP7" s="59"/>
      <c r="VMQ7" s="59"/>
      <c r="VMR7" s="59"/>
      <c r="VMS7" s="59"/>
      <c r="VMT7" s="59"/>
      <c r="VMU7" s="59"/>
      <c r="VMV7" s="59"/>
      <c r="VMW7" s="59"/>
      <c r="VMX7" s="59"/>
      <c r="VMY7" s="59"/>
      <c r="VMZ7" s="59"/>
      <c r="VNA7" s="59"/>
      <c r="VNB7" s="59"/>
      <c r="VNC7" s="59"/>
      <c r="VND7" s="59"/>
      <c r="VNE7" s="59"/>
      <c r="VNF7" s="59"/>
      <c r="VNG7" s="59"/>
      <c r="VNH7" s="59"/>
      <c r="VNI7" s="59"/>
      <c r="VNJ7" s="59"/>
      <c r="VNK7" s="59"/>
      <c r="VNL7" s="59"/>
      <c r="VNM7" s="59"/>
      <c r="VNN7" s="59"/>
      <c r="VNO7" s="59"/>
      <c r="VNP7" s="59"/>
      <c r="VNQ7" s="59"/>
      <c r="VNR7" s="59"/>
      <c r="VNS7" s="59"/>
      <c r="VNT7" s="59"/>
      <c r="VNU7" s="59"/>
      <c r="VNV7" s="59"/>
      <c r="VNW7" s="59"/>
      <c r="VNX7" s="59"/>
      <c r="VNY7" s="59"/>
      <c r="VNZ7" s="59"/>
      <c r="VOA7" s="59"/>
      <c r="VOB7" s="59"/>
      <c r="VOC7" s="59"/>
      <c r="VOD7" s="59"/>
      <c r="VOE7" s="59"/>
      <c r="VOF7" s="59"/>
      <c r="VOG7" s="59"/>
      <c r="VOH7" s="59"/>
      <c r="VOI7" s="59"/>
      <c r="VOJ7" s="59"/>
      <c r="VOK7" s="59"/>
      <c r="VOL7" s="59"/>
      <c r="VOM7" s="59"/>
      <c r="VON7" s="59"/>
      <c r="VOO7" s="59"/>
      <c r="VOP7" s="59"/>
      <c r="VOQ7" s="59"/>
      <c r="VOR7" s="59"/>
      <c r="VOS7" s="59"/>
      <c r="VOT7" s="59"/>
      <c r="VOU7" s="59"/>
      <c r="VOV7" s="59"/>
      <c r="VOW7" s="59"/>
      <c r="VOX7" s="59"/>
      <c r="VOY7" s="59"/>
      <c r="VOZ7" s="59"/>
      <c r="VPA7" s="59"/>
      <c r="VPB7" s="59"/>
      <c r="VPC7" s="59"/>
      <c r="VPD7" s="59"/>
      <c r="VPE7" s="59"/>
      <c r="VPF7" s="59"/>
      <c r="VPG7" s="59"/>
      <c r="VPH7" s="59"/>
      <c r="VPI7" s="59"/>
      <c r="VPJ7" s="59"/>
      <c r="VPK7" s="59"/>
      <c r="VPL7" s="59"/>
      <c r="VPM7" s="59"/>
      <c r="VPN7" s="59"/>
      <c r="VPO7" s="59"/>
      <c r="VPP7" s="59"/>
      <c r="VPQ7" s="59"/>
      <c r="VPR7" s="59"/>
      <c r="VPS7" s="59"/>
      <c r="VPT7" s="59"/>
      <c r="VPU7" s="59"/>
      <c r="VPV7" s="59"/>
      <c r="VPW7" s="59"/>
      <c r="VPX7" s="59"/>
      <c r="VPY7" s="59"/>
      <c r="VPZ7" s="59"/>
      <c r="VQA7" s="59"/>
      <c r="VQB7" s="59"/>
      <c r="VQC7" s="59"/>
      <c r="VQD7" s="59"/>
      <c r="VQE7" s="59"/>
      <c r="VQF7" s="59"/>
      <c r="VQG7" s="59"/>
      <c r="VQH7" s="59"/>
      <c r="VQI7" s="59"/>
      <c r="VQJ7" s="59"/>
      <c r="VQK7" s="59"/>
      <c r="VQL7" s="59"/>
      <c r="VQM7" s="59"/>
      <c r="VQN7" s="59"/>
      <c r="VQO7" s="59"/>
      <c r="VQP7" s="59"/>
      <c r="VQQ7" s="59"/>
      <c r="VQR7" s="59"/>
      <c r="VQS7" s="59"/>
      <c r="VQT7" s="59"/>
      <c r="VQU7" s="59"/>
      <c r="VQV7" s="59"/>
      <c r="VQW7" s="59"/>
      <c r="VQX7" s="59"/>
      <c r="VQY7" s="59"/>
      <c r="VQZ7" s="59"/>
      <c r="VRA7" s="59"/>
      <c r="VRB7" s="59"/>
      <c r="VRC7" s="59"/>
      <c r="VRD7" s="59"/>
      <c r="VRE7" s="59"/>
      <c r="VRF7" s="59"/>
      <c r="VRG7" s="59"/>
      <c r="VRH7" s="59"/>
      <c r="VRI7" s="59"/>
      <c r="VRJ7" s="59"/>
      <c r="VRK7" s="59"/>
      <c r="VRL7" s="59"/>
      <c r="VRM7" s="59"/>
      <c r="VRN7" s="59"/>
      <c r="VRO7" s="59"/>
      <c r="VRP7" s="59"/>
      <c r="VRQ7" s="59"/>
      <c r="VRR7" s="59"/>
      <c r="VRS7" s="59"/>
      <c r="VRT7" s="59"/>
      <c r="VRU7" s="59"/>
      <c r="VRV7" s="59"/>
      <c r="VRW7" s="59"/>
      <c r="VRX7" s="59"/>
      <c r="VRY7" s="59"/>
      <c r="VRZ7" s="59"/>
      <c r="VSA7" s="59"/>
      <c r="VSB7" s="59"/>
      <c r="VSC7" s="59"/>
      <c r="VSD7" s="59"/>
      <c r="VSE7" s="59"/>
      <c r="VSF7" s="59"/>
      <c r="VSG7" s="59"/>
      <c r="VSH7" s="59"/>
      <c r="VSI7" s="59"/>
      <c r="VSJ7" s="59"/>
      <c r="VSK7" s="59"/>
      <c r="VSL7" s="59"/>
      <c r="VSM7" s="59"/>
      <c r="VSN7" s="59"/>
      <c r="VSO7" s="59"/>
      <c r="VSP7" s="59"/>
      <c r="VSQ7" s="59"/>
      <c r="VSR7" s="59"/>
      <c r="VSS7" s="59"/>
      <c r="VST7" s="59"/>
      <c r="VSU7" s="59"/>
      <c r="VSV7" s="59"/>
      <c r="VSW7" s="59"/>
      <c r="VSX7" s="59"/>
      <c r="VSY7" s="59"/>
      <c r="VSZ7" s="59"/>
      <c r="VTA7" s="59"/>
      <c r="VTB7" s="59"/>
      <c r="VTC7" s="59"/>
      <c r="VTD7" s="59"/>
      <c r="VTE7" s="59"/>
      <c r="VTF7" s="59"/>
      <c r="VTG7" s="59"/>
      <c r="VTH7" s="59"/>
      <c r="VTI7" s="59"/>
      <c r="VTJ7" s="59"/>
      <c r="VTK7" s="59"/>
      <c r="VTL7" s="59"/>
      <c r="VTM7" s="59"/>
      <c r="VTN7" s="59"/>
      <c r="VTO7" s="59"/>
      <c r="VTP7" s="59"/>
      <c r="VTQ7" s="59"/>
      <c r="VTR7" s="59"/>
      <c r="VTS7" s="59"/>
      <c r="VTT7" s="59"/>
      <c r="VTU7" s="59"/>
      <c r="VTV7" s="59"/>
      <c r="VTW7" s="59"/>
      <c r="VTX7" s="59"/>
      <c r="VTY7" s="59"/>
      <c r="VTZ7" s="59"/>
      <c r="VUA7" s="59"/>
      <c r="VUB7" s="59"/>
      <c r="VUC7" s="59"/>
      <c r="VUD7" s="59"/>
      <c r="VUE7" s="59"/>
      <c r="VUF7" s="59"/>
      <c r="VUG7" s="59"/>
      <c r="VUH7" s="59"/>
      <c r="VUI7" s="59"/>
      <c r="VUJ7" s="59"/>
      <c r="VUK7" s="59"/>
      <c r="VUL7" s="59"/>
      <c r="VUM7" s="59"/>
      <c r="VUN7" s="59"/>
      <c r="VUO7" s="59"/>
      <c r="VUP7" s="59"/>
      <c r="VUQ7" s="59"/>
      <c r="VUR7" s="59"/>
      <c r="VUS7" s="59"/>
      <c r="VUT7" s="59"/>
      <c r="VUU7" s="59"/>
      <c r="VUV7" s="59"/>
      <c r="VUW7" s="59"/>
      <c r="VUX7" s="59"/>
      <c r="VUY7" s="59"/>
      <c r="VUZ7" s="59"/>
      <c r="VVA7" s="59"/>
      <c r="VVB7" s="59"/>
      <c r="VVC7" s="59"/>
      <c r="VVD7" s="59"/>
      <c r="VVE7" s="59"/>
      <c r="VVF7" s="59"/>
      <c r="VVG7" s="59"/>
      <c r="VVH7" s="59"/>
      <c r="VVI7" s="59"/>
      <c r="VVJ7" s="59"/>
      <c r="VVK7" s="59"/>
      <c r="VVL7" s="59"/>
      <c r="VVM7" s="59"/>
      <c r="VVN7" s="59"/>
      <c r="VVO7" s="59"/>
      <c r="VVP7" s="59"/>
      <c r="VVQ7" s="59"/>
      <c r="VVR7" s="59"/>
      <c r="VVS7" s="59"/>
      <c r="VVT7" s="59"/>
      <c r="VVU7" s="59"/>
      <c r="VVV7" s="59"/>
      <c r="VVW7" s="59"/>
      <c r="VVX7" s="59"/>
      <c r="VVY7" s="59"/>
      <c r="VVZ7" s="59"/>
      <c r="VWA7" s="59"/>
      <c r="VWB7" s="59"/>
      <c r="VWC7" s="59"/>
      <c r="VWD7" s="59"/>
      <c r="VWE7" s="59"/>
      <c r="VWF7" s="59"/>
      <c r="VWG7" s="59"/>
      <c r="VWH7" s="59"/>
      <c r="VWI7" s="59"/>
      <c r="VWJ7" s="59"/>
      <c r="VWK7" s="59"/>
      <c r="VWL7" s="59"/>
      <c r="VWM7" s="59"/>
      <c r="VWN7" s="59"/>
      <c r="VWO7" s="59"/>
      <c r="VWP7" s="59"/>
      <c r="VWQ7" s="59"/>
      <c r="VWR7" s="59"/>
      <c r="VWS7" s="59"/>
      <c r="VWT7" s="59"/>
      <c r="VWU7" s="59"/>
      <c r="VWV7" s="59"/>
      <c r="VWW7" s="59"/>
      <c r="VWX7" s="59"/>
      <c r="VWY7" s="59"/>
      <c r="VWZ7" s="59"/>
      <c r="VXA7" s="59"/>
      <c r="VXB7" s="59"/>
      <c r="VXC7" s="59"/>
      <c r="VXD7" s="59"/>
      <c r="VXE7" s="59"/>
      <c r="VXF7" s="59"/>
      <c r="VXG7" s="59"/>
      <c r="VXH7" s="59"/>
      <c r="VXI7" s="59"/>
      <c r="VXJ7" s="59"/>
      <c r="VXK7" s="59"/>
      <c r="VXL7" s="59"/>
      <c r="VXM7" s="59"/>
      <c r="VXN7" s="59"/>
      <c r="VXO7" s="59"/>
      <c r="VXP7" s="59"/>
      <c r="VXQ7" s="59"/>
      <c r="VXR7" s="59"/>
      <c r="VXS7" s="59"/>
      <c r="VXT7" s="59"/>
      <c r="VXU7" s="59"/>
      <c r="VXV7" s="59"/>
      <c r="VXW7" s="59"/>
      <c r="VXX7" s="59"/>
      <c r="VXY7" s="59"/>
      <c r="VXZ7" s="59"/>
      <c r="VYA7" s="59"/>
      <c r="VYB7" s="59"/>
      <c r="VYC7" s="59"/>
      <c r="VYD7" s="59"/>
      <c r="VYE7" s="59"/>
      <c r="VYF7" s="59"/>
      <c r="VYG7" s="59"/>
      <c r="VYH7" s="59"/>
      <c r="VYI7" s="59"/>
      <c r="VYJ7" s="59"/>
      <c r="VYK7" s="59"/>
      <c r="VYL7" s="59"/>
      <c r="VYM7" s="59"/>
      <c r="VYN7" s="59"/>
      <c r="VYO7" s="59"/>
      <c r="VYP7" s="59"/>
      <c r="VYQ7" s="59"/>
      <c r="VYR7" s="59"/>
      <c r="VYS7" s="59"/>
      <c r="VYT7" s="59"/>
      <c r="VYU7" s="59"/>
      <c r="VYV7" s="59"/>
      <c r="VYW7" s="59"/>
      <c r="VYX7" s="59"/>
      <c r="VYY7" s="59"/>
      <c r="VYZ7" s="59"/>
      <c r="VZA7" s="59"/>
      <c r="VZB7" s="59"/>
      <c r="VZC7" s="59"/>
      <c r="VZD7" s="59"/>
      <c r="VZE7" s="59"/>
      <c r="VZF7" s="59"/>
      <c r="VZG7" s="59"/>
      <c r="VZH7" s="59"/>
      <c r="VZI7" s="59"/>
      <c r="VZJ7" s="59"/>
      <c r="VZK7" s="59"/>
      <c r="VZL7" s="59"/>
      <c r="VZM7" s="59"/>
      <c r="VZN7" s="59"/>
      <c r="VZO7" s="59"/>
      <c r="VZP7" s="59"/>
      <c r="VZQ7" s="59"/>
      <c r="VZR7" s="59"/>
      <c r="VZS7" s="59"/>
      <c r="VZT7" s="59"/>
      <c r="VZU7" s="59"/>
      <c r="VZV7" s="59"/>
      <c r="VZW7" s="59"/>
      <c r="VZX7" s="59"/>
      <c r="VZY7" s="59"/>
      <c r="VZZ7" s="59"/>
      <c r="WAA7" s="59"/>
      <c r="WAB7" s="59"/>
      <c r="WAC7" s="59"/>
      <c r="WAD7" s="59"/>
      <c r="WAE7" s="59"/>
      <c r="WAF7" s="59"/>
      <c r="WAG7" s="59"/>
      <c r="WAH7" s="59"/>
      <c r="WAI7" s="59"/>
      <c r="WAJ7" s="59"/>
      <c r="WAK7" s="59"/>
      <c r="WAL7" s="59"/>
      <c r="WAM7" s="59"/>
      <c r="WAN7" s="59"/>
      <c r="WAO7" s="59"/>
      <c r="WAP7" s="59"/>
      <c r="WAQ7" s="59"/>
      <c r="WAR7" s="59"/>
      <c r="WAS7" s="59"/>
      <c r="WAT7" s="59"/>
      <c r="WAU7" s="59"/>
      <c r="WAV7" s="59"/>
      <c r="WAW7" s="59"/>
      <c r="WAX7" s="59"/>
      <c r="WAY7" s="59"/>
      <c r="WAZ7" s="59"/>
      <c r="WBA7" s="59"/>
      <c r="WBB7" s="59"/>
      <c r="WBC7" s="59"/>
      <c r="WBD7" s="59"/>
      <c r="WBE7" s="59"/>
      <c r="WBF7" s="59"/>
      <c r="WBG7" s="59"/>
      <c r="WBH7" s="59"/>
      <c r="WBI7" s="59"/>
      <c r="WBJ7" s="59"/>
      <c r="WBK7" s="59"/>
      <c r="WBL7" s="59"/>
      <c r="WBM7" s="59"/>
      <c r="WBN7" s="59"/>
      <c r="WBO7" s="59"/>
      <c r="WBP7" s="59"/>
      <c r="WBQ7" s="59"/>
      <c r="WBR7" s="59"/>
      <c r="WBS7" s="59"/>
      <c r="WBT7" s="59"/>
      <c r="WBU7" s="59"/>
      <c r="WBV7" s="59"/>
      <c r="WBW7" s="59"/>
      <c r="WBX7" s="59"/>
      <c r="WBY7" s="59"/>
      <c r="WBZ7" s="59"/>
      <c r="WCA7" s="59"/>
      <c r="WCB7" s="59"/>
      <c r="WCC7" s="59"/>
      <c r="WCD7" s="59"/>
      <c r="WCE7" s="59"/>
      <c r="WCF7" s="59"/>
      <c r="WCG7" s="59"/>
      <c r="WCH7" s="59"/>
      <c r="WCI7" s="59"/>
      <c r="WCJ7" s="59"/>
      <c r="WCK7" s="59"/>
      <c r="WCL7" s="59"/>
      <c r="WCM7" s="59"/>
      <c r="WCN7" s="59"/>
      <c r="WCO7" s="59"/>
      <c r="WCP7" s="59"/>
      <c r="WCQ7" s="59"/>
      <c r="WCR7" s="59"/>
      <c r="WCS7" s="59"/>
      <c r="WCT7" s="59"/>
      <c r="WCU7" s="59"/>
      <c r="WCV7" s="59"/>
      <c r="WCW7" s="59"/>
      <c r="WCX7" s="59"/>
      <c r="WCY7" s="59"/>
      <c r="WCZ7" s="59"/>
      <c r="WDA7" s="59"/>
      <c r="WDB7" s="59"/>
      <c r="WDC7" s="59"/>
      <c r="WDD7" s="59"/>
      <c r="WDE7" s="59"/>
      <c r="WDF7" s="59"/>
      <c r="WDG7" s="59"/>
      <c r="WDH7" s="59"/>
      <c r="WDI7" s="59"/>
      <c r="WDJ7" s="59"/>
      <c r="WDK7" s="59"/>
      <c r="WDL7" s="59"/>
      <c r="WDM7" s="59"/>
      <c r="WDN7" s="59"/>
      <c r="WDO7" s="59"/>
      <c r="WDP7" s="59"/>
      <c r="WDQ7" s="59"/>
      <c r="WDR7" s="59"/>
      <c r="WDS7" s="59"/>
      <c r="WDT7" s="59"/>
      <c r="WDU7" s="59"/>
      <c r="WDV7" s="59"/>
      <c r="WDW7" s="59"/>
      <c r="WDX7" s="59"/>
      <c r="WDY7" s="59"/>
      <c r="WDZ7" s="59"/>
      <c r="WEA7" s="59"/>
      <c r="WEB7" s="59"/>
      <c r="WEC7" s="59"/>
      <c r="WED7" s="59"/>
      <c r="WEE7" s="59"/>
      <c r="WEF7" s="59"/>
      <c r="WEG7" s="59"/>
      <c r="WEH7" s="59"/>
      <c r="WEI7" s="59"/>
      <c r="WEJ7" s="59"/>
      <c r="WEK7" s="59"/>
      <c r="WEL7" s="59"/>
      <c r="WEM7" s="59"/>
      <c r="WEN7" s="59"/>
      <c r="WEO7" s="59"/>
      <c r="WEP7" s="59"/>
      <c r="WEQ7" s="59"/>
      <c r="WER7" s="59"/>
      <c r="WES7" s="59"/>
      <c r="WET7" s="59"/>
      <c r="WEU7" s="59"/>
      <c r="WEV7" s="59"/>
      <c r="WEW7" s="59"/>
      <c r="WEX7" s="59"/>
      <c r="WEY7" s="59"/>
      <c r="WEZ7" s="59"/>
      <c r="WFA7" s="59"/>
      <c r="WFB7" s="59"/>
      <c r="WFC7" s="59"/>
      <c r="WFD7" s="59"/>
      <c r="WFE7" s="59"/>
      <c r="WFF7" s="59"/>
      <c r="WFG7" s="59"/>
      <c r="WFH7" s="59"/>
      <c r="WFI7" s="59"/>
      <c r="WFJ7" s="59"/>
      <c r="WFK7" s="59"/>
      <c r="WFL7" s="59"/>
      <c r="WFM7" s="59"/>
      <c r="WFN7" s="59"/>
      <c r="WFO7" s="59"/>
      <c r="WFP7" s="59"/>
      <c r="WFQ7" s="59"/>
      <c r="WFR7" s="59"/>
      <c r="WFS7" s="59"/>
      <c r="WFT7" s="59"/>
      <c r="WFU7" s="59"/>
      <c r="WFV7" s="59"/>
      <c r="WFW7" s="59"/>
      <c r="WFX7" s="59"/>
      <c r="WFY7" s="59"/>
      <c r="WFZ7" s="59"/>
      <c r="WGA7" s="59"/>
      <c r="WGB7" s="59"/>
      <c r="WGC7" s="59"/>
      <c r="WGD7" s="59"/>
      <c r="WGE7" s="59"/>
      <c r="WGF7" s="59"/>
      <c r="WGG7" s="59"/>
      <c r="WGH7" s="59"/>
      <c r="WGI7" s="59"/>
      <c r="WGJ7" s="59"/>
      <c r="WGK7" s="59"/>
      <c r="WGL7" s="59"/>
      <c r="WGM7" s="59"/>
      <c r="WGN7" s="59"/>
      <c r="WGO7" s="59"/>
      <c r="WGP7" s="59"/>
      <c r="WGQ7" s="59"/>
      <c r="WGR7" s="59"/>
      <c r="WGS7" s="59"/>
      <c r="WGT7" s="59"/>
      <c r="WGU7" s="59"/>
      <c r="WGV7" s="59"/>
      <c r="WGW7" s="59"/>
      <c r="WGX7" s="59"/>
      <c r="WGY7" s="59"/>
      <c r="WGZ7" s="59"/>
      <c r="WHA7" s="59"/>
      <c r="WHB7" s="59"/>
      <c r="WHC7" s="59"/>
      <c r="WHD7" s="59"/>
      <c r="WHE7" s="59"/>
      <c r="WHF7" s="59"/>
      <c r="WHG7" s="59"/>
      <c r="WHH7" s="59"/>
      <c r="WHI7" s="59"/>
      <c r="WHJ7" s="59"/>
      <c r="WHK7" s="59"/>
      <c r="WHL7" s="59"/>
      <c r="WHM7" s="59"/>
      <c r="WHN7" s="59"/>
      <c r="WHO7" s="59"/>
      <c r="WHP7" s="59"/>
      <c r="WHQ7" s="59"/>
      <c r="WHR7" s="59"/>
      <c r="WHS7" s="59"/>
      <c r="WHT7" s="59"/>
      <c r="WHU7" s="59"/>
      <c r="WHV7" s="59"/>
      <c r="WHW7" s="59"/>
      <c r="WHX7" s="59"/>
      <c r="WHY7" s="59"/>
      <c r="WHZ7" s="59"/>
      <c r="WIA7" s="59"/>
      <c r="WIB7" s="59"/>
      <c r="WIC7" s="59"/>
      <c r="WID7" s="59"/>
      <c r="WIE7" s="59"/>
      <c r="WIF7" s="59"/>
      <c r="WIG7" s="59"/>
      <c r="WIH7" s="59"/>
      <c r="WII7" s="59"/>
      <c r="WIJ7" s="59"/>
      <c r="WIK7" s="59"/>
      <c r="WIL7" s="59"/>
      <c r="WIM7" s="59"/>
      <c r="WIN7" s="59"/>
      <c r="WIO7" s="59"/>
      <c r="WIP7" s="59"/>
      <c r="WIQ7" s="59"/>
      <c r="WIR7" s="59"/>
      <c r="WIS7" s="59"/>
      <c r="WIT7" s="59"/>
      <c r="WIU7" s="59"/>
      <c r="WIV7" s="59"/>
      <c r="WIW7" s="59"/>
      <c r="WIX7" s="59"/>
      <c r="WIY7" s="59"/>
      <c r="WIZ7" s="59"/>
      <c r="WJA7" s="59"/>
      <c r="WJB7" s="59"/>
      <c r="WJC7" s="59"/>
      <c r="WJD7" s="59"/>
      <c r="WJE7" s="59"/>
      <c r="WJF7" s="59"/>
      <c r="WJG7" s="59"/>
      <c r="WJH7" s="59"/>
      <c r="WJI7" s="59"/>
      <c r="WJJ7" s="59"/>
      <c r="WJK7" s="59"/>
      <c r="WJL7" s="59"/>
      <c r="WJM7" s="59"/>
      <c r="WJN7" s="59"/>
      <c r="WJO7" s="59"/>
      <c r="WJP7" s="59"/>
      <c r="WJQ7" s="59"/>
      <c r="WJR7" s="59"/>
      <c r="WJS7" s="59"/>
      <c r="WJT7" s="59"/>
      <c r="WJU7" s="59"/>
      <c r="WJV7" s="59"/>
      <c r="WJW7" s="59"/>
      <c r="WJX7" s="59"/>
      <c r="WJY7" s="59"/>
      <c r="WJZ7" s="59"/>
      <c r="WKA7" s="59"/>
      <c r="WKB7" s="59"/>
      <c r="WKC7" s="59"/>
      <c r="WKD7" s="59"/>
      <c r="WKE7" s="59"/>
      <c r="WKF7" s="59"/>
      <c r="WKG7" s="59"/>
      <c r="WKH7" s="59"/>
      <c r="WKI7" s="59"/>
      <c r="WKJ7" s="59"/>
      <c r="WKK7" s="59"/>
      <c r="WKL7" s="59"/>
      <c r="WKM7" s="59"/>
      <c r="WKN7" s="59"/>
      <c r="WKO7" s="59"/>
      <c r="WKP7" s="59"/>
      <c r="WKQ7" s="59"/>
      <c r="WKR7" s="59"/>
      <c r="WKS7" s="59"/>
      <c r="WKT7" s="59"/>
      <c r="WKU7" s="59"/>
      <c r="WKV7" s="59"/>
      <c r="WKW7" s="59"/>
      <c r="WKX7" s="59"/>
      <c r="WKY7" s="59"/>
      <c r="WKZ7" s="59"/>
      <c r="WLA7" s="59"/>
      <c r="WLB7" s="59"/>
      <c r="WLC7" s="59"/>
      <c r="WLD7" s="59"/>
      <c r="WLE7" s="59"/>
      <c r="WLF7" s="59"/>
      <c r="WLG7" s="59"/>
      <c r="WLH7" s="59"/>
      <c r="WLI7" s="59"/>
      <c r="WLJ7" s="59"/>
      <c r="WLK7" s="59"/>
      <c r="WLL7" s="59"/>
      <c r="WLM7" s="59"/>
      <c r="WLN7" s="59"/>
      <c r="WLO7" s="59"/>
      <c r="WLP7" s="59"/>
      <c r="WLQ7" s="59"/>
      <c r="WLR7" s="59"/>
      <c r="WLS7" s="59"/>
      <c r="WLT7" s="59"/>
      <c r="WLU7" s="59"/>
      <c r="WLV7" s="59"/>
      <c r="WLW7" s="59"/>
      <c r="WLX7" s="59"/>
      <c r="WLY7" s="59"/>
      <c r="WLZ7" s="59"/>
      <c r="WMA7" s="59"/>
      <c r="WMB7" s="59"/>
      <c r="WMC7" s="59"/>
      <c r="WMD7" s="59"/>
      <c r="WME7" s="59"/>
      <c r="WMF7" s="59"/>
      <c r="WMG7" s="59"/>
      <c r="WMH7" s="59"/>
      <c r="WMI7" s="59"/>
      <c r="WMJ7" s="59"/>
      <c r="WMK7" s="59"/>
      <c r="WML7" s="59"/>
      <c r="WMM7" s="59"/>
      <c r="WMN7" s="59"/>
      <c r="WMO7" s="59"/>
      <c r="WMP7" s="59"/>
      <c r="WMQ7" s="59"/>
      <c r="WMR7" s="59"/>
      <c r="WMS7" s="59"/>
      <c r="WMT7" s="59"/>
      <c r="WMU7" s="59"/>
      <c r="WMV7" s="59"/>
      <c r="WMW7" s="59"/>
      <c r="WMX7" s="59"/>
      <c r="WMY7" s="59"/>
      <c r="WMZ7" s="59"/>
      <c r="WNA7" s="59"/>
      <c r="WNB7" s="59"/>
      <c r="WNC7" s="59"/>
      <c r="WND7" s="59"/>
      <c r="WNE7" s="59"/>
      <c r="WNF7" s="59"/>
      <c r="WNG7" s="59"/>
      <c r="WNH7" s="59"/>
      <c r="WNI7" s="59"/>
      <c r="WNJ7" s="59"/>
      <c r="WNK7" s="59"/>
      <c r="WNL7" s="59"/>
      <c r="WNM7" s="59"/>
      <c r="WNN7" s="59"/>
      <c r="WNO7" s="59"/>
      <c r="WNP7" s="59"/>
      <c r="WNQ7" s="59"/>
      <c r="WNR7" s="59"/>
      <c r="WNS7" s="59"/>
      <c r="WNT7" s="59"/>
      <c r="WNU7" s="59"/>
      <c r="WNV7" s="59"/>
      <c r="WNW7" s="59"/>
      <c r="WNX7" s="59"/>
      <c r="WNY7" s="59"/>
      <c r="WNZ7" s="59"/>
      <c r="WOA7" s="59"/>
      <c r="WOB7" s="59"/>
      <c r="WOC7" s="59"/>
      <c r="WOD7" s="59"/>
      <c r="WOE7" s="59"/>
      <c r="WOF7" s="59"/>
      <c r="WOG7" s="59"/>
      <c r="WOH7" s="59"/>
      <c r="WOI7" s="59"/>
      <c r="WOJ7" s="59"/>
      <c r="WOK7" s="59"/>
      <c r="WOL7" s="59"/>
      <c r="WOM7" s="59"/>
      <c r="WON7" s="59"/>
      <c r="WOO7" s="59"/>
      <c r="WOP7" s="59"/>
      <c r="WOQ7" s="59"/>
      <c r="WOR7" s="59"/>
      <c r="WOS7" s="59"/>
      <c r="WOT7" s="59"/>
      <c r="WOU7" s="59"/>
      <c r="WOV7" s="59"/>
      <c r="WOW7" s="59"/>
      <c r="WOX7" s="59"/>
      <c r="WOY7" s="59"/>
      <c r="WOZ7" s="59"/>
      <c r="WPA7" s="59"/>
      <c r="WPB7" s="59"/>
      <c r="WPC7" s="59"/>
      <c r="WPD7" s="59"/>
      <c r="WPE7" s="59"/>
      <c r="WPF7" s="59"/>
      <c r="WPG7" s="59"/>
      <c r="WPH7" s="59"/>
      <c r="WPI7" s="59"/>
      <c r="WPJ7" s="59"/>
      <c r="WPK7" s="59"/>
      <c r="WPL7" s="59"/>
      <c r="WPM7" s="59"/>
      <c r="WPN7" s="59"/>
      <c r="WPO7" s="59"/>
      <c r="WPP7" s="59"/>
      <c r="WPQ7" s="59"/>
      <c r="WPR7" s="59"/>
      <c r="WPS7" s="59"/>
      <c r="WPT7" s="59"/>
      <c r="WPU7" s="59"/>
      <c r="WPV7" s="59"/>
      <c r="WPW7" s="59"/>
      <c r="WPX7" s="59"/>
      <c r="WPY7" s="59"/>
      <c r="WPZ7" s="59"/>
      <c r="WQA7" s="59"/>
      <c r="WQB7" s="59"/>
      <c r="WQC7" s="59"/>
      <c r="WQD7" s="59"/>
      <c r="WQE7" s="59"/>
      <c r="WQF7" s="59"/>
      <c r="WQG7" s="59"/>
      <c r="WQH7" s="59"/>
      <c r="WQI7" s="59"/>
      <c r="WQJ7" s="59"/>
      <c r="WQK7" s="59"/>
      <c r="WQL7" s="59"/>
      <c r="WQM7" s="59"/>
      <c r="WQN7" s="59"/>
      <c r="WQO7" s="59"/>
      <c r="WQP7" s="59"/>
      <c r="WQQ7" s="59"/>
      <c r="WQR7" s="59"/>
      <c r="WQS7" s="59"/>
      <c r="WQT7" s="59"/>
      <c r="WQU7" s="59"/>
      <c r="WQV7" s="59"/>
      <c r="WQW7" s="59"/>
      <c r="WQX7" s="59"/>
      <c r="WQY7" s="59"/>
      <c r="WQZ7" s="59"/>
      <c r="WRA7" s="59"/>
      <c r="WRB7" s="59"/>
      <c r="WRC7" s="59"/>
      <c r="WRD7" s="59"/>
      <c r="WRE7" s="59"/>
      <c r="WRF7" s="59"/>
      <c r="WRG7" s="59"/>
      <c r="WRH7" s="59"/>
      <c r="WRI7" s="59"/>
      <c r="WRJ7" s="59"/>
      <c r="WRK7" s="59"/>
      <c r="WRL7" s="59"/>
      <c r="WRM7" s="59"/>
      <c r="WRN7" s="59"/>
      <c r="WRO7" s="59"/>
      <c r="WRP7" s="59"/>
      <c r="WRQ7" s="59"/>
      <c r="WRR7" s="59"/>
      <c r="WRS7" s="59"/>
      <c r="WRT7" s="59"/>
      <c r="WRU7" s="59"/>
      <c r="WRV7" s="59"/>
      <c r="WRW7" s="59"/>
      <c r="WRX7" s="59"/>
      <c r="WRY7" s="59"/>
      <c r="WRZ7" s="59"/>
      <c r="WSA7" s="59"/>
      <c r="WSB7" s="59"/>
      <c r="WSC7" s="59"/>
      <c r="WSD7" s="59"/>
      <c r="WSE7" s="59"/>
      <c r="WSF7" s="59"/>
      <c r="WSG7" s="59"/>
      <c r="WSH7" s="59"/>
      <c r="WSI7" s="59"/>
      <c r="WSJ7" s="59"/>
      <c r="WSK7" s="59"/>
      <c r="WSL7" s="59"/>
      <c r="WSM7" s="59"/>
      <c r="WSN7" s="59"/>
      <c r="WSO7" s="59"/>
      <c r="WSP7" s="59"/>
      <c r="WSQ7" s="59"/>
      <c r="WSR7" s="59"/>
      <c r="WSS7" s="59"/>
      <c r="WST7" s="59"/>
      <c r="WSU7" s="59"/>
      <c r="WSV7" s="59"/>
      <c r="WSW7" s="59"/>
      <c r="WSX7" s="59"/>
      <c r="WSY7" s="59"/>
      <c r="WSZ7" s="59"/>
      <c r="WTA7" s="59"/>
      <c r="WTB7" s="59"/>
      <c r="WTC7" s="59"/>
      <c r="WTD7" s="59"/>
      <c r="WTE7" s="59"/>
      <c r="WTF7" s="59"/>
      <c r="WTG7" s="59"/>
      <c r="WTH7" s="59"/>
      <c r="WTI7" s="59"/>
      <c r="WTJ7" s="59"/>
      <c r="WTK7" s="59"/>
      <c r="WTL7" s="59"/>
      <c r="WTM7" s="59"/>
      <c r="WTN7" s="59"/>
      <c r="WTO7" s="59"/>
      <c r="WTP7" s="59"/>
      <c r="WTQ7" s="59"/>
      <c r="WTR7" s="59"/>
      <c r="WTS7" s="59"/>
      <c r="WTT7" s="59"/>
      <c r="WTU7" s="59"/>
      <c r="WTV7" s="59"/>
      <c r="WTW7" s="59"/>
      <c r="WTX7" s="59"/>
      <c r="WTY7" s="59"/>
      <c r="WTZ7" s="59"/>
      <c r="WUA7" s="59"/>
      <c r="WUB7" s="59"/>
      <c r="WUC7" s="59"/>
      <c r="WUD7" s="59"/>
      <c r="WUE7" s="59"/>
      <c r="WUF7" s="59"/>
      <c r="WUG7" s="59"/>
      <c r="WUH7" s="59"/>
      <c r="WUI7" s="59"/>
      <c r="WUJ7" s="59"/>
      <c r="WUK7" s="59"/>
      <c r="WUL7" s="59"/>
      <c r="WUM7" s="59"/>
      <c r="WUN7" s="59"/>
      <c r="WUO7" s="59"/>
      <c r="WUP7" s="59"/>
      <c r="WUQ7" s="59"/>
      <c r="WUR7" s="59"/>
      <c r="WUS7" s="59"/>
      <c r="WUT7" s="59"/>
      <c r="WUU7" s="59"/>
      <c r="WUV7" s="59"/>
      <c r="WUW7" s="59"/>
      <c r="WUX7" s="59"/>
      <c r="WUY7" s="59"/>
      <c r="WUZ7" s="59"/>
      <c r="WVA7" s="59"/>
      <c r="WVB7" s="59"/>
      <c r="WVC7" s="59"/>
      <c r="WVD7" s="59"/>
      <c r="WVE7" s="59"/>
      <c r="WVF7" s="59"/>
      <c r="WVG7" s="59"/>
      <c r="WVH7" s="59"/>
      <c r="WVI7" s="59"/>
      <c r="WVJ7" s="59"/>
      <c r="WVK7" s="59"/>
      <c r="WVL7" s="59"/>
      <c r="WVM7" s="59"/>
      <c r="WVN7" s="59"/>
      <c r="WVO7" s="59"/>
      <c r="WVP7" s="59"/>
      <c r="WVQ7" s="59"/>
      <c r="WVR7" s="59"/>
      <c r="WVS7" s="59"/>
      <c r="WVT7" s="59"/>
      <c r="WVU7" s="59"/>
      <c r="WVV7" s="59"/>
      <c r="WVW7" s="59"/>
      <c r="WVX7" s="59"/>
      <c r="WVY7" s="59"/>
      <c r="WVZ7" s="59"/>
      <c r="WWA7" s="59"/>
      <c r="WWB7" s="59"/>
      <c r="WWC7" s="59"/>
      <c r="WWD7" s="59"/>
      <c r="WWE7" s="59"/>
      <c r="WWF7" s="59"/>
      <c r="WWG7" s="59"/>
      <c r="WWH7" s="59"/>
      <c r="WWI7" s="59"/>
      <c r="WWJ7" s="59"/>
      <c r="WWK7" s="59"/>
      <c r="WWL7" s="59"/>
      <c r="WWM7" s="59"/>
      <c r="WWN7" s="59"/>
      <c r="WWO7" s="59"/>
      <c r="WWP7" s="59"/>
      <c r="WWQ7" s="59"/>
      <c r="WWR7" s="59"/>
      <c r="WWS7" s="59"/>
      <c r="WWT7" s="59"/>
      <c r="WWU7" s="59"/>
      <c r="WWV7" s="59"/>
      <c r="WWW7" s="59"/>
      <c r="WWX7" s="59"/>
      <c r="WWY7" s="59"/>
      <c r="WWZ7" s="59"/>
      <c r="WXA7" s="59"/>
      <c r="WXB7" s="59"/>
      <c r="WXC7" s="59"/>
      <c r="WXD7" s="59"/>
      <c r="WXE7" s="59"/>
      <c r="WXF7" s="59"/>
      <c r="WXG7" s="59"/>
      <c r="WXH7" s="59"/>
      <c r="WXI7" s="59"/>
      <c r="WXJ7" s="59"/>
      <c r="WXK7" s="59"/>
      <c r="WXL7" s="59"/>
      <c r="WXM7" s="59"/>
      <c r="WXN7" s="59"/>
      <c r="WXO7" s="59"/>
      <c r="WXP7" s="59"/>
      <c r="WXQ7" s="59"/>
      <c r="WXR7" s="59"/>
      <c r="WXS7" s="59"/>
      <c r="WXT7" s="59"/>
      <c r="WXU7" s="59"/>
      <c r="WXV7" s="59"/>
      <c r="WXW7" s="59"/>
      <c r="WXX7" s="59"/>
      <c r="WXY7" s="59"/>
      <c r="WXZ7" s="59"/>
      <c r="WYA7" s="59"/>
      <c r="WYB7" s="59"/>
      <c r="WYC7" s="59"/>
      <c r="WYD7" s="59"/>
      <c r="WYE7" s="59"/>
      <c r="WYF7" s="59"/>
      <c r="WYG7" s="59"/>
      <c r="WYH7" s="59"/>
      <c r="WYI7" s="59"/>
      <c r="WYJ7" s="59"/>
      <c r="WYK7" s="59"/>
      <c r="WYL7" s="59"/>
      <c r="WYM7" s="59"/>
      <c r="WYN7" s="59"/>
      <c r="WYO7" s="59"/>
      <c r="WYP7" s="59"/>
      <c r="WYQ7" s="59"/>
      <c r="WYR7" s="59"/>
      <c r="WYS7" s="59"/>
      <c r="WYT7" s="59"/>
      <c r="WYU7" s="59"/>
      <c r="WYV7" s="59"/>
      <c r="WYW7" s="59"/>
      <c r="WYX7" s="59"/>
      <c r="WYY7" s="59"/>
      <c r="WYZ7" s="59"/>
      <c r="WZA7" s="59"/>
      <c r="WZB7" s="59"/>
      <c r="WZC7" s="59"/>
      <c r="WZD7" s="59"/>
      <c r="WZE7" s="59"/>
      <c r="WZF7" s="59"/>
      <c r="WZG7" s="59"/>
      <c r="WZH7" s="59"/>
      <c r="WZI7" s="59"/>
      <c r="WZJ7" s="59"/>
      <c r="WZK7" s="59"/>
      <c r="WZL7" s="59"/>
      <c r="WZM7" s="59"/>
      <c r="WZN7" s="59"/>
      <c r="WZO7" s="59"/>
      <c r="WZP7" s="59"/>
      <c r="WZQ7" s="59"/>
      <c r="WZR7" s="59"/>
      <c r="WZS7" s="59"/>
      <c r="WZT7" s="59"/>
      <c r="WZU7" s="59"/>
      <c r="WZV7" s="59"/>
      <c r="WZW7" s="59"/>
      <c r="WZX7" s="59"/>
      <c r="WZY7" s="59"/>
      <c r="WZZ7" s="59"/>
      <c r="XAA7" s="59"/>
      <c r="XAB7" s="59"/>
      <c r="XAC7" s="59"/>
      <c r="XAD7" s="59"/>
      <c r="XAE7" s="59"/>
      <c r="XAF7" s="59"/>
      <c r="XAG7" s="59"/>
      <c r="XAH7" s="59"/>
      <c r="XAI7" s="59"/>
      <c r="XAJ7" s="59"/>
      <c r="XAK7" s="59"/>
      <c r="XAL7" s="59"/>
      <c r="XAM7" s="59"/>
      <c r="XAN7" s="59"/>
      <c r="XAO7" s="59"/>
      <c r="XAP7" s="59"/>
      <c r="XAQ7" s="59"/>
      <c r="XAR7" s="59"/>
      <c r="XAS7" s="59"/>
      <c r="XAT7" s="59"/>
      <c r="XAU7" s="59"/>
      <c r="XAV7" s="59"/>
      <c r="XAW7" s="59"/>
      <c r="XAX7" s="59"/>
      <c r="XAY7" s="59"/>
      <c r="XAZ7" s="59"/>
      <c r="XBA7" s="59"/>
      <c r="XBB7" s="59"/>
      <c r="XBC7" s="59"/>
      <c r="XBD7" s="59"/>
      <c r="XBE7" s="59"/>
      <c r="XBF7" s="59"/>
      <c r="XBG7" s="59"/>
      <c r="XBH7" s="59"/>
      <c r="XBI7" s="59"/>
      <c r="XBJ7" s="59"/>
      <c r="XBK7" s="59"/>
      <c r="XBL7" s="59"/>
      <c r="XBM7" s="59"/>
      <c r="XBN7" s="59"/>
      <c r="XBO7" s="59"/>
      <c r="XBP7" s="59"/>
      <c r="XBQ7" s="59"/>
      <c r="XBR7" s="59"/>
      <c r="XBS7" s="59"/>
      <c r="XBT7" s="59"/>
      <c r="XBU7" s="59"/>
      <c r="XBV7" s="59"/>
      <c r="XBW7" s="59"/>
      <c r="XBX7" s="59"/>
      <c r="XBY7" s="59"/>
      <c r="XBZ7" s="59"/>
      <c r="XCA7" s="59"/>
      <c r="XCB7" s="59"/>
      <c r="XCC7" s="59"/>
      <c r="XCD7" s="59"/>
      <c r="XCE7" s="59"/>
      <c r="XCF7" s="59"/>
      <c r="XCG7" s="59"/>
      <c r="XCH7" s="59"/>
      <c r="XCI7" s="59"/>
      <c r="XCJ7" s="59"/>
      <c r="XCK7" s="59"/>
      <c r="XCL7" s="59"/>
      <c r="XCM7" s="59"/>
      <c r="XCN7" s="59"/>
      <c r="XCO7" s="59"/>
      <c r="XCP7" s="59"/>
      <c r="XCQ7" s="59"/>
      <c r="XCR7" s="59"/>
      <c r="XCS7" s="59"/>
      <c r="XCT7" s="59"/>
      <c r="XCU7" s="59"/>
      <c r="XCV7" s="59"/>
      <c r="XCW7" s="59"/>
      <c r="XCX7" s="59"/>
      <c r="XCY7" s="59"/>
      <c r="XCZ7" s="59"/>
      <c r="XDA7" s="59"/>
      <c r="XDB7" s="59"/>
      <c r="XDC7" s="59"/>
      <c r="XDD7" s="59"/>
      <c r="XDE7" s="59"/>
      <c r="XDF7" s="59"/>
      <c r="XDG7" s="59"/>
      <c r="XDH7" s="59"/>
      <c r="XDI7" s="59"/>
      <c r="XDJ7" s="59"/>
      <c r="XDK7" s="59"/>
      <c r="XDL7" s="59"/>
      <c r="XDM7" s="59"/>
      <c r="XDN7" s="59"/>
      <c r="XDO7" s="59"/>
      <c r="XDP7" s="59"/>
      <c r="XDQ7" s="59"/>
      <c r="XDR7" s="59"/>
      <c r="XDS7" s="59"/>
      <c r="XDT7" s="59"/>
      <c r="XDU7" s="59"/>
      <c r="XDV7" s="59"/>
      <c r="XDW7" s="59"/>
      <c r="XDX7" s="59"/>
      <c r="XDY7" s="59"/>
      <c r="XDZ7" s="59"/>
      <c r="XEA7" s="59"/>
      <c r="XEB7" s="59"/>
      <c r="XEC7" s="59"/>
      <c r="XED7" s="59"/>
      <c r="XEE7" s="59"/>
      <c r="XEF7" s="59"/>
      <c r="XEG7" s="59"/>
      <c r="XEH7" s="59"/>
      <c r="XEI7" s="59"/>
      <c r="XEJ7" s="59"/>
      <c r="XEK7" s="59"/>
      <c r="XEL7" s="59"/>
      <c r="XEM7" s="59"/>
      <c r="XEN7" s="59"/>
      <c r="XEO7" s="59"/>
      <c r="XEP7" s="59"/>
      <c r="XEQ7" s="59"/>
      <c r="XER7" s="59"/>
      <c r="XES7" s="59"/>
      <c r="XET7" s="59"/>
      <c r="XEU7" s="59"/>
      <c r="XEV7" s="59"/>
      <c r="XEW7" s="59"/>
      <c r="XEX7" s="59"/>
      <c r="XEY7" s="59"/>
      <c r="XEZ7" s="59"/>
      <c r="XFA7" s="59"/>
      <c r="XFB7" s="59"/>
      <c r="XFC7" s="59"/>
      <c r="XFD7" s="59"/>
    </row>
    <row r="8" spans="1:16384" ht="9" customHeight="1">
      <c r="A8" s="154"/>
      <c r="B8" s="154"/>
      <c r="C8" s="154"/>
      <c r="D8" s="154"/>
      <c r="E8" s="180" t="s">
        <v>688</v>
      </c>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c r="DD8" s="154"/>
      <c r="DE8" s="154"/>
      <c r="DF8" s="154"/>
      <c r="DG8" s="154"/>
      <c r="DH8" s="154"/>
      <c r="DI8" s="154"/>
      <c r="DJ8" s="154"/>
      <c r="DK8" s="154"/>
      <c r="DL8" s="154"/>
      <c r="DM8" s="154"/>
      <c r="DN8" s="154"/>
      <c r="DO8" s="154"/>
      <c r="DP8" s="154"/>
      <c r="DQ8" s="154"/>
      <c r="DR8" s="154"/>
      <c r="DS8" s="154"/>
      <c r="DT8" s="154"/>
      <c r="DU8" s="154"/>
      <c r="DV8" s="154"/>
      <c r="DW8" s="154"/>
      <c r="DX8" s="154"/>
      <c r="DY8" s="154"/>
      <c r="DZ8" s="154"/>
      <c r="EA8" s="154"/>
      <c r="EB8" s="154"/>
      <c r="EC8" s="154"/>
      <c r="ED8" s="154"/>
      <c r="EE8" s="154"/>
      <c r="EF8" s="154"/>
      <c r="EG8" s="154"/>
      <c r="EH8" s="154"/>
      <c r="EI8" s="154"/>
      <c r="EJ8" s="154"/>
      <c r="EK8" s="154"/>
      <c r="EL8" s="154"/>
      <c r="EM8" s="154"/>
      <c r="EN8" s="154"/>
      <c r="EO8" s="154"/>
      <c r="EP8" s="154"/>
      <c r="EQ8" s="154"/>
      <c r="ER8" s="154"/>
      <c r="ES8" s="154"/>
      <c r="ET8" s="154"/>
      <c r="EU8" s="154"/>
      <c r="EV8" s="154"/>
      <c r="EW8" s="154"/>
      <c r="EX8" s="154"/>
      <c r="EY8" s="154"/>
      <c r="EZ8" s="154"/>
      <c r="FA8" s="154"/>
      <c r="FB8" s="154"/>
      <c r="FC8" s="154"/>
      <c r="FD8" s="154"/>
      <c r="FE8" s="154"/>
      <c r="FF8" s="154"/>
      <c r="FG8" s="154"/>
      <c r="FH8" s="154"/>
      <c r="FI8" s="154"/>
      <c r="FJ8" s="154"/>
      <c r="FK8" s="154"/>
      <c r="FL8" s="154"/>
      <c r="FM8" s="154"/>
      <c r="FN8" s="154"/>
      <c r="FO8" s="154"/>
      <c r="FP8" s="154"/>
      <c r="FQ8" s="154"/>
      <c r="FR8" s="154"/>
      <c r="FS8" s="154"/>
      <c r="FT8" s="154"/>
      <c r="FU8" s="154"/>
      <c r="FV8" s="154"/>
      <c r="FW8" s="154"/>
      <c r="FX8" s="154"/>
      <c r="FY8" s="154"/>
      <c r="FZ8" s="154"/>
      <c r="GA8" s="154"/>
      <c r="GB8" s="154"/>
      <c r="GC8" s="154"/>
      <c r="GD8" s="154"/>
      <c r="GE8" s="154"/>
      <c r="GF8" s="154"/>
      <c r="GG8" s="154"/>
      <c r="GH8" s="154"/>
      <c r="GI8" s="154"/>
      <c r="GJ8" s="154"/>
      <c r="GK8" s="154"/>
      <c r="GL8" s="154"/>
      <c r="GM8" s="154"/>
      <c r="GN8" s="154"/>
      <c r="GO8" s="154"/>
      <c r="GP8" s="154"/>
      <c r="GQ8" s="154"/>
      <c r="GR8" s="154"/>
      <c r="GS8" s="154"/>
      <c r="GT8" s="154"/>
      <c r="GU8" s="154"/>
      <c r="GV8" s="154"/>
      <c r="GW8" s="154"/>
      <c r="GX8" s="154"/>
      <c r="GY8" s="154"/>
      <c r="GZ8" s="154"/>
      <c r="HA8" s="154"/>
      <c r="HB8" s="154"/>
      <c r="HC8" s="154"/>
      <c r="HD8" s="154"/>
      <c r="HE8" s="154"/>
      <c r="HF8" s="154"/>
      <c r="HG8" s="154"/>
      <c r="HH8" s="154"/>
      <c r="HI8" s="154"/>
      <c r="HJ8" s="154"/>
      <c r="HK8" s="154"/>
      <c r="HL8" s="154"/>
      <c r="HM8" s="154"/>
      <c r="HN8" s="154"/>
      <c r="HO8" s="154"/>
      <c r="HP8" s="154"/>
      <c r="HQ8" s="154"/>
      <c r="HR8" s="154"/>
      <c r="HS8" s="154"/>
      <c r="HT8" s="154"/>
      <c r="HU8" s="154"/>
      <c r="HV8" s="154"/>
      <c r="HW8" s="154"/>
      <c r="HX8" s="154"/>
      <c r="HY8" s="154"/>
      <c r="HZ8" s="154"/>
      <c r="IA8" s="154"/>
      <c r="IB8" s="154"/>
      <c r="IC8" s="154"/>
      <c r="ID8" s="154"/>
      <c r="IE8" s="154"/>
      <c r="IF8" s="154"/>
      <c r="IG8" s="154"/>
      <c r="IH8" s="154"/>
      <c r="II8" s="154"/>
      <c r="IJ8" s="154"/>
      <c r="IK8" s="154"/>
      <c r="IL8" s="154"/>
      <c r="IM8" s="154"/>
      <c r="IN8" s="154"/>
      <c r="IO8" s="154"/>
      <c r="IP8" s="154"/>
      <c r="IQ8" s="154"/>
      <c r="IR8" s="154"/>
      <c r="IS8" s="154"/>
      <c r="IT8" s="154"/>
      <c r="IU8" s="154"/>
      <c r="IV8" s="154"/>
      <c r="IW8" s="154"/>
      <c r="IX8" s="154"/>
      <c r="IY8" s="154"/>
      <c r="IZ8" s="154"/>
      <c r="JA8" s="154"/>
      <c r="JB8" s="154"/>
      <c r="JC8" s="154"/>
      <c r="JD8" s="154"/>
      <c r="JE8" s="154"/>
      <c r="JF8" s="154"/>
      <c r="JG8" s="154"/>
      <c r="JH8" s="154"/>
      <c r="JI8" s="154"/>
      <c r="JJ8" s="154"/>
      <c r="JK8" s="154"/>
      <c r="JL8" s="154"/>
      <c r="JM8" s="154"/>
      <c r="JN8" s="154"/>
      <c r="JO8" s="154"/>
      <c r="JP8" s="154"/>
      <c r="JQ8" s="154"/>
      <c r="JR8" s="154"/>
      <c r="JS8" s="154"/>
      <c r="JT8" s="154"/>
      <c r="JU8" s="154"/>
      <c r="JV8" s="154"/>
      <c r="JW8" s="154"/>
      <c r="JX8" s="154"/>
      <c r="JY8" s="154"/>
      <c r="JZ8" s="154"/>
      <c r="KA8" s="154"/>
      <c r="KB8" s="154"/>
      <c r="KC8" s="154"/>
      <c r="KD8" s="154"/>
      <c r="KE8" s="154"/>
      <c r="KF8" s="154"/>
      <c r="KG8" s="154"/>
      <c r="KH8" s="154"/>
      <c r="KI8" s="154"/>
      <c r="KJ8" s="154"/>
      <c r="KK8" s="154"/>
      <c r="KL8" s="154"/>
      <c r="KM8" s="154"/>
      <c r="KN8" s="154"/>
      <c r="KO8" s="154"/>
      <c r="KP8" s="154"/>
      <c r="KQ8" s="154"/>
      <c r="KR8" s="154"/>
      <c r="KS8" s="154"/>
      <c r="KT8" s="154"/>
      <c r="KU8" s="154"/>
      <c r="KV8" s="154"/>
      <c r="KW8" s="154"/>
      <c r="KX8" s="154"/>
      <c r="KY8" s="154"/>
      <c r="KZ8" s="154"/>
      <c r="LA8" s="154"/>
      <c r="LB8" s="154"/>
      <c r="LC8" s="154"/>
      <c r="LD8" s="154"/>
      <c r="LE8" s="154"/>
      <c r="LF8" s="154"/>
      <c r="LG8" s="154"/>
      <c r="LH8" s="154"/>
      <c r="LI8" s="154"/>
      <c r="LJ8" s="154"/>
      <c r="LK8" s="154"/>
      <c r="LL8" s="154"/>
      <c r="LM8" s="154"/>
      <c r="LN8" s="154"/>
      <c r="LO8" s="154"/>
      <c r="LP8" s="154"/>
      <c r="LQ8" s="154"/>
      <c r="LR8" s="154"/>
      <c r="LS8" s="154"/>
      <c r="LT8" s="154"/>
      <c r="LU8" s="154"/>
      <c r="LV8" s="154"/>
      <c r="LW8" s="154"/>
      <c r="LX8" s="154"/>
      <c r="LY8" s="154"/>
      <c r="LZ8" s="154"/>
      <c r="MA8" s="154"/>
      <c r="MB8" s="154"/>
      <c r="MC8" s="154"/>
      <c r="MD8" s="154"/>
      <c r="ME8" s="154"/>
      <c r="MF8" s="154"/>
      <c r="MG8" s="154"/>
      <c r="MH8" s="154"/>
      <c r="MI8" s="154"/>
      <c r="MJ8" s="154"/>
      <c r="MK8" s="154"/>
      <c r="ML8" s="154"/>
      <c r="MM8" s="154"/>
      <c r="MN8" s="154"/>
      <c r="MO8" s="154"/>
      <c r="MP8" s="154"/>
      <c r="MQ8" s="154"/>
      <c r="MR8" s="154"/>
      <c r="MS8" s="154"/>
      <c r="MT8" s="154"/>
      <c r="MU8" s="154"/>
      <c r="MV8" s="154"/>
      <c r="MW8" s="154"/>
      <c r="MX8" s="154"/>
      <c r="MY8" s="154"/>
      <c r="MZ8" s="154"/>
      <c r="NA8" s="154"/>
      <c r="NB8" s="154"/>
      <c r="NC8" s="154"/>
      <c r="ND8" s="154"/>
      <c r="NE8" s="154"/>
      <c r="NF8" s="154"/>
      <c r="NG8" s="154"/>
      <c r="NH8" s="154"/>
      <c r="NI8" s="154"/>
      <c r="NJ8" s="154"/>
      <c r="NK8" s="154"/>
      <c r="NL8" s="154"/>
      <c r="NM8" s="154"/>
      <c r="NN8" s="154"/>
      <c r="NO8" s="154"/>
      <c r="NP8" s="154"/>
      <c r="NQ8" s="154"/>
      <c r="NR8" s="154"/>
      <c r="NS8" s="154"/>
      <c r="NT8" s="154"/>
      <c r="NU8" s="154"/>
      <c r="NV8" s="154"/>
      <c r="NW8" s="154"/>
      <c r="NX8" s="154"/>
      <c r="NY8" s="154"/>
      <c r="NZ8" s="154"/>
      <c r="OA8" s="154"/>
      <c r="OB8" s="154"/>
      <c r="OC8" s="154"/>
      <c r="OD8" s="154"/>
      <c r="OE8" s="154"/>
      <c r="OF8" s="154"/>
      <c r="OG8" s="154"/>
      <c r="OH8" s="154"/>
      <c r="OI8" s="154"/>
      <c r="OJ8" s="154"/>
      <c r="OK8" s="154"/>
      <c r="OL8" s="154"/>
      <c r="OM8" s="154"/>
      <c r="ON8" s="154"/>
      <c r="OO8" s="154"/>
      <c r="OP8" s="154"/>
      <c r="OQ8" s="154"/>
      <c r="OR8" s="154"/>
      <c r="OS8" s="154"/>
      <c r="OT8" s="154"/>
      <c r="OU8" s="154"/>
      <c r="OV8" s="154"/>
      <c r="OW8" s="154"/>
      <c r="OX8" s="154"/>
      <c r="OY8" s="154"/>
      <c r="OZ8" s="154"/>
      <c r="PA8" s="154"/>
      <c r="PB8" s="154"/>
      <c r="PC8" s="154"/>
      <c r="PD8" s="154"/>
      <c r="PE8" s="154"/>
      <c r="PF8" s="154"/>
      <c r="PG8" s="154"/>
      <c r="PH8" s="154"/>
      <c r="PI8" s="154"/>
      <c r="PJ8" s="154"/>
      <c r="PK8" s="154"/>
      <c r="PL8" s="154"/>
      <c r="PM8" s="154"/>
      <c r="PN8" s="154"/>
      <c r="PO8" s="154"/>
      <c r="PP8" s="154"/>
      <c r="PQ8" s="154"/>
      <c r="PR8" s="154"/>
      <c r="PS8" s="154"/>
      <c r="PT8" s="154"/>
      <c r="PU8" s="154"/>
      <c r="PV8" s="154"/>
      <c r="PW8" s="154"/>
      <c r="PX8" s="154"/>
      <c r="PY8" s="154"/>
      <c r="PZ8" s="154"/>
      <c r="QA8" s="154"/>
      <c r="QB8" s="154"/>
      <c r="QC8" s="154"/>
      <c r="QD8" s="154"/>
      <c r="QE8" s="154"/>
      <c r="QF8" s="154"/>
      <c r="QG8" s="154"/>
      <c r="QH8" s="154"/>
      <c r="QI8" s="154"/>
      <c r="QJ8" s="154"/>
      <c r="QK8" s="154"/>
      <c r="QL8" s="154"/>
      <c r="QM8" s="154"/>
      <c r="QN8" s="154"/>
      <c r="QO8" s="154"/>
      <c r="QP8" s="154"/>
      <c r="QQ8" s="154"/>
      <c r="QR8" s="154"/>
      <c r="QS8" s="154"/>
      <c r="QT8" s="154"/>
      <c r="QU8" s="154"/>
      <c r="QV8" s="154"/>
      <c r="QW8" s="154"/>
      <c r="QX8" s="154"/>
      <c r="QY8" s="154"/>
      <c r="QZ8" s="154"/>
      <c r="RA8" s="154"/>
      <c r="RB8" s="154"/>
      <c r="RC8" s="154"/>
      <c r="RD8" s="154"/>
      <c r="RE8" s="154"/>
      <c r="RF8" s="154"/>
      <c r="RG8" s="154"/>
      <c r="RH8" s="154"/>
      <c r="RI8" s="154"/>
      <c r="RJ8" s="154"/>
      <c r="RK8" s="154"/>
      <c r="RL8" s="154"/>
      <c r="RM8" s="154"/>
      <c r="RN8" s="154"/>
      <c r="RO8" s="154"/>
      <c r="RP8" s="154"/>
      <c r="RQ8" s="154"/>
      <c r="RR8" s="154"/>
      <c r="RS8" s="154"/>
      <c r="RT8" s="154"/>
      <c r="RU8" s="154"/>
      <c r="RV8" s="154"/>
      <c r="RW8" s="154"/>
      <c r="RX8" s="154"/>
      <c r="RY8" s="154"/>
      <c r="RZ8" s="154"/>
      <c r="SA8" s="154"/>
      <c r="SB8" s="154"/>
      <c r="SC8" s="154"/>
      <c r="SD8" s="154"/>
      <c r="SE8" s="154"/>
      <c r="SF8" s="154"/>
      <c r="SG8" s="154"/>
      <c r="SH8" s="154"/>
      <c r="SI8" s="154"/>
      <c r="SJ8" s="154"/>
      <c r="SK8" s="154"/>
      <c r="SL8" s="154"/>
      <c r="SM8" s="154"/>
      <c r="SN8" s="154"/>
      <c r="SO8" s="154"/>
      <c r="SP8" s="154"/>
      <c r="SQ8" s="154"/>
      <c r="SR8" s="154"/>
      <c r="SS8" s="154"/>
      <c r="ST8" s="154"/>
      <c r="SU8" s="154"/>
      <c r="SV8" s="154"/>
      <c r="SW8" s="154"/>
      <c r="SX8" s="154"/>
      <c r="SY8" s="154"/>
      <c r="SZ8" s="154"/>
      <c r="TA8" s="154"/>
      <c r="TB8" s="154"/>
      <c r="TC8" s="154"/>
      <c r="TD8" s="154"/>
      <c r="TE8" s="154"/>
      <c r="TF8" s="154"/>
      <c r="TG8" s="154"/>
      <c r="TH8" s="154"/>
      <c r="TI8" s="154"/>
      <c r="TJ8" s="154"/>
      <c r="TK8" s="154"/>
      <c r="TL8" s="154"/>
      <c r="TM8" s="154"/>
      <c r="TN8" s="154"/>
      <c r="TO8" s="154"/>
      <c r="TP8" s="154"/>
      <c r="TQ8" s="154"/>
      <c r="TR8" s="154"/>
      <c r="TS8" s="154"/>
      <c r="TT8" s="154"/>
      <c r="TU8" s="154"/>
      <c r="TV8" s="154"/>
      <c r="TW8" s="154"/>
      <c r="TX8" s="154"/>
      <c r="TY8" s="154"/>
      <c r="TZ8" s="154"/>
      <c r="UA8" s="154"/>
      <c r="UB8" s="154"/>
      <c r="UC8" s="154"/>
      <c r="UD8" s="154"/>
      <c r="UE8" s="154"/>
      <c r="UF8" s="154"/>
      <c r="UG8" s="154"/>
      <c r="UH8" s="154"/>
      <c r="UI8" s="154"/>
      <c r="UJ8" s="154"/>
      <c r="UK8" s="154"/>
      <c r="UL8" s="154"/>
      <c r="UM8" s="154"/>
      <c r="UN8" s="154"/>
      <c r="UO8" s="154"/>
      <c r="UP8" s="154"/>
      <c r="UQ8" s="154"/>
      <c r="UR8" s="154"/>
      <c r="US8" s="154"/>
      <c r="UT8" s="154"/>
      <c r="UU8" s="154"/>
      <c r="UV8" s="154"/>
      <c r="UW8" s="154"/>
      <c r="UX8" s="154"/>
      <c r="UY8" s="154"/>
      <c r="UZ8" s="154"/>
      <c r="VA8" s="154"/>
      <c r="VB8" s="154"/>
      <c r="VC8" s="154"/>
      <c r="VD8" s="154"/>
      <c r="VE8" s="154"/>
      <c r="VF8" s="154"/>
      <c r="VG8" s="154"/>
      <c r="VH8" s="154"/>
      <c r="VI8" s="154"/>
      <c r="VJ8" s="154"/>
      <c r="VK8" s="154"/>
      <c r="VL8" s="154"/>
      <c r="VM8" s="154"/>
      <c r="VN8" s="154"/>
      <c r="VO8" s="154"/>
      <c r="VP8" s="154"/>
      <c r="VQ8" s="154"/>
      <c r="VR8" s="154"/>
      <c r="VS8" s="154"/>
      <c r="VT8" s="154"/>
      <c r="VU8" s="154"/>
      <c r="VV8" s="154"/>
      <c r="VW8" s="154"/>
      <c r="VX8" s="154"/>
      <c r="VY8" s="154"/>
      <c r="VZ8" s="154"/>
      <c r="WA8" s="154"/>
      <c r="WB8" s="154"/>
      <c r="WC8" s="154"/>
      <c r="WD8" s="154"/>
      <c r="WE8" s="154"/>
      <c r="WF8" s="154"/>
      <c r="WG8" s="154"/>
      <c r="WH8" s="154"/>
      <c r="WI8" s="154"/>
      <c r="WJ8" s="154"/>
      <c r="WK8" s="154"/>
      <c r="WL8" s="154"/>
      <c r="WM8" s="154"/>
      <c r="WN8" s="154"/>
      <c r="WO8" s="154"/>
      <c r="WP8" s="154"/>
      <c r="WQ8" s="154"/>
      <c r="WR8" s="154"/>
      <c r="WS8" s="154"/>
      <c r="WT8" s="154"/>
      <c r="WU8" s="154"/>
      <c r="WV8" s="154"/>
      <c r="WW8" s="154"/>
      <c r="WX8" s="154"/>
      <c r="WY8" s="154"/>
      <c r="WZ8" s="154"/>
      <c r="XA8" s="154"/>
      <c r="XB8" s="154"/>
      <c r="XC8" s="154"/>
      <c r="XD8" s="154"/>
      <c r="XE8" s="154"/>
      <c r="XF8" s="154"/>
      <c r="XG8" s="154"/>
      <c r="XH8" s="154"/>
      <c r="XI8" s="154"/>
      <c r="XJ8" s="154"/>
      <c r="XK8" s="154"/>
      <c r="XL8" s="154"/>
      <c r="XM8" s="154"/>
      <c r="XN8" s="154"/>
      <c r="XO8" s="154"/>
      <c r="XP8" s="154"/>
      <c r="XQ8" s="154"/>
      <c r="XR8" s="154"/>
      <c r="XS8" s="154"/>
      <c r="XT8" s="154"/>
      <c r="XU8" s="154"/>
      <c r="XV8" s="154"/>
      <c r="XW8" s="154"/>
      <c r="XX8" s="154"/>
      <c r="XY8" s="154"/>
      <c r="XZ8" s="154"/>
      <c r="YA8" s="154"/>
      <c r="YB8" s="154"/>
      <c r="YC8" s="154"/>
      <c r="YD8" s="154"/>
      <c r="YE8" s="154"/>
      <c r="YF8" s="154"/>
      <c r="YG8" s="154"/>
      <c r="YH8" s="154"/>
      <c r="YI8" s="154"/>
      <c r="YJ8" s="154"/>
      <c r="YK8" s="154"/>
      <c r="YL8" s="154"/>
      <c r="YM8" s="154"/>
      <c r="YN8" s="154"/>
      <c r="YO8" s="154"/>
      <c r="YP8" s="154"/>
      <c r="YQ8" s="154"/>
      <c r="YR8" s="154"/>
      <c r="YS8" s="154"/>
      <c r="YT8" s="154"/>
      <c r="YU8" s="154"/>
      <c r="YV8" s="154"/>
      <c r="YW8" s="154"/>
      <c r="YX8" s="154"/>
      <c r="YY8" s="154"/>
      <c r="YZ8" s="154"/>
      <c r="ZA8" s="154"/>
      <c r="ZB8" s="154"/>
      <c r="ZC8" s="154"/>
      <c r="ZD8" s="154"/>
      <c r="ZE8" s="154"/>
      <c r="ZF8" s="154"/>
      <c r="ZG8" s="154"/>
      <c r="ZH8" s="154"/>
      <c r="ZI8" s="154"/>
      <c r="ZJ8" s="154"/>
      <c r="ZK8" s="154"/>
      <c r="ZL8" s="154"/>
      <c r="ZM8" s="154"/>
      <c r="ZN8" s="154"/>
      <c r="ZO8" s="154"/>
      <c r="ZP8" s="154"/>
      <c r="ZQ8" s="154"/>
      <c r="ZR8" s="154"/>
      <c r="ZS8" s="154"/>
      <c r="ZT8" s="154"/>
      <c r="ZU8" s="154"/>
      <c r="ZV8" s="154"/>
      <c r="ZW8" s="154"/>
      <c r="ZX8" s="154"/>
      <c r="ZY8" s="154"/>
      <c r="ZZ8" s="154"/>
      <c r="AAA8" s="154"/>
      <c r="AAB8" s="154"/>
      <c r="AAC8" s="154"/>
      <c r="AAD8" s="154"/>
      <c r="AAE8" s="154"/>
      <c r="AAF8" s="154"/>
      <c r="AAG8" s="154"/>
      <c r="AAH8" s="154"/>
      <c r="AAI8" s="154"/>
      <c r="AAJ8" s="154"/>
      <c r="AAK8" s="154"/>
      <c r="AAL8" s="154"/>
      <c r="AAM8" s="154"/>
      <c r="AAN8" s="154"/>
      <c r="AAO8" s="154"/>
      <c r="AAP8" s="154"/>
      <c r="AAQ8" s="154"/>
      <c r="AAR8" s="154"/>
      <c r="AAS8" s="154"/>
      <c r="AAT8" s="154"/>
      <c r="AAU8" s="154"/>
      <c r="AAV8" s="154"/>
      <c r="AAW8" s="154"/>
      <c r="AAX8" s="154"/>
      <c r="AAY8" s="154"/>
      <c r="AAZ8" s="154"/>
      <c r="ABA8" s="154"/>
      <c r="ABB8" s="154"/>
      <c r="ABC8" s="154"/>
      <c r="ABD8" s="154"/>
      <c r="ABE8" s="154"/>
      <c r="ABF8" s="154"/>
      <c r="ABG8" s="154"/>
      <c r="ABH8" s="154"/>
      <c r="ABI8" s="154"/>
      <c r="ABJ8" s="154"/>
      <c r="ABK8" s="154"/>
      <c r="ABL8" s="154"/>
      <c r="ABM8" s="154"/>
      <c r="ABN8" s="154"/>
      <c r="ABO8" s="154"/>
      <c r="ABP8" s="154"/>
      <c r="ABQ8" s="154"/>
      <c r="ABR8" s="154"/>
      <c r="ABS8" s="154"/>
      <c r="ABT8" s="154"/>
      <c r="ABU8" s="154"/>
      <c r="ABV8" s="154"/>
      <c r="ABW8" s="154"/>
      <c r="ABX8" s="154"/>
      <c r="ABY8" s="154"/>
      <c r="ABZ8" s="154"/>
      <c r="ACA8" s="154"/>
      <c r="ACB8" s="154"/>
      <c r="ACC8" s="154"/>
      <c r="ACD8" s="154"/>
      <c r="ACE8" s="154"/>
      <c r="ACF8" s="154"/>
      <c r="ACG8" s="154"/>
      <c r="ACH8" s="154"/>
      <c r="ACI8" s="154"/>
      <c r="ACJ8" s="154"/>
      <c r="ACK8" s="154"/>
      <c r="ACL8" s="154"/>
      <c r="ACM8" s="154"/>
      <c r="ACN8" s="154"/>
      <c r="ACO8" s="154"/>
      <c r="ACP8" s="154"/>
      <c r="ACQ8" s="154"/>
      <c r="ACR8" s="154"/>
      <c r="ACS8" s="154"/>
      <c r="ACT8" s="154"/>
      <c r="ACU8" s="154"/>
      <c r="ACV8" s="154"/>
      <c r="ACW8" s="154"/>
      <c r="ACX8" s="154"/>
      <c r="ACY8" s="154"/>
      <c r="ACZ8" s="154"/>
      <c r="ADA8" s="154"/>
      <c r="ADB8" s="154"/>
      <c r="ADC8" s="154"/>
      <c r="ADD8" s="154"/>
      <c r="ADE8" s="154"/>
      <c r="ADF8" s="154"/>
      <c r="ADG8" s="154"/>
      <c r="ADH8" s="154"/>
      <c r="ADI8" s="154"/>
      <c r="ADJ8" s="154"/>
      <c r="ADK8" s="154"/>
      <c r="ADL8" s="154"/>
      <c r="ADM8" s="154"/>
      <c r="ADN8" s="154"/>
      <c r="ADO8" s="154"/>
      <c r="ADP8" s="154"/>
      <c r="ADQ8" s="154"/>
      <c r="ADR8" s="154"/>
      <c r="ADS8" s="154"/>
      <c r="ADT8" s="154"/>
      <c r="ADU8" s="154"/>
      <c r="ADV8" s="154"/>
      <c r="ADW8" s="154"/>
      <c r="ADX8" s="154"/>
      <c r="ADY8" s="154"/>
      <c r="ADZ8" s="154"/>
      <c r="AEA8" s="154"/>
      <c r="AEB8" s="154"/>
      <c r="AEC8" s="154"/>
      <c r="AED8" s="154"/>
      <c r="AEE8" s="154"/>
      <c r="AEF8" s="154"/>
      <c r="AEG8" s="154"/>
      <c r="AEH8" s="154"/>
      <c r="AEI8" s="154"/>
      <c r="AEJ8" s="154"/>
      <c r="AEK8" s="154"/>
      <c r="AEL8" s="154"/>
      <c r="AEM8" s="154"/>
      <c r="AEN8" s="154"/>
      <c r="AEO8" s="154"/>
      <c r="AEP8" s="154"/>
      <c r="AEQ8" s="154"/>
      <c r="AER8" s="154"/>
      <c r="AES8" s="154"/>
      <c r="AET8" s="154"/>
      <c r="AEU8" s="154"/>
      <c r="AEV8" s="154"/>
      <c r="AEW8" s="154"/>
      <c r="AEX8" s="154"/>
      <c r="AEY8" s="154"/>
      <c r="AEZ8" s="154"/>
      <c r="AFA8" s="154"/>
      <c r="AFB8" s="154"/>
      <c r="AFC8" s="154"/>
      <c r="AFD8" s="154"/>
      <c r="AFE8" s="154"/>
      <c r="AFF8" s="154"/>
      <c r="AFG8" s="154"/>
      <c r="AFH8" s="154"/>
      <c r="AFI8" s="154"/>
      <c r="AFJ8" s="154"/>
      <c r="AFK8" s="154"/>
      <c r="AFL8" s="154"/>
      <c r="AFM8" s="154"/>
      <c r="AFN8" s="154"/>
      <c r="AFO8" s="154"/>
      <c r="AFP8" s="154"/>
      <c r="AFQ8" s="154"/>
      <c r="AFR8" s="154"/>
      <c r="AFS8" s="154"/>
      <c r="AFT8" s="154"/>
      <c r="AFU8" s="154"/>
      <c r="AFV8" s="154"/>
      <c r="AFW8" s="154"/>
      <c r="AFX8" s="154"/>
      <c r="AFY8" s="154"/>
      <c r="AFZ8" s="154"/>
      <c r="AGA8" s="154"/>
      <c r="AGB8" s="154"/>
      <c r="AGC8" s="154"/>
      <c r="AGD8" s="154"/>
      <c r="AGE8" s="154"/>
      <c r="AGF8" s="154"/>
      <c r="AGG8" s="154"/>
      <c r="AGH8" s="154"/>
      <c r="AGI8" s="154"/>
      <c r="AGJ8" s="154"/>
      <c r="AGK8" s="154"/>
      <c r="AGL8" s="154"/>
      <c r="AGM8" s="154"/>
      <c r="AGN8" s="154"/>
      <c r="AGO8" s="154"/>
      <c r="AGP8" s="154"/>
      <c r="AGQ8" s="154"/>
      <c r="AGR8" s="154"/>
      <c r="AGS8" s="154"/>
      <c r="AGT8" s="154"/>
      <c r="AGU8" s="154"/>
      <c r="AGV8" s="154"/>
      <c r="AGW8" s="154"/>
      <c r="AGX8" s="154"/>
      <c r="AGY8" s="154"/>
      <c r="AGZ8" s="154"/>
      <c r="AHA8" s="154"/>
      <c r="AHB8" s="154"/>
      <c r="AHC8" s="154"/>
      <c r="AHD8" s="154"/>
      <c r="AHE8" s="154"/>
      <c r="AHF8" s="154"/>
      <c r="AHG8" s="154"/>
      <c r="AHH8" s="154"/>
      <c r="AHI8" s="154"/>
      <c r="AHJ8" s="154"/>
      <c r="AHK8" s="154"/>
      <c r="AHL8" s="154"/>
      <c r="AHM8" s="154"/>
      <c r="AHN8" s="154"/>
      <c r="AHO8" s="154"/>
      <c r="AHP8" s="154"/>
      <c r="AHQ8" s="154"/>
      <c r="AHR8" s="154"/>
      <c r="AHS8" s="154"/>
      <c r="AHT8" s="154"/>
      <c r="AHU8" s="154"/>
      <c r="AHV8" s="154"/>
      <c r="AHW8" s="154"/>
      <c r="AHX8" s="154"/>
      <c r="AHY8" s="154"/>
      <c r="AHZ8" s="154"/>
      <c r="AIA8" s="154"/>
      <c r="AIB8" s="154"/>
      <c r="AIC8" s="154"/>
      <c r="AID8" s="154"/>
      <c r="AIE8" s="154"/>
      <c r="AIF8" s="154"/>
      <c r="AIG8" s="154"/>
      <c r="AIH8" s="154"/>
      <c r="AII8" s="154"/>
      <c r="AIJ8" s="154"/>
      <c r="AIK8" s="154"/>
      <c r="AIL8" s="154"/>
      <c r="AIM8" s="154"/>
      <c r="AIN8" s="154"/>
      <c r="AIO8" s="154"/>
      <c r="AIP8" s="154"/>
      <c r="AIQ8" s="154"/>
      <c r="AIR8" s="154"/>
      <c r="AIS8" s="154"/>
      <c r="AIT8" s="154"/>
      <c r="AIU8" s="154"/>
      <c r="AIV8" s="154"/>
      <c r="AIW8" s="154"/>
      <c r="AIX8" s="154"/>
      <c r="AIY8" s="154"/>
      <c r="AIZ8" s="154"/>
      <c r="AJA8" s="154"/>
      <c r="AJB8" s="154"/>
      <c r="AJC8" s="154"/>
      <c r="AJD8" s="154"/>
      <c r="AJE8" s="154"/>
      <c r="AJF8" s="154"/>
      <c r="AJG8" s="154"/>
      <c r="AJH8" s="154"/>
      <c r="AJI8" s="154"/>
      <c r="AJJ8" s="154"/>
      <c r="AJK8" s="154"/>
      <c r="AJL8" s="154"/>
      <c r="AJM8" s="154"/>
      <c r="AJN8" s="154"/>
      <c r="AJO8" s="154"/>
      <c r="AJP8" s="154"/>
      <c r="AJQ8" s="154"/>
      <c r="AJR8" s="154"/>
      <c r="AJS8" s="154"/>
      <c r="AJT8" s="154"/>
      <c r="AJU8" s="154"/>
      <c r="AJV8" s="154"/>
      <c r="AJW8" s="154"/>
      <c r="AJX8" s="154"/>
      <c r="AJY8" s="154"/>
      <c r="AJZ8" s="154"/>
      <c r="AKA8" s="154"/>
      <c r="AKB8" s="154"/>
      <c r="AKC8" s="154"/>
      <c r="AKD8" s="154"/>
      <c r="AKE8" s="154"/>
      <c r="AKF8" s="154"/>
      <c r="AKG8" s="154"/>
      <c r="AKH8" s="154"/>
      <c r="AKI8" s="154"/>
      <c r="AKJ8" s="154"/>
      <c r="AKK8" s="154"/>
      <c r="AKL8" s="154"/>
      <c r="AKM8" s="154"/>
      <c r="AKN8" s="154"/>
      <c r="AKO8" s="154"/>
      <c r="AKP8" s="154"/>
      <c r="AKQ8" s="154"/>
      <c r="AKR8" s="154"/>
      <c r="AKS8" s="154"/>
      <c r="AKT8" s="154"/>
      <c r="AKU8" s="154"/>
      <c r="AKV8" s="154"/>
      <c r="AKW8" s="154"/>
      <c r="AKX8" s="154"/>
      <c r="AKY8" s="154"/>
      <c r="AKZ8" s="154"/>
      <c r="ALA8" s="154"/>
      <c r="ALB8" s="154"/>
      <c r="ALC8" s="154"/>
      <c r="ALD8" s="154"/>
      <c r="ALE8" s="154"/>
      <c r="ALF8" s="154"/>
      <c r="ALG8" s="154"/>
      <c r="ALH8" s="154"/>
      <c r="ALI8" s="154"/>
      <c r="ALJ8" s="154"/>
      <c r="ALK8" s="154"/>
      <c r="ALL8" s="154"/>
      <c r="ALM8" s="154"/>
      <c r="ALN8" s="154"/>
      <c r="ALO8" s="154"/>
      <c r="ALP8" s="154"/>
      <c r="ALQ8" s="154"/>
      <c r="ALR8" s="154"/>
      <c r="ALS8" s="154"/>
      <c r="ALT8" s="154"/>
      <c r="ALU8" s="154"/>
      <c r="ALV8" s="154"/>
      <c r="ALW8" s="154"/>
      <c r="ALX8" s="154"/>
      <c r="ALY8" s="154"/>
      <c r="ALZ8" s="154"/>
      <c r="AMA8" s="154"/>
      <c r="AMB8" s="154"/>
      <c r="AMC8" s="154"/>
      <c r="AMD8" s="154"/>
      <c r="AME8" s="154"/>
      <c r="AMF8" s="154"/>
      <c r="AMG8" s="154"/>
      <c r="AMH8" s="154"/>
      <c r="AMI8" s="154"/>
      <c r="AMJ8" s="154"/>
      <c r="AMK8" s="154"/>
      <c r="AML8" s="154"/>
      <c r="AMM8" s="154"/>
      <c r="AMN8" s="154"/>
      <c r="AMO8" s="154"/>
      <c r="AMP8" s="154"/>
      <c r="AMQ8" s="154"/>
      <c r="AMR8" s="154"/>
      <c r="AMS8" s="154"/>
      <c r="AMT8" s="154"/>
      <c r="AMU8" s="154"/>
      <c r="AMV8" s="154"/>
      <c r="AMW8" s="154"/>
      <c r="AMX8" s="154"/>
      <c r="AMY8" s="154"/>
      <c r="AMZ8" s="154"/>
      <c r="ANA8" s="154"/>
      <c r="ANB8" s="154"/>
      <c r="ANC8" s="154"/>
      <c r="AND8" s="154"/>
      <c r="ANE8" s="154"/>
      <c r="ANF8" s="154"/>
      <c r="ANG8" s="154"/>
      <c r="ANH8" s="154"/>
      <c r="ANI8" s="154"/>
      <c r="ANJ8" s="154"/>
      <c r="ANK8" s="154"/>
      <c r="ANL8" s="154"/>
      <c r="ANM8" s="154"/>
      <c r="ANN8" s="154"/>
      <c r="ANO8" s="154"/>
      <c r="ANP8" s="154"/>
      <c r="ANQ8" s="154"/>
      <c r="ANR8" s="154"/>
      <c r="ANS8" s="154"/>
      <c r="ANT8" s="154"/>
      <c r="ANU8" s="154"/>
      <c r="ANV8" s="154"/>
      <c r="ANW8" s="154"/>
      <c r="ANX8" s="154"/>
      <c r="ANY8" s="154"/>
      <c r="ANZ8" s="154"/>
      <c r="AOA8" s="154"/>
      <c r="AOB8" s="154"/>
      <c r="AOC8" s="154"/>
      <c r="AOD8" s="154"/>
      <c r="AOE8" s="154"/>
      <c r="AOF8" s="154"/>
      <c r="AOG8" s="154"/>
      <c r="AOH8" s="154"/>
      <c r="AOI8" s="154"/>
      <c r="AOJ8" s="154"/>
      <c r="AOK8" s="154"/>
      <c r="AOL8" s="154"/>
      <c r="AOM8" s="154"/>
      <c r="AON8" s="154"/>
      <c r="AOO8" s="154"/>
      <c r="AOP8" s="154"/>
      <c r="AOQ8" s="154"/>
      <c r="AOR8" s="154"/>
      <c r="AOS8" s="154"/>
      <c r="AOT8" s="154"/>
      <c r="AOU8" s="154"/>
      <c r="AOV8" s="154"/>
      <c r="AOW8" s="154"/>
      <c r="AOX8" s="154"/>
      <c r="AOY8" s="154"/>
      <c r="AOZ8" s="154"/>
      <c r="APA8" s="154"/>
      <c r="APB8" s="154"/>
      <c r="APC8" s="154"/>
      <c r="APD8" s="154"/>
      <c r="APE8" s="154"/>
      <c r="APF8" s="154"/>
      <c r="APG8" s="154"/>
      <c r="APH8" s="154"/>
      <c r="API8" s="154"/>
      <c r="APJ8" s="154"/>
      <c r="APK8" s="154"/>
      <c r="APL8" s="154"/>
      <c r="APM8" s="154"/>
      <c r="APN8" s="154"/>
      <c r="APO8" s="154"/>
      <c r="APP8" s="154"/>
      <c r="APQ8" s="154"/>
      <c r="APR8" s="154"/>
      <c r="APS8" s="154"/>
      <c r="APT8" s="154"/>
      <c r="APU8" s="154"/>
      <c r="APV8" s="154"/>
      <c r="APW8" s="154"/>
      <c r="APX8" s="154"/>
      <c r="APY8" s="154"/>
      <c r="APZ8" s="154"/>
      <c r="AQA8" s="154"/>
      <c r="AQB8" s="154"/>
      <c r="AQC8" s="154"/>
      <c r="AQD8" s="154"/>
      <c r="AQE8" s="154"/>
      <c r="AQF8" s="154"/>
      <c r="AQG8" s="154"/>
      <c r="AQH8" s="154"/>
      <c r="AQI8" s="154"/>
      <c r="AQJ8" s="154"/>
      <c r="AQK8" s="154"/>
      <c r="AQL8" s="154"/>
      <c r="AQM8" s="154"/>
      <c r="AQN8" s="154"/>
      <c r="AQO8" s="154"/>
      <c r="AQP8" s="154"/>
      <c r="AQQ8" s="154"/>
      <c r="AQR8" s="154"/>
      <c r="AQS8" s="154"/>
      <c r="AQT8" s="154"/>
      <c r="AQU8" s="154"/>
      <c r="AQV8" s="154"/>
      <c r="AQW8" s="154"/>
      <c r="AQX8" s="154"/>
      <c r="AQY8" s="154"/>
      <c r="AQZ8" s="154"/>
      <c r="ARA8" s="154"/>
      <c r="ARB8" s="154"/>
      <c r="ARC8" s="154"/>
      <c r="ARD8" s="154"/>
      <c r="ARE8" s="154"/>
      <c r="ARF8" s="154"/>
      <c r="ARG8" s="154"/>
      <c r="ARH8" s="154"/>
      <c r="ARI8" s="154"/>
      <c r="ARJ8" s="154"/>
      <c r="ARK8" s="154"/>
      <c r="ARL8" s="154"/>
      <c r="ARM8" s="154"/>
      <c r="ARN8" s="154"/>
      <c r="ARO8" s="154"/>
      <c r="ARP8" s="154"/>
      <c r="ARQ8" s="154"/>
      <c r="ARR8" s="154"/>
      <c r="ARS8" s="154"/>
      <c r="ART8" s="154"/>
      <c r="ARU8" s="154"/>
      <c r="ARV8" s="154"/>
      <c r="ARW8" s="154"/>
      <c r="ARX8" s="154"/>
      <c r="ARY8" s="154"/>
      <c r="ARZ8" s="154"/>
      <c r="ASA8" s="154"/>
      <c r="ASB8" s="154"/>
      <c r="ASC8" s="154"/>
      <c r="ASD8" s="154"/>
      <c r="ASE8" s="154"/>
      <c r="ASF8" s="154"/>
      <c r="ASG8" s="154"/>
      <c r="ASH8" s="154"/>
      <c r="ASI8" s="154"/>
      <c r="ASJ8" s="154"/>
      <c r="ASK8" s="154"/>
      <c r="ASL8" s="154"/>
      <c r="ASM8" s="154"/>
      <c r="ASN8" s="154"/>
      <c r="ASO8" s="154"/>
      <c r="ASP8" s="154"/>
      <c r="ASQ8" s="154"/>
      <c r="ASR8" s="154"/>
      <c r="ASS8" s="154"/>
      <c r="AST8" s="154"/>
      <c r="ASU8" s="154"/>
      <c r="ASV8" s="154"/>
      <c r="ASW8" s="154"/>
      <c r="ASX8" s="154"/>
      <c r="ASY8" s="154"/>
      <c r="ASZ8" s="154"/>
      <c r="ATA8" s="154"/>
      <c r="ATB8" s="154"/>
      <c r="ATC8" s="154"/>
      <c r="ATD8" s="154"/>
      <c r="ATE8" s="154"/>
      <c r="ATF8" s="154"/>
      <c r="ATG8" s="154"/>
      <c r="ATH8" s="154"/>
      <c r="ATI8" s="154"/>
      <c r="ATJ8" s="154"/>
      <c r="ATK8" s="154"/>
      <c r="ATL8" s="154"/>
      <c r="ATM8" s="154"/>
      <c r="ATN8" s="154"/>
      <c r="ATO8" s="154"/>
      <c r="ATP8" s="154"/>
      <c r="ATQ8" s="154"/>
      <c r="ATR8" s="154"/>
      <c r="ATS8" s="154"/>
      <c r="ATT8" s="154"/>
      <c r="ATU8" s="154"/>
      <c r="ATV8" s="154"/>
      <c r="ATW8" s="154"/>
      <c r="ATX8" s="154"/>
      <c r="ATY8" s="154"/>
      <c r="ATZ8" s="154"/>
      <c r="AUA8" s="154"/>
      <c r="AUB8" s="154"/>
      <c r="AUC8" s="154"/>
      <c r="AUD8" s="154"/>
      <c r="AUE8" s="154"/>
      <c r="AUF8" s="154"/>
      <c r="AUG8" s="154"/>
      <c r="AUH8" s="154"/>
      <c r="AUI8" s="154"/>
      <c r="AUJ8" s="154"/>
      <c r="AUK8" s="154"/>
      <c r="AUL8" s="154"/>
      <c r="AUM8" s="154"/>
      <c r="AUN8" s="154"/>
      <c r="AUO8" s="154"/>
      <c r="AUP8" s="154"/>
      <c r="AUQ8" s="154"/>
      <c r="AUR8" s="154"/>
      <c r="AUS8" s="154"/>
      <c r="AUT8" s="154"/>
      <c r="AUU8" s="154"/>
      <c r="AUV8" s="154"/>
      <c r="AUW8" s="154"/>
      <c r="AUX8" s="154"/>
      <c r="AUY8" s="154"/>
      <c r="AUZ8" s="154"/>
      <c r="AVA8" s="154"/>
      <c r="AVB8" s="154"/>
      <c r="AVC8" s="154"/>
      <c r="AVD8" s="154"/>
      <c r="AVE8" s="154"/>
      <c r="AVF8" s="154"/>
      <c r="AVG8" s="154"/>
      <c r="AVH8" s="154"/>
      <c r="AVI8" s="154"/>
      <c r="AVJ8" s="154"/>
      <c r="AVK8" s="154"/>
      <c r="AVL8" s="154"/>
      <c r="AVM8" s="154"/>
      <c r="AVN8" s="154"/>
      <c r="AVO8" s="154"/>
      <c r="AVP8" s="154"/>
      <c r="AVQ8" s="154"/>
      <c r="AVR8" s="154"/>
      <c r="AVS8" s="154"/>
      <c r="AVT8" s="154"/>
      <c r="AVU8" s="154"/>
      <c r="AVV8" s="154"/>
      <c r="AVW8" s="154"/>
      <c r="AVX8" s="154"/>
      <c r="AVY8" s="154"/>
      <c r="AVZ8" s="154"/>
      <c r="AWA8" s="154"/>
      <c r="AWB8" s="154"/>
      <c r="AWC8" s="154"/>
      <c r="AWD8" s="154"/>
      <c r="AWE8" s="154"/>
      <c r="AWF8" s="154"/>
      <c r="AWG8" s="154"/>
      <c r="AWH8" s="154"/>
      <c r="AWI8" s="154"/>
      <c r="AWJ8" s="154"/>
      <c r="AWK8" s="154"/>
      <c r="AWL8" s="154"/>
      <c r="AWM8" s="154"/>
      <c r="AWN8" s="154"/>
      <c r="AWO8" s="154"/>
      <c r="AWP8" s="154"/>
      <c r="AWQ8" s="154"/>
      <c r="AWR8" s="154"/>
      <c r="AWS8" s="154"/>
      <c r="AWT8" s="154"/>
      <c r="AWU8" s="154"/>
      <c r="AWV8" s="154"/>
      <c r="AWW8" s="154"/>
      <c r="AWX8" s="154"/>
      <c r="AWY8" s="154"/>
      <c r="AWZ8" s="154"/>
      <c r="AXA8" s="154"/>
      <c r="AXB8" s="154"/>
      <c r="AXC8" s="154"/>
      <c r="AXD8" s="154"/>
      <c r="AXE8" s="154"/>
      <c r="AXF8" s="154"/>
      <c r="AXG8" s="154"/>
      <c r="AXH8" s="154"/>
      <c r="AXI8" s="154"/>
      <c r="AXJ8" s="154"/>
      <c r="AXK8" s="154"/>
      <c r="AXL8" s="154"/>
      <c r="AXM8" s="154"/>
      <c r="AXN8" s="154"/>
      <c r="AXO8" s="154"/>
      <c r="AXP8" s="154"/>
      <c r="AXQ8" s="154"/>
      <c r="AXR8" s="154"/>
      <c r="AXS8" s="154"/>
      <c r="AXT8" s="154"/>
      <c r="AXU8" s="154"/>
      <c r="AXV8" s="154"/>
      <c r="AXW8" s="154"/>
      <c r="AXX8" s="154"/>
      <c r="AXY8" s="154"/>
      <c r="AXZ8" s="154"/>
      <c r="AYA8" s="154"/>
      <c r="AYB8" s="154"/>
      <c r="AYC8" s="154"/>
      <c r="AYD8" s="154"/>
      <c r="AYE8" s="154"/>
      <c r="AYF8" s="154"/>
      <c r="AYG8" s="154"/>
      <c r="AYH8" s="154"/>
      <c r="AYI8" s="154"/>
      <c r="AYJ8" s="154"/>
      <c r="AYK8" s="154"/>
      <c r="AYL8" s="154"/>
      <c r="AYM8" s="154"/>
      <c r="AYN8" s="154"/>
      <c r="AYO8" s="154"/>
      <c r="AYP8" s="154"/>
      <c r="AYQ8" s="154"/>
      <c r="AYR8" s="154"/>
      <c r="AYS8" s="154"/>
      <c r="AYT8" s="154"/>
      <c r="AYU8" s="154"/>
      <c r="AYV8" s="154"/>
      <c r="AYW8" s="154"/>
      <c r="AYX8" s="154"/>
      <c r="AYY8" s="154"/>
      <c r="AYZ8" s="154"/>
      <c r="AZA8" s="154"/>
      <c r="AZB8" s="154"/>
      <c r="AZC8" s="154"/>
      <c r="AZD8" s="154"/>
      <c r="AZE8" s="154"/>
      <c r="AZF8" s="154"/>
      <c r="AZG8" s="154"/>
      <c r="AZH8" s="154"/>
      <c r="AZI8" s="154"/>
      <c r="AZJ8" s="154"/>
      <c r="AZK8" s="154"/>
      <c r="AZL8" s="154"/>
      <c r="AZM8" s="154"/>
      <c r="AZN8" s="154"/>
      <c r="AZO8" s="154"/>
      <c r="AZP8" s="154"/>
      <c r="AZQ8" s="154"/>
      <c r="AZR8" s="154"/>
      <c r="AZS8" s="154"/>
      <c r="AZT8" s="154"/>
      <c r="AZU8" s="154"/>
      <c r="AZV8" s="154"/>
      <c r="AZW8" s="154"/>
      <c r="AZX8" s="154"/>
      <c r="AZY8" s="154"/>
      <c r="AZZ8" s="154"/>
      <c r="BAA8" s="154"/>
      <c r="BAB8" s="154"/>
      <c r="BAC8" s="154"/>
      <c r="BAD8" s="154"/>
      <c r="BAE8" s="154"/>
      <c r="BAF8" s="154"/>
      <c r="BAG8" s="154"/>
      <c r="BAH8" s="154"/>
      <c r="BAI8" s="154"/>
      <c r="BAJ8" s="154"/>
      <c r="BAK8" s="154"/>
      <c r="BAL8" s="154"/>
      <c r="BAM8" s="154"/>
      <c r="BAN8" s="154"/>
      <c r="BAO8" s="154"/>
      <c r="BAP8" s="154"/>
      <c r="BAQ8" s="154"/>
      <c r="BAR8" s="154"/>
      <c r="BAS8" s="154"/>
      <c r="BAT8" s="154"/>
      <c r="BAU8" s="154"/>
      <c r="BAV8" s="154"/>
      <c r="BAW8" s="154"/>
      <c r="BAX8" s="154"/>
      <c r="BAY8" s="154"/>
      <c r="BAZ8" s="154"/>
      <c r="BBA8" s="154"/>
      <c r="BBB8" s="154"/>
      <c r="BBC8" s="154"/>
      <c r="BBD8" s="154"/>
      <c r="BBE8" s="154"/>
      <c r="BBF8" s="154"/>
      <c r="BBG8" s="154"/>
      <c r="BBH8" s="154"/>
      <c r="BBI8" s="154"/>
      <c r="BBJ8" s="154"/>
      <c r="BBK8" s="154"/>
      <c r="BBL8" s="154"/>
      <c r="BBM8" s="154"/>
      <c r="BBN8" s="154"/>
      <c r="BBO8" s="154"/>
      <c r="BBP8" s="154"/>
      <c r="BBQ8" s="154"/>
      <c r="BBR8" s="154"/>
      <c r="BBS8" s="154"/>
      <c r="BBT8" s="154"/>
      <c r="BBU8" s="154"/>
      <c r="BBV8" s="154"/>
      <c r="BBW8" s="154"/>
      <c r="BBX8" s="154"/>
      <c r="BBY8" s="154"/>
      <c r="BBZ8" s="154"/>
      <c r="BCA8" s="154"/>
      <c r="BCB8" s="154"/>
      <c r="BCC8" s="154"/>
      <c r="BCD8" s="154"/>
      <c r="BCE8" s="154"/>
      <c r="BCF8" s="154"/>
      <c r="BCG8" s="154"/>
      <c r="BCH8" s="154"/>
      <c r="BCI8" s="154"/>
      <c r="BCJ8" s="154"/>
      <c r="BCK8" s="154"/>
      <c r="BCL8" s="154"/>
      <c r="BCM8" s="154"/>
      <c r="BCN8" s="154"/>
      <c r="BCO8" s="154"/>
      <c r="BCP8" s="154"/>
      <c r="BCQ8" s="154"/>
      <c r="BCR8" s="154"/>
      <c r="BCS8" s="154"/>
      <c r="BCT8" s="154"/>
      <c r="BCU8" s="154"/>
      <c r="BCV8" s="154"/>
      <c r="BCW8" s="154"/>
      <c r="BCX8" s="154"/>
      <c r="BCY8" s="154"/>
      <c r="BCZ8" s="154"/>
      <c r="BDA8" s="154"/>
      <c r="BDB8" s="154"/>
      <c r="BDC8" s="154"/>
      <c r="BDD8" s="154"/>
      <c r="BDE8" s="154"/>
      <c r="BDF8" s="154"/>
      <c r="BDG8" s="154"/>
      <c r="BDH8" s="154"/>
      <c r="BDI8" s="154"/>
      <c r="BDJ8" s="154"/>
      <c r="BDK8" s="154"/>
      <c r="BDL8" s="154"/>
      <c r="BDM8" s="154"/>
      <c r="BDN8" s="154"/>
      <c r="BDO8" s="154"/>
      <c r="BDP8" s="154"/>
      <c r="BDQ8" s="154"/>
      <c r="BDR8" s="154"/>
      <c r="BDS8" s="154"/>
      <c r="BDT8" s="154"/>
      <c r="BDU8" s="154"/>
      <c r="BDV8" s="154"/>
      <c r="BDW8" s="154"/>
      <c r="BDX8" s="154"/>
      <c r="BDY8" s="154"/>
      <c r="BDZ8" s="154"/>
      <c r="BEA8" s="154"/>
      <c r="BEB8" s="154"/>
      <c r="BEC8" s="154"/>
      <c r="BED8" s="154"/>
      <c r="BEE8" s="154"/>
      <c r="BEF8" s="154"/>
      <c r="BEG8" s="154"/>
      <c r="BEH8" s="154"/>
      <c r="BEI8" s="154"/>
      <c r="BEJ8" s="154"/>
      <c r="BEK8" s="154"/>
      <c r="BEL8" s="154"/>
      <c r="BEM8" s="154"/>
      <c r="BEN8" s="154"/>
      <c r="BEO8" s="154"/>
      <c r="BEP8" s="154"/>
      <c r="BEQ8" s="154"/>
      <c r="BER8" s="154"/>
      <c r="BES8" s="154"/>
      <c r="BET8" s="154"/>
      <c r="BEU8" s="154"/>
      <c r="BEV8" s="154"/>
      <c r="BEW8" s="154"/>
      <c r="BEX8" s="154"/>
      <c r="BEY8" s="154"/>
      <c r="BEZ8" s="154"/>
      <c r="BFA8" s="154"/>
      <c r="BFB8" s="154"/>
      <c r="BFC8" s="154"/>
      <c r="BFD8" s="154"/>
      <c r="BFE8" s="154"/>
      <c r="BFF8" s="154"/>
      <c r="BFG8" s="154"/>
      <c r="BFH8" s="154"/>
      <c r="BFI8" s="154"/>
      <c r="BFJ8" s="154"/>
      <c r="BFK8" s="154"/>
      <c r="BFL8" s="154"/>
      <c r="BFM8" s="154"/>
      <c r="BFN8" s="154"/>
      <c r="BFO8" s="154"/>
      <c r="BFP8" s="154"/>
      <c r="BFQ8" s="154"/>
      <c r="BFR8" s="154"/>
      <c r="BFS8" s="154"/>
      <c r="BFT8" s="154"/>
      <c r="BFU8" s="154"/>
      <c r="BFV8" s="154"/>
      <c r="BFW8" s="154"/>
      <c r="BFX8" s="154"/>
      <c r="BFY8" s="154"/>
      <c r="BFZ8" s="154"/>
      <c r="BGA8" s="154"/>
      <c r="BGB8" s="154"/>
      <c r="BGC8" s="154"/>
      <c r="BGD8" s="154"/>
      <c r="BGE8" s="154"/>
      <c r="BGF8" s="154"/>
      <c r="BGG8" s="154"/>
      <c r="BGH8" s="154"/>
      <c r="BGI8" s="154"/>
      <c r="BGJ8" s="154"/>
      <c r="BGK8" s="154"/>
      <c r="BGL8" s="154"/>
      <c r="BGM8" s="154"/>
      <c r="BGN8" s="154"/>
      <c r="BGO8" s="154"/>
      <c r="BGP8" s="154"/>
      <c r="BGQ8" s="154"/>
      <c r="BGR8" s="154"/>
      <c r="BGS8" s="154"/>
      <c r="BGT8" s="154"/>
      <c r="BGU8" s="154"/>
      <c r="BGV8" s="154"/>
      <c r="BGW8" s="154"/>
      <c r="BGX8" s="154"/>
      <c r="BGY8" s="154"/>
      <c r="BGZ8" s="154"/>
      <c r="BHA8" s="154"/>
      <c r="BHB8" s="154"/>
      <c r="BHC8" s="154"/>
      <c r="BHD8" s="154"/>
      <c r="BHE8" s="154"/>
      <c r="BHF8" s="154"/>
      <c r="BHG8" s="154"/>
      <c r="BHH8" s="154"/>
      <c r="BHI8" s="154"/>
      <c r="BHJ8" s="154"/>
      <c r="BHK8" s="154"/>
      <c r="BHL8" s="154"/>
      <c r="BHM8" s="154"/>
      <c r="BHN8" s="154"/>
      <c r="BHO8" s="154"/>
      <c r="BHP8" s="154"/>
      <c r="BHQ8" s="154"/>
      <c r="BHR8" s="154"/>
      <c r="BHS8" s="154"/>
      <c r="BHT8" s="154"/>
      <c r="BHU8" s="154"/>
      <c r="BHV8" s="154"/>
      <c r="BHW8" s="154"/>
      <c r="BHX8" s="154"/>
      <c r="BHY8" s="154"/>
      <c r="BHZ8" s="154"/>
      <c r="BIA8" s="154"/>
      <c r="BIB8" s="154"/>
      <c r="BIC8" s="154"/>
      <c r="BID8" s="154"/>
      <c r="BIE8" s="154"/>
      <c r="BIF8" s="154"/>
      <c r="BIG8" s="154"/>
      <c r="BIH8" s="154"/>
      <c r="BII8" s="154"/>
      <c r="BIJ8" s="154"/>
      <c r="BIK8" s="154"/>
      <c r="BIL8" s="154"/>
      <c r="BIM8" s="154"/>
      <c r="BIN8" s="154"/>
      <c r="BIO8" s="154"/>
      <c r="BIP8" s="154"/>
      <c r="BIQ8" s="154"/>
      <c r="BIR8" s="154"/>
      <c r="BIS8" s="154"/>
      <c r="BIT8" s="154"/>
      <c r="BIU8" s="154"/>
      <c r="BIV8" s="154"/>
      <c r="BIW8" s="154"/>
      <c r="BIX8" s="154"/>
      <c r="BIY8" s="154"/>
      <c r="BIZ8" s="154"/>
      <c r="BJA8" s="154"/>
      <c r="BJB8" s="154"/>
      <c r="BJC8" s="154"/>
      <c r="BJD8" s="154"/>
      <c r="BJE8" s="154"/>
      <c r="BJF8" s="154"/>
      <c r="BJG8" s="154"/>
      <c r="BJH8" s="154"/>
      <c r="BJI8" s="154"/>
      <c r="BJJ8" s="154"/>
      <c r="BJK8" s="154"/>
      <c r="BJL8" s="154"/>
      <c r="BJM8" s="154"/>
      <c r="BJN8" s="154"/>
      <c r="BJO8" s="154"/>
      <c r="BJP8" s="154"/>
      <c r="BJQ8" s="154"/>
      <c r="BJR8" s="154"/>
      <c r="BJS8" s="154"/>
      <c r="BJT8" s="154"/>
      <c r="BJU8" s="154"/>
      <c r="BJV8" s="154"/>
      <c r="BJW8" s="154"/>
      <c r="BJX8" s="154"/>
      <c r="BJY8" s="154"/>
      <c r="BJZ8" s="154"/>
      <c r="BKA8" s="154"/>
      <c r="BKB8" s="154"/>
      <c r="BKC8" s="154"/>
      <c r="BKD8" s="154"/>
      <c r="BKE8" s="154"/>
      <c r="BKF8" s="154"/>
      <c r="BKG8" s="154"/>
      <c r="BKH8" s="154"/>
      <c r="BKI8" s="154"/>
      <c r="BKJ8" s="154"/>
      <c r="BKK8" s="154"/>
      <c r="BKL8" s="154"/>
      <c r="BKM8" s="154"/>
      <c r="BKN8" s="154"/>
      <c r="BKO8" s="154"/>
      <c r="BKP8" s="154"/>
      <c r="BKQ8" s="154"/>
      <c r="BKR8" s="154"/>
      <c r="BKS8" s="154"/>
      <c r="BKT8" s="154"/>
      <c r="BKU8" s="154"/>
      <c r="BKV8" s="154"/>
      <c r="BKW8" s="154"/>
      <c r="BKX8" s="154"/>
      <c r="BKY8" s="154"/>
      <c r="BKZ8" s="154"/>
      <c r="BLA8" s="154"/>
      <c r="BLB8" s="154"/>
      <c r="BLC8" s="154"/>
      <c r="BLD8" s="154"/>
      <c r="BLE8" s="154"/>
      <c r="BLF8" s="154"/>
      <c r="BLG8" s="154"/>
      <c r="BLH8" s="154"/>
      <c r="BLI8" s="154"/>
      <c r="BLJ8" s="154"/>
      <c r="BLK8" s="154"/>
      <c r="BLL8" s="154"/>
      <c r="BLM8" s="154"/>
      <c r="BLN8" s="154"/>
      <c r="BLO8" s="154"/>
      <c r="BLP8" s="154"/>
      <c r="BLQ8" s="154"/>
      <c r="BLR8" s="154"/>
      <c r="BLS8" s="154"/>
      <c r="BLT8" s="154"/>
      <c r="BLU8" s="154"/>
      <c r="BLV8" s="154"/>
      <c r="BLW8" s="154"/>
      <c r="BLX8" s="154"/>
      <c r="BLY8" s="154"/>
      <c r="BLZ8" s="154"/>
      <c r="BMA8" s="154"/>
      <c r="BMB8" s="154"/>
      <c r="BMC8" s="154"/>
      <c r="BMD8" s="154"/>
      <c r="BME8" s="154"/>
      <c r="BMF8" s="154"/>
      <c r="BMG8" s="154"/>
      <c r="BMH8" s="154"/>
      <c r="BMI8" s="154"/>
      <c r="BMJ8" s="154"/>
      <c r="BMK8" s="154"/>
      <c r="BML8" s="154"/>
      <c r="BMM8" s="154"/>
      <c r="BMN8" s="154"/>
      <c r="BMO8" s="154"/>
      <c r="BMP8" s="154"/>
      <c r="BMQ8" s="154"/>
      <c r="BMR8" s="154"/>
      <c r="BMS8" s="154"/>
      <c r="BMT8" s="154"/>
      <c r="BMU8" s="154"/>
      <c r="BMV8" s="154"/>
      <c r="BMW8" s="154"/>
      <c r="BMX8" s="154"/>
      <c r="BMY8" s="154"/>
      <c r="BMZ8" s="154"/>
      <c r="BNA8" s="154"/>
      <c r="BNB8" s="154"/>
      <c r="BNC8" s="154"/>
      <c r="BND8" s="154"/>
      <c r="BNE8" s="154"/>
      <c r="BNF8" s="154"/>
      <c r="BNG8" s="154"/>
      <c r="BNH8" s="154"/>
      <c r="BNI8" s="154"/>
      <c r="BNJ8" s="154"/>
      <c r="BNK8" s="154"/>
      <c r="BNL8" s="154"/>
      <c r="BNM8" s="154"/>
      <c r="BNN8" s="154"/>
      <c r="BNO8" s="154"/>
      <c r="BNP8" s="154"/>
      <c r="BNQ8" s="154"/>
      <c r="BNR8" s="154"/>
      <c r="BNS8" s="154"/>
      <c r="BNT8" s="154"/>
      <c r="BNU8" s="154"/>
      <c r="BNV8" s="154"/>
      <c r="BNW8" s="154"/>
      <c r="BNX8" s="154"/>
      <c r="BNY8" s="154"/>
      <c r="BNZ8" s="154"/>
      <c r="BOA8" s="154"/>
      <c r="BOB8" s="154"/>
      <c r="BOC8" s="154"/>
      <c r="BOD8" s="154"/>
      <c r="BOE8" s="154"/>
      <c r="BOF8" s="154"/>
      <c r="BOG8" s="154"/>
      <c r="BOH8" s="154"/>
      <c r="BOI8" s="154"/>
      <c r="BOJ8" s="154"/>
      <c r="BOK8" s="154"/>
      <c r="BOL8" s="154"/>
      <c r="BOM8" s="154"/>
      <c r="BON8" s="154"/>
      <c r="BOO8" s="154"/>
      <c r="BOP8" s="154"/>
      <c r="BOQ8" s="154"/>
      <c r="BOR8" s="154"/>
      <c r="BOS8" s="154"/>
      <c r="BOT8" s="154"/>
      <c r="BOU8" s="154"/>
      <c r="BOV8" s="154"/>
      <c r="BOW8" s="154"/>
      <c r="BOX8" s="154"/>
      <c r="BOY8" s="154"/>
      <c r="BOZ8" s="154"/>
      <c r="BPA8" s="154"/>
      <c r="BPB8" s="154"/>
      <c r="BPC8" s="154"/>
      <c r="BPD8" s="154"/>
      <c r="BPE8" s="154"/>
      <c r="BPF8" s="154"/>
      <c r="BPG8" s="154"/>
      <c r="BPH8" s="154"/>
      <c r="BPI8" s="154"/>
      <c r="BPJ8" s="154"/>
      <c r="BPK8" s="154"/>
      <c r="BPL8" s="154"/>
      <c r="BPM8" s="154"/>
      <c r="BPN8" s="154"/>
      <c r="BPO8" s="154"/>
      <c r="BPP8" s="154"/>
      <c r="BPQ8" s="154"/>
      <c r="BPR8" s="154"/>
      <c r="BPS8" s="154"/>
      <c r="BPT8" s="154"/>
      <c r="BPU8" s="154"/>
      <c r="BPV8" s="154"/>
      <c r="BPW8" s="154"/>
      <c r="BPX8" s="154"/>
      <c r="BPY8" s="154"/>
      <c r="BPZ8" s="154"/>
      <c r="BQA8" s="154"/>
      <c r="BQB8" s="154"/>
      <c r="BQC8" s="154"/>
      <c r="BQD8" s="154"/>
      <c r="BQE8" s="154"/>
      <c r="BQF8" s="154"/>
      <c r="BQG8" s="154"/>
      <c r="BQH8" s="154"/>
      <c r="BQI8" s="154"/>
      <c r="BQJ8" s="154"/>
      <c r="BQK8" s="154"/>
      <c r="BQL8" s="154"/>
      <c r="BQM8" s="154"/>
      <c r="BQN8" s="154"/>
      <c r="BQO8" s="154"/>
      <c r="BQP8" s="154"/>
      <c r="BQQ8" s="154"/>
      <c r="BQR8" s="154"/>
      <c r="BQS8" s="154"/>
      <c r="BQT8" s="154"/>
      <c r="BQU8" s="154"/>
      <c r="BQV8" s="154"/>
      <c r="BQW8" s="154"/>
      <c r="BQX8" s="154"/>
      <c r="BQY8" s="154"/>
      <c r="BQZ8" s="154"/>
      <c r="BRA8" s="154"/>
      <c r="BRB8" s="154"/>
      <c r="BRC8" s="154"/>
      <c r="BRD8" s="154"/>
      <c r="BRE8" s="154"/>
      <c r="BRF8" s="154"/>
      <c r="BRG8" s="154"/>
      <c r="BRH8" s="154"/>
      <c r="BRI8" s="154"/>
      <c r="BRJ8" s="154"/>
      <c r="BRK8" s="154"/>
      <c r="BRL8" s="154"/>
      <c r="BRM8" s="154"/>
      <c r="BRN8" s="154"/>
      <c r="BRO8" s="154"/>
      <c r="BRP8" s="154"/>
      <c r="BRQ8" s="154"/>
      <c r="BRR8" s="154"/>
      <c r="BRS8" s="154"/>
      <c r="BRT8" s="154"/>
      <c r="BRU8" s="154"/>
      <c r="BRV8" s="154"/>
      <c r="BRW8" s="154"/>
      <c r="BRX8" s="154"/>
      <c r="BRY8" s="154"/>
      <c r="BRZ8" s="154"/>
      <c r="BSA8" s="154"/>
      <c r="BSB8" s="154"/>
      <c r="BSC8" s="154"/>
      <c r="BSD8" s="154"/>
      <c r="BSE8" s="154"/>
      <c r="BSF8" s="154"/>
      <c r="BSG8" s="154"/>
      <c r="BSH8" s="154"/>
      <c r="BSI8" s="154"/>
      <c r="BSJ8" s="154"/>
      <c r="BSK8" s="154"/>
      <c r="BSL8" s="154"/>
      <c r="BSM8" s="154"/>
      <c r="BSN8" s="154"/>
      <c r="BSO8" s="154"/>
      <c r="BSP8" s="154"/>
      <c r="BSQ8" s="154"/>
      <c r="BSR8" s="154"/>
      <c r="BSS8" s="154"/>
      <c r="BST8" s="154"/>
      <c r="BSU8" s="154"/>
      <c r="BSV8" s="154"/>
      <c r="BSW8" s="154"/>
      <c r="BSX8" s="154"/>
      <c r="BSY8" s="154"/>
      <c r="BSZ8" s="154"/>
      <c r="BTA8" s="154"/>
      <c r="BTB8" s="154"/>
      <c r="BTC8" s="154"/>
      <c r="BTD8" s="154"/>
      <c r="BTE8" s="154"/>
      <c r="BTF8" s="154"/>
      <c r="BTG8" s="154"/>
      <c r="BTH8" s="154"/>
      <c r="BTI8" s="154"/>
      <c r="BTJ8" s="154"/>
      <c r="BTK8" s="154"/>
      <c r="BTL8" s="154"/>
      <c r="BTM8" s="154"/>
      <c r="BTN8" s="154"/>
      <c r="BTO8" s="154"/>
      <c r="BTP8" s="154"/>
      <c r="BTQ8" s="154"/>
      <c r="BTR8" s="154"/>
      <c r="BTS8" s="154"/>
      <c r="BTT8" s="154"/>
      <c r="BTU8" s="154"/>
      <c r="BTV8" s="154"/>
      <c r="BTW8" s="154"/>
      <c r="BTX8" s="154"/>
      <c r="BTY8" s="154"/>
      <c r="BTZ8" s="154"/>
      <c r="BUA8" s="154"/>
      <c r="BUB8" s="154"/>
      <c r="BUC8" s="154"/>
      <c r="BUD8" s="154"/>
      <c r="BUE8" s="154"/>
      <c r="BUF8" s="154"/>
      <c r="BUG8" s="154"/>
      <c r="BUH8" s="154"/>
      <c r="BUI8" s="154"/>
      <c r="BUJ8" s="154"/>
      <c r="BUK8" s="154"/>
      <c r="BUL8" s="154"/>
      <c r="BUM8" s="154"/>
      <c r="BUN8" s="154"/>
      <c r="BUO8" s="154"/>
      <c r="BUP8" s="154"/>
      <c r="BUQ8" s="154"/>
      <c r="BUR8" s="154"/>
      <c r="BUS8" s="154"/>
      <c r="BUT8" s="154"/>
      <c r="BUU8" s="154"/>
      <c r="BUV8" s="154"/>
      <c r="BUW8" s="154"/>
      <c r="BUX8" s="154"/>
      <c r="BUY8" s="154"/>
      <c r="BUZ8" s="154"/>
      <c r="BVA8" s="154"/>
      <c r="BVB8" s="154"/>
      <c r="BVC8" s="154"/>
      <c r="BVD8" s="154"/>
      <c r="BVE8" s="154"/>
      <c r="BVF8" s="154"/>
      <c r="BVG8" s="154"/>
      <c r="BVH8" s="154"/>
      <c r="BVI8" s="154"/>
      <c r="BVJ8" s="154"/>
      <c r="BVK8" s="154"/>
      <c r="BVL8" s="154"/>
      <c r="BVM8" s="154"/>
      <c r="BVN8" s="154"/>
      <c r="BVO8" s="154"/>
      <c r="BVP8" s="154"/>
      <c r="BVQ8" s="154"/>
      <c r="BVR8" s="154"/>
      <c r="BVS8" s="154"/>
      <c r="BVT8" s="154"/>
      <c r="BVU8" s="154"/>
      <c r="BVV8" s="154"/>
      <c r="BVW8" s="154"/>
      <c r="BVX8" s="154"/>
      <c r="BVY8" s="154"/>
      <c r="BVZ8" s="154"/>
      <c r="BWA8" s="154"/>
      <c r="BWB8" s="154"/>
      <c r="BWC8" s="154"/>
      <c r="BWD8" s="154"/>
      <c r="BWE8" s="154"/>
      <c r="BWF8" s="154"/>
      <c r="BWG8" s="154"/>
      <c r="BWH8" s="154"/>
      <c r="BWI8" s="154"/>
      <c r="BWJ8" s="154"/>
      <c r="BWK8" s="154"/>
      <c r="BWL8" s="154"/>
      <c r="BWM8" s="154"/>
      <c r="BWN8" s="154"/>
      <c r="BWO8" s="154"/>
      <c r="BWP8" s="154"/>
      <c r="BWQ8" s="154"/>
      <c r="BWR8" s="154"/>
      <c r="BWS8" s="154"/>
      <c r="BWT8" s="154"/>
      <c r="BWU8" s="154"/>
      <c r="BWV8" s="154"/>
      <c r="BWW8" s="154"/>
      <c r="BWX8" s="154"/>
      <c r="BWY8" s="154"/>
      <c r="BWZ8" s="154"/>
      <c r="BXA8" s="154"/>
      <c r="BXB8" s="154"/>
      <c r="BXC8" s="154"/>
      <c r="BXD8" s="154"/>
      <c r="BXE8" s="154"/>
      <c r="BXF8" s="154"/>
      <c r="BXG8" s="154"/>
      <c r="BXH8" s="154"/>
      <c r="BXI8" s="154"/>
      <c r="BXJ8" s="154"/>
      <c r="BXK8" s="154"/>
      <c r="BXL8" s="154"/>
      <c r="BXM8" s="154"/>
      <c r="BXN8" s="154"/>
      <c r="BXO8" s="154"/>
      <c r="BXP8" s="154"/>
      <c r="BXQ8" s="154"/>
      <c r="BXR8" s="154"/>
      <c r="BXS8" s="154"/>
      <c r="BXT8" s="154"/>
      <c r="BXU8" s="154"/>
      <c r="BXV8" s="154"/>
      <c r="BXW8" s="154"/>
      <c r="BXX8" s="154"/>
      <c r="BXY8" s="154"/>
      <c r="BXZ8" s="154"/>
      <c r="BYA8" s="154"/>
      <c r="BYB8" s="154"/>
      <c r="BYC8" s="154"/>
      <c r="BYD8" s="154"/>
      <c r="BYE8" s="154"/>
      <c r="BYF8" s="154"/>
      <c r="BYG8" s="154"/>
      <c r="BYH8" s="154"/>
      <c r="BYI8" s="154"/>
      <c r="BYJ8" s="154"/>
      <c r="BYK8" s="154"/>
      <c r="BYL8" s="154"/>
      <c r="BYM8" s="154"/>
      <c r="BYN8" s="154"/>
      <c r="BYO8" s="154"/>
      <c r="BYP8" s="154"/>
      <c r="BYQ8" s="154"/>
      <c r="BYR8" s="154"/>
      <c r="BYS8" s="154"/>
      <c r="BYT8" s="154"/>
      <c r="BYU8" s="154"/>
      <c r="BYV8" s="154"/>
      <c r="BYW8" s="154"/>
      <c r="BYX8" s="154"/>
      <c r="BYY8" s="154"/>
      <c r="BYZ8" s="154"/>
      <c r="BZA8" s="154"/>
      <c r="BZB8" s="154"/>
      <c r="BZC8" s="154"/>
      <c r="BZD8" s="154"/>
      <c r="BZE8" s="154"/>
      <c r="BZF8" s="154"/>
      <c r="BZG8" s="154"/>
      <c r="BZH8" s="154"/>
      <c r="BZI8" s="154"/>
      <c r="BZJ8" s="154"/>
      <c r="BZK8" s="154"/>
      <c r="BZL8" s="154"/>
      <c r="BZM8" s="154"/>
      <c r="BZN8" s="154"/>
      <c r="BZO8" s="154"/>
      <c r="BZP8" s="154"/>
      <c r="BZQ8" s="154"/>
      <c r="BZR8" s="154"/>
      <c r="BZS8" s="154"/>
      <c r="BZT8" s="154"/>
      <c r="BZU8" s="154"/>
      <c r="BZV8" s="154"/>
      <c r="BZW8" s="154"/>
      <c r="BZX8" s="154"/>
      <c r="BZY8" s="154"/>
      <c r="BZZ8" s="154"/>
      <c r="CAA8" s="154"/>
      <c r="CAB8" s="154"/>
      <c r="CAC8" s="154"/>
      <c r="CAD8" s="154"/>
      <c r="CAE8" s="154"/>
      <c r="CAF8" s="154"/>
      <c r="CAG8" s="154"/>
      <c r="CAH8" s="154"/>
      <c r="CAI8" s="154"/>
      <c r="CAJ8" s="154"/>
      <c r="CAK8" s="154"/>
      <c r="CAL8" s="154"/>
      <c r="CAM8" s="154"/>
      <c r="CAN8" s="154"/>
      <c r="CAO8" s="154"/>
      <c r="CAP8" s="154"/>
      <c r="CAQ8" s="154"/>
      <c r="CAR8" s="154"/>
      <c r="CAS8" s="154"/>
      <c r="CAT8" s="154"/>
      <c r="CAU8" s="154"/>
      <c r="CAV8" s="154"/>
      <c r="CAW8" s="154"/>
      <c r="CAX8" s="154"/>
      <c r="CAY8" s="154"/>
      <c r="CAZ8" s="154"/>
      <c r="CBA8" s="154"/>
      <c r="CBB8" s="154"/>
      <c r="CBC8" s="154"/>
      <c r="CBD8" s="154"/>
      <c r="CBE8" s="154"/>
      <c r="CBF8" s="154"/>
      <c r="CBG8" s="154"/>
      <c r="CBH8" s="154"/>
      <c r="CBI8" s="154"/>
      <c r="CBJ8" s="154"/>
      <c r="CBK8" s="154"/>
      <c r="CBL8" s="154"/>
      <c r="CBM8" s="154"/>
      <c r="CBN8" s="154"/>
      <c r="CBO8" s="154"/>
      <c r="CBP8" s="154"/>
      <c r="CBQ8" s="154"/>
      <c r="CBR8" s="154"/>
      <c r="CBS8" s="154"/>
      <c r="CBT8" s="154"/>
      <c r="CBU8" s="154"/>
      <c r="CBV8" s="154"/>
      <c r="CBW8" s="154"/>
      <c r="CBX8" s="154"/>
      <c r="CBY8" s="154"/>
      <c r="CBZ8" s="154"/>
      <c r="CCA8" s="154"/>
      <c r="CCB8" s="154"/>
      <c r="CCC8" s="154"/>
      <c r="CCD8" s="154"/>
      <c r="CCE8" s="154"/>
      <c r="CCF8" s="154"/>
      <c r="CCG8" s="154"/>
      <c r="CCH8" s="154"/>
      <c r="CCI8" s="154"/>
      <c r="CCJ8" s="154"/>
      <c r="CCK8" s="154"/>
      <c r="CCL8" s="154"/>
      <c r="CCM8" s="154"/>
      <c r="CCN8" s="154"/>
      <c r="CCO8" s="154"/>
      <c r="CCP8" s="154"/>
      <c r="CCQ8" s="154"/>
      <c r="CCR8" s="154"/>
      <c r="CCS8" s="154"/>
      <c r="CCT8" s="154"/>
      <c r="CCU8" s="154"/>
      <c r="CCV8" s="154"/>
      <c r="CCW8" s="154"/>
      <c r="CCX8" s="154"/>
      <c r="CCY8" s="154"/>
      <c r="CCZ8" s="154"/>
      <c r="CDA8" s="154"/>
      <c r="CDB8" s="154"/>
      <c r="CDC8" s="154"/>
      <c r="CDD8" s="154"/>
      <c r="CDE8" s="154"/>
      <c r="CDF8" s="154"/>
      <c r="CDG8" s="154"/>
      <c r="CDH8" s="154"/>
      <c r="CDI8" s="154"/>
      <c r="CDJ8" s="154"/>
      <c r="CDK8" s="154"/>
      <c r="CDL8" s="154"/>
      <c r="CDM8" s="154"/>
      <c r="CDN8" s="154"/>
      <c r="CDO8" s="154"/>
      <c r="CDP8" s="154"/>
      <c r="CDQ8" s="154"/>
      <c r="CDR8" s="154"/>
      <c r="CDS8" s="154"/>
      <c r="CDT8" s="154"/>
      <c r="CDU8" s="154"/>
      <c r="CDV8" s="154"/>
      <c r="CDW8" s="154"/>
      <c r="CDX8" s="154"/>
      <c r="CDY8" s="154"/>
      <c r="CDZ8" s="154"/>
      <c r="CEA8" s="154"/>
      <c r="CEB8" s="154"/>
      <c r="CEC8" s="154"/>
      <c r="CED8" s="154"/>
      <c r="CEE8" s="154"/>
      <c r="CEF8" s="154"/>
      <c r="CEG8" s="154"/>
      <c r="CEH8" s="154"/>
      <c r="CEI8" s="154"/>
      <c r="CEJ8" s="154"/>
      <c r="CEK8" s="154"/>
      <c r="CEL8" s="154"/>
      <c r="CEM8" s="154"/>
      <c r="CEN8" s="154"/>
      <c r="CEO8" s="154"/>
      <c r="CEP8" s="154"/>
      <c r="CEQ8" s="154"/>
      <c r="CER8" s="154"/>
      <c r="CES8" s="154"/>
      <c r="CET8" s="154"/>
      <c r="CEU8" s="154"/>
      <c r="CEV8" s="154"/>
      <c r="CEW8" s="154"/>
      <c r="CEX8" s="154"/>
      <c r="CEY8" s="154"/>
      <c r="CEZ8" s="154"/>
      <c r="CFA8" s="154"/>
      <c r="CFB8" s="154"/>
      <c r="CFC8" s="154"/>
      <c r="CFD8" s="154"/>
      <c r="CFE8" s="154"/>
      <c r="CFF8" s="154"/>
      <c r="CFG8" s="154"/>
      <c r="CFH8" s="154"/>
      <c r="CFI8" s="154"/>
      <c r="CFJ8" s="154"/>
      <c r="CFK8" s="154"/>
      <c r="CFL8" s="154"/>
      <c r="CFM8" s="154"/>
      <c r="CFN8" s="154"/>
      <c r="CFO8" s="154"/>
      <c r="CFP8" s="154"/>
      <c r="CFQ8" s="154"/>
      <c r="CFR8" s="154"/>
      <c r="CFS8" s="154"/>
      <c r="CFT8" s="154"/>
      <c r="CFU8" s="154"/>
      <c r="CFV8" s="154"/>
      <c r="CFW8" s="154"/>
      <c r="CFX8" s="154"/>
      <c r="CFY8" s="154"/>
      <c r="CFZ8" s="154"/>
      <c r="CGA8" s="154"/>
      <c r="CGB8" s="154"/>
      <c r="CGC8" s="154"/>
      <c r="CGD8" s="154"/>
      <c r="CGE8" s="154"/>
      <c r="CGF8" s="154"/>
      <c r="CGG8" s="154"/>
      <c r="CGH8" s="154"/>
      <c r="CGI8" s="154"/>
      <c r="CGJ8" s="154"/>
      <c r="CGK8" s="154"/>
      <c r="CGL8" s="154"/>
      <c r="CGM8" s="154"/>
      <c r="CGN8" s="154"/>
      <c r="CGO8" s="154"/>
      <c r="CGP8" s="154"/>
      <c r="CGQ8" s="154"/>
      <c r="CGR8" s="154"/>
      <c r="CGS8" s="154"/>
      <c r="CGT8" s="154"/>
      <c r="CGU8" s="154"/>
      <c r="CGV8" s="154"/>
      <c r="CGW8" s="154"/>
      <c r="CGX8" s="154"/>
      <c r="CGY8" s="154"/>
      <c r="CGZ8" s="154"/>
      <c r="CHA8" s="154"/>
      <c r="CHB8" s="154"/>
      <c r="CHC8" s="154"/>
      <c r="CHD8" s="154"/>
      <c r="CHE8" s="154"/>
      <c r="CHF8" s="154"/>
      <c r="CHG8" s="154"/>
      <c r="CHH8" s="154"/>
      <c r="CHI8" s="154"/>
      <c r="CHJ8" s="154"/>
      <c r="CHK8" s="154"/>
      <c r="CHL8" s="154"/>
      <c r="CHM8" s="154"/>
      <c r="CHN8" s="154"/>
      <c r="CHO8" s="154"/>
      <c r="CHP8" s="154"/>
      <c r="CHQ8" s="154"/>
      <c r="CHR8" s="154"/>
      <c r="CHS8" s="154"/>
      <c r="CHT8" s="154"/>
      <c r="CHU8" s="154"/>
      <c r="CHV8" s="154"/>
      <c r="CHW8" s="154"/>
      <c r="CHX8" s="154"/>
      <c r="CHY8" s="154"/>
      <c r="CHZ8" s="154"/>
      <c r="CIA8" s="154"/>
      <c r="CIB8" s="154"/>
      <c r="CIC8" s="154"/>
      <c r="CID8" s="154"/>
      <c r="CIE8" s="154"/>
      <c r="CIF8" s="154"/>
      <c r="CIG8" s="154"/>
      <c r="CIH8" s="154"/>
      <c r="CII8" s="154"/>
      <c r="CIJ8" s="154"/>
      <c r="CIK8" s="154"/>
      <c r="CIL8" s="154"/>
      <c r="CIM8" s="154"/>
      <c r="CIN8" s="154"/>
      <c r="CIO8" s="154"/>
      <c r="CIP8" s="154"/>
      <c r="CIQ8" s="154"/>
      <c r="CIR8" s="154"/>
      <c r="CIS8" s="154"/>
      <c r="CIT8" s="154"/>
      <c r="CIU8" s="154"/>
      <c r="CIV8" s="154"/>
      <c r="CIW8" s="154"/>
      <c r="CIX8" s="154"/>
      <c r="CIY8" s="154"/>
      <c r="CIZ8" s="154"/>
      <c r="CJA8" s="154"/>
      <c r="CJB8" s="154"/>
      <c r="CJC8" s="154"/>
      <c r="CJD8" s="154"/>
      <c r="CJE8" s="154"/>
      <c r="CJF8" s="154"/>
      <c r="CJG8" s="154"/>
      <c r="CJH8" s="154"/>
      <c r="CJI8" s="154"/>
      <c r="CJJ8" s="154"/>
      <c r="CJK8" s="154"/>
      <c r="CJL8" s="154"/>
      <c r="CJM8" s="154"/>
      <c r="CJN8" s="154"/>
      <c r="CJO8" s="154"/>
      <c r="CJP8" s="154"/>
      <c r="CJQ8" s="154"/>
      <c r="CJR8" s="154"/>
      <c r="CJS8" s="154"/>
      <c r="CJT8" s="154"/>
      <c r="CJU8" s="154"/>
      <c r="CJV8" s="154"/>
      <c r="CJW8" s="154"/>
      <c r="CJX8" s="154"/>
      <c r="CJY8" s="154"/>
      <c r="CJZ8" s="154"/>
      <c r="CKA8" s="154"/>
      <c r="CKB8" s="154"/>
      <c r="CKC8" s="154"/>
      <c r="CKD8" s="154"/>
      <c r="CKE8" s="154"/>
      <c r="CKF8" s="154"/>
      <c r="CKG8" s="154"/>
      <c r="CKH8" s="154"/>
      <c r="CKI8" s="154"/>
      <c r="CKJ8" s="154"/>
      <c r="CKK8" s="154"/>
      <c r="CKL8" s="154"/>
      <c r="CKM8" s="154"/>
      <c r="CKN8" s="154"/>
      <c r="CKO8" s="154"/>
      <c r="CKP8" s="154"/>
      <c r="CKQ8" s="154"/>
      <c r="CKR8" s="154"/>
      <c r="CKS8" s="154"/>
      <c r="CKT8" s="154"/>
      <c r="CKU8" s="154"/>
      <c r="CKV8" s="154"/>
      <c r="CKW8" s="154"/>
      <c r="CKX8" s="154"/>
      <c r="CKY8" s="154"/>
      <c r="CKZ8" s="154"/>
      <c r="CLA8" s="154"/>
      <c r="CLB8" s="154"/>
      <c r="CLC8" s="154"/>
      <c r="CLD8" s="154"/>
      <c r="CLE8" s="154"/>
      <c r="CLF8" s="154"/>
      <c r="CLG8" s="154"/>
      <c r="CLH8" s="154"/>
      <c r="CLI8" s="154"/>
      <c r="CLJ8" s="154"/>
      <c r="CLK8" s="154"/>
      <c r="CLL8" s="154"/>
      <c r="CLM8" s="154"/>
      <c r="CLN8" s="154"/>
      <c r="CLO8" s="154"/>
      <c r="CLP8" s="154"/>
      <c r="CLQ8" s="154"/>
      <c r="CLR8" s="154"/>
      <c r="CLS8" s="154"/>
      <c r="CLT8" s="154"/>
      <c r="CLU8" s="154"/>
      <c r="CLV8" s="154"/>
      <c r="CLW8" s="154"/>
      <c r="CLX8" s="154"/>
      <c r="CLY8" s="154"/>
      <c r="CLZ8" s="154"/>
      <c r="CMA8" s="154"/>
      <c r="CMB8" s="154"/>
      <c r="CMC8" s="154"/>
      <c r="CMD8" s="154"/>
      <c r="CME8" s="154"/>
      <c r="CMF8" s="154"/>
      <c r="CMG8" s="154"/>
      <c r="CMH8" s="154"/>
      <c r="CMI8" s="154"/>
      <c r="CMJ8" s="154"/>
      <c r="CMK8" s="154"/>
      <c r="CML8" s="154"/>
      <c r="CMM8" s="154"/>
      <c r="CMN8" s="154"/>
      <c r="CMO8" s="154"/>
      <c r="CMP8" s="154"/>
      <c r="CMQ8" s="154"/>
      <c r="CMR8" s="154"/>
      <c r="CMS8" s="154"/>
      <c r="CMT8" s="154"/>
      <c r="CMU8" s="154"/>
      <c r="CMV8" s="154"/>
      <c r="CMW8" s="154"/>
      <c r="CMX8" s="154"/>
      <c r="CMY8" s="154"/>
      <c r="CMZ8" s="154"/>
      <c r="CNA8" s="154"/>
      <c r="CNB8" s="154"/>
      <c r="CNC8" s="154"/>
      <c r="CND8" s="154"/>
      <c r="CNE8" s="154"/>
      <c r="CNF8" s="154"/>
      <c r="CNG8" s="154"/>
      <c r="CNH8" s="154"/>
      <c r="CNI8" s="154"/>
      <c r="CNJ8" s="154"/>
      <c r="CNK8" s="154"/>
      <c r="CNL8" s="154"/>
      <c r="CNM8" s="154"/>
      <c r="CNN8" s="154"/>
      <c r="CNO8" s="154"/>
      <c r="CNP8" s="154"/>
      <c r="CNQ8" s="154"/>
      <c r="CNR8" s="154"/>
      <c r="CNS8" s="154"/>
      <c r="CNT8" s="154"/>
      <c r="CNU8" s="154"/>
      <c r="CNV8" s="154"/>
      <c r="CNW8" s="154"/>
      <c r="CNX8" s="154"/>
      <c r="CNY8" s="154"/>
      <c r="CNZ8" s="154"/>
      <c r="COA8" s="154"/>
      <c r="COB8" s="154"/>
      <c r="COC8" s="154"/>
      <c r="COD8" s="154"/>
      <c r="COE8" s="154"/>
      <c r="COF8" s="154"/>
      <c r="COG8" s="154"/>
      <c r="COH8" s="154"/>
      <c r="COI8" s="154"/>
      <c r="COJ8" s="154"/>
      <c r="COK8" s="154"/>
      <c r="COL8" s="154"/>
      <c r="COM8" s="154"/>
      <c r="CON8" s="154"/>
      <c r="COO8" s="154"/>
      <c r="COP8" s="154"/>
      <c r="COQ8" s="154"/>
      <c r="COR8" s="154"/>
      <c r="COS8" s="154"/>
      <c r="COT8" s="154"/>
      <c r="COU8" s="154"/>
      <c r="COV8" s="154"/>
      <c r="COW8" s="154"/>
      <c r="COX8" s="154"/>
      <c r="COY8" s="154"/>
      <c r="COZ8" s="154"/>
      <c r="CPA8" s="154"/>
      <c r="CPB8" s="154"/>
      <c r="CPC8" s="154"/>
      <c r="CPD8" s="154"/>
      <c r="CPE8" s="154"/>
      <c r="CPF8" s="154"/>
      <c r="CPG8" s="154"/>
      <c r="CPH8" s="154"/>
      <c r="CPI8" s="154"/>
      <c r="CPJ8" s="154"/>
      <c r="CPK8" s="154"/>
      <c r="CPL8" s="154"/>
      <c r="CPM8" s="154"/>
      <c r="CPN8" s="154"/>
      <c r="CPO8" s="154"/>
      <c r="CPP8" s="154"/>
      <c r="CPQ8" s="154"/>
      <c r="CPR8" s="154"/>
      <c r="CPS8" s="154"/>
      <c r="CPT8" s="154"/>
      <c r="CPU8" s="154"/>
      <c r="CPV8" s="154"/>
      <c r="CPW8" s="154"/>
      <c r="CPX8" s="154"/>
      <c r="CPY8" s="154"/>
      <c r="CPZ8" s="154"/>
      <c r="CQA8" s="154"/>
      <c r="CQB8" s="154"/>
      <c r="CQC8" s="154"/>
      <c r="CQD8" s="154"/>
      <c r="CQE8" s="154"/>
      <c r="CQF8" s="154"/>
      <c r="CQG8" s="154"/>
      <c r="CQH8" s="154"/>
      <c r="CQI8" s="154"/>
      <c r="CQJ8" s="154"/>
      <c r="CQK8" s="154"/>
      <c r="CQL8" s="154"/>
      <c r="CQM8" s="154"/>
      <c r="CQN8" s="154"/>
      <c r="CQO8" s="154"/>
      <c r="CQP8" s="154"/>
      <c r="CQQ8" s="154"/>
      <c r="CQR8" s="154"/>
      <c r="CQS8" s="154"/>
      <c r="CQT8" s="154"/>
      <c r="CQU8" s="154"/>
      <c r="CQV8" s="154"/>
      <c r="CQW8" s="154"/>
      <c r="CQX8" s="154"/>
      <c r="CQY8" s="154"/>
      <c r="CQZ8" s="154"/>
      <c r="CRA8" s="154"/>
      <c r="CRB8" s="154"/>
      <c r="CRC8" s="154"/>
      <c r="CRD8" s="154"/>
      <c r="CRE8" s="154"/>
      <c r="CRF8" s="154"/>
      <c r="CRG8" s="154"/>
      <c r="CRH8" s="154"/>
      <c r="CRI8" s="154"/>
      <c r="CRJ8" s="154"/>
      <c r="CRK8" s="154"/>
      <c r="CRL8" s="154"/>
      <c r="CRM8" s="154"/>
      <c r="CRN8" s="154"/>
      <c r="CRO8" s="154"/>
      <c r="CRP8" s="154"/>
      <c r="CRQ8" s="154"/>
      <c r="CRR8" s="154"/>
      <c r="CRS8" s="154"/>
      <c r="CRT8" s="154"/>
      <c r="CRU8" s="154"/>
      <c r="CRV8" s="154"/>
      <c r="CRW8" s="154"/>
      <c r="CRX8" s="154"/>
      <c r="CRY8" s="154"/>
      <c r="CRZ8" s="154"/>
      <c r="CSA8" s="154"/>
      <c r="CSB8" s="154"/>
      <c r="CSC8" s="154"/>
      <c r="CSD8" s="154"/>
      <c r="CSE8" s="154"/>
      <c r="CSF8" s="154"/>
      <c r="CSG8" s="154"/>
      <c r="CSH8" s="154"/>
      <c r="CSI8" s="154"/>
      <c r="CSJ8" s="154"/>
      <c r="CSK8" s="154"/>
      <c r="CSL8" s="154"/>
      <c r="CSM8" s="154"/>
      <c r="CSN8" s="154"/>
      <c r="CSO8" s="154"/>
      <c r="CSP8" s="154"/>
      <c r="CSQ8" s="154"/>
      <c r="CSR8" s="154"/>
      <c r="CSS8" s="154"/>
      <c r="CST8" s="154"/>
      <c r="CSU8" s="154"/>
      <c r="CSV8" s="154"/>
      <c r="CSW8" s="154"/>
      <c r="CSX8" s="154"/>
      <c r="CSY8" s="154"/>
      <c r="CSZ8" s="154"/>
      <c r="CTA8" s="154"/>
      <c r="CTB8" s="154"/>
      <c r="CTC8" s="154"/>
      <c r="CTD8" s="154"/>
      <c r="CTE8" s="154"/>
      <c r="CTF8" s="154"/>
      <c r="CTG8" s="154"/>
      <c r="CTH8" s="154"/>
      <c r="CTI8" s="154"/>
      <c r="CTJ8" s="154"/>
      <c r="CTK8" s="154"/>
      <c r="CTL8" s="154"/>
      <c r="CTM8" s="154"/>
      <c r="CTN8" s="154"/>
      <c r="CTO8" s="154"/>
      <c r="CTP8" s="154"/>
      <c r="CTQ8" s="154"/>
      <c r="CTR8" s="154"/>
      <c r="CTS8" s="154"/>
      <c r="CTT8" s="154"/>
      <c r="CTU8" s="154"/>
      <c r="CTV8" s="154"/>
      <c r="CTW8" s="154"/>
      <c r="CTX8" s="154"/>
      <c r="CTY8" s="154"/>
      <c r="CTZ8" s="154"/>
      <c r="CUA8" s="154"/>
      <c r="CUB8" s="154"/>
      <c r="CUC8" s="154"/>
      <c r="CUD8" s="154"/>
      <c r="CUE8" s="154"/>
      <c r="CUF8" s="154"/>
      <c r="CUG8" s="154"/>
      <c r="CUH8" s="154"/>
      <c r="CUI8" s="154"/>
      <c r="CUJ8" s="154"/>
      <c r="CUK8" s="154"/>
      <c r="CUL8" s="154"/>
      <c r="CUM8" s="154"/>
      <c r="CUN8" s="154"/>
      <c r="CUO8" s="154"/>
      <c r="CUP8" s="154"/>
      <c r="CUQ8" s="154"/>
      <c r="CUR8" s="154"/>
      <c r="CUS8" s="154"/>
      <c r="CUT8" s="154"/>
      <c r="CUU8" s="154"/>
      <c r="CUV8" s="154"/>
      <c r="CUW8" s="154"/>
      <c r="CUX8" s="154"/>
      <c r="CUY8" s="154"/>
      <c r="CUZ8" s="154"/>
      <c r="CVA8" s="154"/>
      <c r="CVB8" s="154"/>
      <c r="CVC8" s="154"/>
      <c r="CVD8" s="154"/>
      <c r="CVE8" s="154"/>
      <c r="CVF8" s="154"/>
      <c r="CVG8" s="154"/>
      <c r="CVH8" s="154"/>
      <c r="CVI8" s="154"/>
      <c r="CVJ8" s="154"/>
      <c r="CVK8" s="154"/>
      <c r="CVL8" s="154"/>
      <c r="CVM8" s="154"/>
      <c r="CVN8" s="154"/>
      <c r="CVO8" s="154"/>
      <c r="CVP8" s="154"/>
      <c r="CVQ8" s="154"/>
      <c r="CVR8" s="154"/>
      <c r="CVS8" s="154"/>
      <c r="CVT8" s="154"/>
      <c r="CVU8" s="154"/>
      <c r="CVV8" s="154"/>
      <c r="CVW8" s="154"/>
      <c r="CVX8" s="154"/>
      <c r="CVY8" s="154"/>
      <c r="CVZ8" s="154"/>
      <c r="CWA8" s="154"/>
      <c r="CWB8" s="154"/>
      <c r="CWC8" s="154"/>
      <c r="CWD8" s="154"/>
      <c r="CWE8" s="154"/>
      <c r="CWF8" s="154"/>
      <c r="CWG8" s="154"/>
      <c r="CWH8" s="154"/>
      <c r="CWI8" s="154"/>
      <c r="CWJ8" s="154"/>
      <c r="CWK8" s="154"/>
      <c r="CWL8" s="154"/>
      <c r="CWM8" s="154"/>
      <c r="CWN8" s="154"/>
      <c r="CWO8" s="154"/>
      <c r="CWP8" s="154"/>
      <c r="CWQ8" s="154"/>
      <c r="CWR8" s="154"/>
      <c r="CWS8" s="154"/>
      <c r="CWT8" s="154"/>
      <c r="CWU8" s="154"/>
      <c r="CWV8" s="154"/>
      <c r="CWW8" s="154"/>
      <c r="CWX8" s="154"/>
      <c r="CWY8" s="154"/>
      <c r="CWZ8" s="154"/>
      <c r="CXA8" s="154"/>
      <c r="CXB8" s="154"/>
      <c r="CXC8" s="154"/>
      <c r="CXD8" s="154"/>
      <c r="CXE8" s="154"/>
      <c r="CXF8" s="154"/>
      <c r="CXG8" s="154"/>
      <c r="CXH8" s="154"/>
      <c r="CXI8" s="154"/>
      <c r="CXJ8" s="154"/>
      <c r="CXK8" s="154"/>
      <c r="CXL8" s="154"/>
      <c r="CXM8" s="154"/>
      <c r="CXN8" s="154"/>
      <c r="CXO8" s="154"/>
      <c r="CXP8" s="154"/>
      <c r="CXQ8" s="154"/>
      <c r="CXR8" s="154"/>
      <c r="CXS8" s="154"/>
      <c r="CXT8" s="154"/>
      <c r="CXU8" s="154"/>
      <c r="CXV8" s="154"/>
      <c r="CXW8" s="154"/>
      <c r="CXX8" s="154"/>
      <c r="CXY8" s="154"/>
      <c r="CXZ8" s="154"/>
      <c r="CYA8" s="154"/>
      <c r="CYB8" s="154"/>
      <c r="CYC8" s="154"/>
      <c r="CYD8" s="154"/>
      <c r="CYE8" s="154"/>
      <c r="CYF8" s="154"/>
      <c r="CYG8" s="154"/>
      <c r="CYH8" s="154"/>
      <c r="CYI8" s="154"/>
      <c r="CYJ8" s="154"/>
      <c r="CYK8" s="154"/>
      <c r="CYL8" s="154"/>
      <c r="CYM8" s="154"/>
      <c r="CYN8" s="154"/>
      <c r="CYO8" s="154"/>
      <c r="CYP8" s="154"/>
      <c r="CYQ8" s="154"/>
      <c r="CYR8" s="154"/>
      <c r="CYS8" s="154"/>
      <c r="CYT8" s="154"/>
      <c r="CYU8" s="154"/>
      <c r="CYV8" s="154"/>
      <c r="CYW8" s="154"/>
      <c r="CYX8" s="154"/>
      <c r="CYY8" s="154"/>
      <c r="CYZ8" s="154"/>
      <c r="CZA8" s="154"/>
      <c r="CZB8" s="154"/>
      <c r="CZC8" s="154"/>
      <c r="CZD8" s="154"/>
      <c r="CZE8" s="154"/>
      <c r="CZF8" s="154"/>
      <c r="CZG8" s="154"/>
      <c r="CZH8" s="154"/>
      <c r="CZI8" s="154"/>
      <c r="CZJ8" s="154"/>
      <c r="CZK8" s="154"/>
      <c r="CZL8" s="154"/>
      <c r="CZM8" s="154"/>
      <c r="CZN8" s="154"/>
      <c r="CZO8" s="154"/>
      <c r="CZP8" s="154"/>
      <c r="CZQ8" s="154"/>
      <c r="CZR8" s="154"/>
      <c r="CZS8" s="154"/>
      <c r="CZT8" s="154"/>
      <c r="CZU8" s="154"/>
      <c r="CZV8" s="154"/>
      <c r="CZW8" s="154"/>
      <c r="CZX8" s="154"/>
      <c r="CZY8" s="154"/>
      <c r="CZZ8" s="154"/>
      <c r="DAA8" s="154"/>
      <c r="DAB8" s="154"/>
      <c r="DAC8" s="154"/>
      <c r="DAD8" s="154"/>
      <c r="DAE8" s="154"/>
      <c r="DAF8" s="154"/>
      <c r="DAG8" s="154"/>
      <c r="DAH8" s="154"/>
      <c r="DAI8" s="154"/>
      <c r="DAJ8" s="154"/>
      <c r="DAK8" s="154"/>
      <c r="DAL8" s="154"/>
      <c r="DAM8" s="154"/>
      <c r="DAN8" s="154"/>
      <c r="DAO8" s="154"/>
      <c r="DAP8" s="154"/>
      <c r="DAQ8" s="154"/>
      <c r="DAR8" s="154"/>
      <c r="DAS8" s="154"/>
      <c r="DAT8" s="154"/>
      <c r="DAU8" s="154"/>
      <c r="DAV8" s="154"/>
      <c r="DAW8" s="154"/>
      <c r="DAX8" s="154"/>
      <c r="DAY8" s="154"/>
      <c r="DAZ8" s="154"/>
      <c r="DBA8" s="154"/>
      <c r="DBB8" s="154"/>
      <c r="DBC8" s="154"/>
      <c r="DBD8" s="154"/>
      <c r="DBE8" s="154"/>
      <c r="DBF8" s="154"/>
      <c r="DBG8" s="154"/>
      <c r="DBH8" s="154"/>
      <c r="DBI8" s="154"/>
      <c r="DBJ8" s="154"/>
      <c r="DBK8" s="154"/>
      <c r="DBL8" s="154"/>
      <c r="DBM8" s="154"/>
      <c r="DBN8" s="154"/>
      <c r="DBO8" s="154"/>
      <c r="DBP8" s="154"/>
      <c r="DBQ8" s="154"/>
      <c r="DBR8" s="154"/>
      <c r="DBS8" s="154"/>
      <c r="DBT8" s="154"/>
      <c r="DBU8" s="154"/>
      <c r="DBV8" s="154"/>
      <c r="DBW8" s="154"/>
      <c r="DBX8" s="154"/>
      <c r="DBY8" s="154"/>
      <c r="DBZ8" s="154"/>
      <c r="DCA8" s="154"/>
      <c r="DCB8" s="154"/>
      <c r="DCC8" s="154"/>
      <c r="DCD8" s="154"/>
      <c r="DCE8" s="154"/>
      <c r="DCF8" s="154"/>
      <c r="DCG8" s="154"/>
      <c r="DCH8" s="154"/>
      <c r="DCI8" s="154"/>
      <c r="DCJ8" s="154"/>
      <c r="DCK8" s="154"/>
      <c r="DCL8" s="154"/>
      <c r="DCM8" s="154"/>
      <c r="DCN8" s="154"/>
      <c r="DCO8" s="154"/>
      <c r="DCP8" s="154"/>
      <c r="DCQ8" s="154"/>
      <c r="DCR8" s="154"/>
      <c r="DCS8" s="154"/>
      <c r="DCT8" s="154"/>
      <c r="DCU8" s="154"/>
      <c r="DCV8" s="154"/>
      <c r="DCW8" s="154"/>
      <c r="DCX8" s="154"/>
      <c r="DCY8" s="154"/>
      <c r="DCZ8" s="154"/>
      <c r="DDA8" s="154"/>
      <c r="DDB8" s="154"/>
      <c r="DDC8" s="154"/>
      <c r="DDD8" s="154"/>
      <c r="DDE8" s="154"/>
      <c r="DDF8" s="154"/>
      <c r="DDG8" s="154"/>
      <c r="DDH8" s="154"/>
      <c r="DDI8" s="154"/>
      <c r="DDJ8" s="154"/>
      <c r="DDK8" s="154"/>
      <c r="DDL8" s="154"/>
      <c r="DDM8" s="154"/>
      <c r="DDN8" s="154"/>
      <c r="DDO8" s="154"/>
      <c r="DDP8" s="154"/>
      <c r="DDQ8" s="154"/>
      <c r="DDR8" s="154"/>
      <c r="DDS8" s="154"/>
      <c r="DDT8" s="154"/>
      <c r="DDU8" s="154"/>
      <c r="DDV8" s="154"/>
      <c r="DDW8" s="154"/>
      <c r="DDX8" s="154"/>
      <c r="DDY8" s="154"/>
      <c r="DDZ8" s="154"/>
      <c r="DEA8" s="154"/>
      <c r="DEB8" s="154"/>
      <c r="DEC8" s="154"/>
      <c r="DED8" s="154"/>
      <c r="DEE8" s="154"/>
      <c r="DEF8" s="154"/>
      <c r="DEG8" s="154"/>
      <c r="DEH8" s="154"/>
      <c r="DEI8" s="154"/>
      <c r="DEJ8" s="154"/>
      <c r="DEK8" s="154"/>
      <c r="DEL8" s="154"/>
      <c r="DEM8" s="154"/>
      <c r="DEN8" s="154"/>
      <c r="DEO8" s="154"/>
      <c r="DEP8" s="154"/>
      <c r="DEQ8" s="154"/>
      <c r="DER8" s="154"/>
      <c r="DES8" s="154"/>
      <c r="DET8" s="154"/>
      <c r="DEU8" s="154"/>
      <c r="DEV8" s="154"/>
      <c r="DEW8" s="154"/>
      <c r="DEX8" s="154"/>
      <c r="DEY8" s="154"/>
      <c r="DEZ8" s="154"/>
      <c r="DFA8" s="154"/>
      <c r="DFB8" s="154"/>
      <c r="DFC8" s="154"/>
      <c r="DFD8" s="154"/>
      <c r="DFE8" s="154"/>
      <c r="DFF8" s="154"/>
      <c r="DFG8" s="154"/>
      <c r="DFH8" s="154"/>
      <c r="DFI8" s="154"/>
      <c r="DFJ8" s="154"/>
      <c r="DFK8" s="154"/>
      <c r="DFL8" s="154"/>
      <c r="DFM8" s="154"/>
      <c r="DFN8" s="154"/>
      <c r="DFO8" s="154"/>
      <c r="DFP8" s="154"/>
      <c r="DFQ8" s="154"/>
      <c r="DFR8" s="154"/>
      <c r="DFS8" s="154"/>
      <c r="DFT8" s="154"/>
      <c r="DFU8" s="154"/>
      <c r="DFV8" s="154"/>
      <c r="DFW8" s="154"/>
      <c r="DFX8" s="154"/>
      <c r="DFY8" s="154"/>
      <c r="DFZ8" s="154"/>
      <c r="DGA8" s="154"/>
      <c r="DGB8" s="154"/>
      <c r="DGC8" s="154"/>
      <c r="DGD8" s="154"/>
      <c r="DGE8" s="154"/>
      <c r="DGF8" s="154"/>
      <c r="DGG8" s="154"/>
      <c r="DGH8" s="154"/>
      <c r="DGI8" s="154"/>
      <c r="DGJ8" s="154"/>
      <c r="DGK8" s="154"/>
      <c r="DGL8" s="154"/>
      <c r="DGM8" s="154"/>
      <c r="DGN8" s="154"/>
      <c r="DGO8" s="154"/>
      <c r="DGP8" s="154"/>
      <c r="DGQ8" s="154"/>
      <c r="DGR8" s="154"/>
      <c r="DGS8" s="154"/>
      <c r="DGT8" s="154"/>
      <c r="DGU8" s="154"/>
      <c r="DGV8" s="154"/>
      <c r="DGW8" s="154"/>
      <c r="DGX8" s="154"/>
      <c r="DGY8" s="154"/>
      <c r="DGZ8" s="154"/>
      <c r="DHA8" s="154"/>
      <c r="DHB8" s="154"/>
      <c r="DHC8" s="154"/>
      <c r="DHD8" s="154"/>
      <c r="DHE8" s="154"/>
      <c r="DHF8" s="154"/>
      <c r="DHG8" s="154"/>
      <c r="DHH8" s="154"/>
      <c r="DHI8" s="154"/>
      <c r="DHJ8" s="154"/>
      <c r="DHK8" s="154"/>
      <c r="DHL8" s="154"/>
      <c r="DHM8" s="154"/>
      <c r="DHN8" s="154"/>
      <c r="DHO8" s="154"/>
      <c r="DHP8" s="154"/>
      <c r="DHQ8" s="154"/>
      <c r="DHR8" s="154"/>
      <c r="DHS8" s="154"/>
      <c r="DHT8" s="154"/>
      <c r="DHU8" s="154"/>
      <c r="DHV8" s="154"/>
      <c r="DHW8" s="154"/>
      <c r="DHX8" s="154"/>
      <c r="DHY8" s="154"/>
      <c r="DHZ8" s="154"/>
      <c r="DIA8" s="154"/>
      <c r="DIB8" s="154"/>
      <c r="DIC8" s="154"/>
      <c r="DID8" s="154"/>
      <c r="DIE8" s="154"/>
      <c r="DIF8" s="154"/>
      <c r="DIG8" s="154"/>
      <c r="DIH8" s="154"/>
      <c r="DII8" s="154"/>
      <c r="DIJ8" s="154"/>
      <c r="DIK8" s="154"/>
      <c r="DIL8" s="154"/>
      <c r="DIM8" s="154"/>
      <c r="DIN8" s="154"/>
      <c r="DIO8" s="154"/>
      <c r="DIP8" s="154"/>
      <c r="DIQ8" s="154"/>
      <c r="DIR8" s="154"/>
      <c r="DIS8" s="154"/>
      <c r="DIT8" s="154"/>
      <c r="DIU8" s="154"/>
      <c r="DIV8" s="154"/>
      <c r="DIW8" s="154"/>
      <c r="DIX8" s="154"/>
      <c r="DIY8" s="154"/>
      <c r="DIZ8" s="154"/>
      <c r="DJA8" s="154"/>
      <c r="DJB8" s="154"/>
      <c r="DJC8" s="154"/>
      <c r="DJD8" s="154"/>
      <c r="DJE8" s="154"/>
      <c r="DJF8" s="154"/>
      <c r="DJG8" s="154"/>
      <c r="DJH8" s="154"/>
      <c r="DJI8" s="154"/>
      <c r="DJJ8" s="154"/>
      <c r="DJK8" s="154"/>
      <c r="DJL8" s="154"/>
      <c r="DJM8" s="154"/>
      <c r="DJN8" s="154"/>
      <c r="DJO8" s="154"/>
      <c r="DJP8" s="154"/>
      <c r="DJQ8" s="154"/>
      <c r="DJR8" s="154"/>
      <c r="DJS8" s="154"/>
      <c r="DJT8" s="154"/>
      <c r="DJU8" s="154"/>
      <c r="DJV8" s="154"/>
      <c r="DJW8" s="154"/>
      <c r="DJX8" s="154"/>
      <c r="DJY8" s="154"/>
      <c r="DJZ8" s="154"/>
      <c r="DKA8" s="154"/>
      <c r="DKB8" s="154"/>
      <c r="DKC8" s="154"/>
      <c r="DKD8" s="154"/>
      <c r="DKE8" s="154"/>
      <c r="DKF8" s="154"/>
      <c r="DKG8" s="154"/>
      <c r="DKH8" s="154"/>
      <c r="DKI8" s="154"/>
      <c r="DKJ8" s="154"/>
      <c r="DKK8" s="154"/>
      <c r="DKL8" s="154"/>
      <c r="DKM8" s="154"/>
      <c r="DKN8" s="154"/>
      <c r="DKO8" s="154"/>
      <c r="DKP8" s="154"/>
      <c r="DKQ8" s="154"/>
      <c r="DKR8" s="154"/>
      <c r="DKS8" s="154"/>
      <c r="DKT8" s="154"/>
      <c r="DKU8" s="154"/>
      <c r="DKV8" s="154"/>
      <c r="DKW8" s="154"/>
      <c r="DKX8" s="154"/>
      <c r="DKY8" s="154"/>
      <c r="DKZ8" s="154"/>
      <c r="DLA8" s="154"/>
      <c r="DLB8" s="154"/>
      <c r="DLC8" s="154"/>
      <c r="DLD8" s="154"/>
      <c r="DLE8" s="154"/>
      <c r="DLF8" s="154"/>
      <c r="DLG8" s="154"/>
      <c r="DLH8" s="154"/>
      <c r="DLI8" s="154"/>
      <c r="DLJ8" s="154"/>
      <c r="DLK8" s="154"/>
      <c r="DLL8" s="154"/>
      <c r="DLM8" s="154"/>
      <c r="DLN8" s="154"/>
      <c r="DLO8" s="154"/>
      <c r="DLP8" s="154"/>
      <c r="DLQ8" s="154"/>
      <c r="DLR8" s="154"/>
      <c r="DLS8" s="154"/>
      <c r="DLT8" s="154"/>
      <c r="DLU8" s="154"/>
      <c r="DLV8" s="154"/>
      <c r="DLW8" s="154"/>
      <c r="DLX8" s="154"/>
      <c r="DLY8" s="154"/>
      <c r="DLZ8" s="154"/>
      <c r="DMA8" s="154"/>
      <c r="DMB8" s="154"/>
      <c r="DMC8" s="154"/>
      <c r="DMD8" s="154"/>
      <c r="DME8" s="154"/>
      <c r="DMF8" s="154"/>
      <c r="DMG8" s="154"/>
      <c r="DMH8" s="154"/>
      <c r="DMI8" s="154"/>
      <c r="DMJ8" s="154"/>
      <c r="DMK8" s="154"/>
      <c r="DML8" s="154"/>
      <c r="DMM8" s="154"/>
      <c r="DMN8" s="154"/>
      <c r="DMO8" s="154"/>
      <c r="DMP8" s="154"/>
      <c r="DMQ8" s="154"/>
      <c r="DMR8" s="154"/>
      <c r="DMS8" s="154"/>
      <c r="DMT8" s="154"/>
      <c r="DMU8" s="154"/>
      <c r="DMV8" s="154"/>
      <c r="DMW8" s="154"/>
      <c r="DMX8" s="154"/>
      <c r="DMY8" s="154"/>
      <c r="DMZ8" s="154"/>
      <c r="DNA8" s="154"/>
      <c r="DNB8" s="154"/>
      <c r="DNC8" s="154"/>
      <c r="DND8" s="154"/>
      <c r="DNE8" s="154"/>
      <c r="DNF8" s="154"/>
      <c r="DNG8" s="154"/>
      <c r="DNH8" s="154"/>
      <c r="DNI8" s="154"/>
      <c r="DNJ8" s="154"/>
      <c r="DNK8" s="154"/>
      <c r="DNL8" s="154"/>
      <c r="DNM8" s="154"/>
      <c r="DNN8" s="154"/>
      <c r="DNO8" s="154"/>
      <c r="DNP8" s="154"/>
      <c r="DNQ8" s="154"/>
      <c r="DNR8" s="154"/>
      <c r="DNS8" s="154"/>
      <c r="DNT8" s="154"/>
      <c r="DNU8" s="154"/>
      <c r="DNV8" s="154"/>
      <c r="DNW8" s="154"/>
      <c r="DNX8" s="154"/>
      <c r="DNY8" s="154"/>
      <c r="DNZ8" s="154"/>
      <c r="DOA8" s="154"/>
      <c r="DOB8" s="154"/>
      <c r="DOC8" s="154"/>
      <c r="DOD8" s="154"/>
      <c r="DOE8" s="154"/>
      <c r="DOF8" s="154"/>
      <c r="DOG8" s="154"/>
      <c r="DOH8" s="154"/>
      <c r="DOI8" s="154"/>
      <c r="DOJ8" s="154"/>
      <c r="DOK8" s="154"/>
      <c r="DOL8" s="154"/>
      <c r="DOM8" s="154"/>
      <c r="DON8" s="154"/>
      <c r="DOO8" s="154"/>
      <c r="DOP8" s="154"/>
      <c r="DOQ8" s="154"/>
      <c r="DOR8" s="154"/>
      <c r="DOS8" s="154"/>
      <c r="DOT8" s="154"/>
      <c r="DOU8" s="154"/>
      <c r="DOV8" s="154"/>
      <c r="DOW8" s="154"/>
      <c r="DOX8" s="154"/>
      <c r="DOY8" s="154"/>
      <c r="DOZ8" s="154"/>
      <c r="DPA8" s="154"/>
      <c r="DPB8" s="154"/>
      <c r="DPC8" s="154"/>
      <c r="DPD8" s="154"/>
      <c r="DPE8" s="154"/>
      <c r="DPF8" s="154"/>
      <c r="DPG8" s="154"/>
      <c r="DPH8" s="154"/>
      <c r="DPI8" s="154"/>
      <c r="DPJ8" s="154"/>
      <c r="DPK8" s="154"/>
      <c r="DPL8" s="154"/>
      <c r="DPM8" s="154"/>
      <c r="DPN8" s="154"/>
      <c r="DPO8" s="154"/>
      <c r="DPP8" s="154"/>
      <c r="DPQ8" s="154"/>
      <c r="DPR8" s="154"/>
      <c r="DPS8" s="154"/>
      <c r="DPT8" s="154"/>
      <c r="DPU8" s="154"/>
      <c r="DPV8" s="154"/>
      <c r="DPW8" s="154"/>
      <c r="DPX8" s="154"/>
      <c r="DPY8" s="154"/>
      <c r="DPZ8" s="154"/>
      <c r="DQA8" s="154"/>
      <c r="DQB8" s="154"/>
      <c r="DQC8" s="154"/>
      <c r="DQD8" s="154"/>
      <c r="DQE8" s="154"/>
      <c r="DQF8" s="154"/>
      <c r="DQG8" s="154"/>
      <c r="DQH8" s="154"/>
      <c r="DQI8" s="154"/>
      <c r="DQJ8" s="154"/>
      <c r="DQK8" s="154"/>
      <c r="DQL8" s="154"/>
      <c r="DQM8" s="154"/>
      <c r="DQN8" s="154"/>
      <c r="DQO8" s="154"/>
      <c r="DQP8" s="154"/>
      <c r="DQQ8" s="154"/>
      <c r="DQR8" s="154"/>
      <c r="DQS8" s="154"/>
      <c r="DQT8" s="154"/>
      <c r="DQU8" s="154"/>
      <c r="DQV8" s="154"/>
      <c r="DQW8" s="154"/>
      <c r="DQX8" s="154"/>
      <c r="DQY8" s="154"/>
      <c r="DQZ8" s="154"/>
      <c r="DRA8" s="154"/>
      <c r="DRB8" s="154"/>
      <c r="DRC8" s="154"/>
      <c r="DRD8" s="154"/>
      <c r="DRE8" s="154"/>
      <c r="DRF8" s="154"/>
      <c r="DRG8" s="154"/>
      <c r="DRH8" s="154"/>
      <c r="DRI8" s="154"/>
      <c r="DRJ8" s="154"/>
      <c r="DRK8" s="154"/>
      <c r="DRL8" s="154"/>
      <c r="DRM8" s="154"/>
      <c r="DRN8" s="154"/>
      <c r="DRO8" s="154"/>
      <c r="DRP8" s="154"/>
      <c r="DRQ8" s="154"/>
      <c r="DRR8" s="154"/>
      <c r="DRS8" s="154"/>
      <c r="DRT8" s="154"/>
      <c r="DRU8" s="154"/>
      <c r="DRV8" s="154"/>
      <c r="DRW8" s="154"/>
      <c r="DRX8" s="154"/>
      <c r="DRY8" s="154"/>
      <c r="DRZ8" s="154"/>
      <c r="DSA8" s="154"/>
      <c r="DSB8" s="154"/>
      <c r="DSC8" s="154"/>
      <c r="DSD8" s="154"/>
      <c r="DSE8" s="154"/>
      <c r="DSF8" s="154"/>
      <c r="DSG8" s="154"/>
      <c r="DSH8" s="154"/>
      <c r="DSI8" s="154"/>
      <c r="DSJ8" s="154"/>
      <c r="DSK8" s="154"/>
      <c r="DSL8" s="154"/>
      <c r="DSM8" s="154"/>
      <c r="DSN8" s="154"/>
      <c r="DSO8" s="154"/>
      <c r="DSP8" s="154"/>
      <c r="DSQ8" s="154"/>
      <c r="DSR8" s="154"/>
      <c r="DSS8" s="154"/>
      <c r="DST8" s="154"/>
      <c r="DSU8" s="154"/>
      <c r="DSV8" s="154"/>
      <c r="DSW8" s="154"/>
      <c r="DSX8" s="154"/>
      <c r="DSY8" s="154"/>
      <c r="DSZ8" s="154"/>
      <c r="DTA8" s="154"/>
      <c r="DTB8" s="154"/>
      <c r="DTC8" s="154"/>
      <c r="DTD8" s="154"/>
      <c r="DTE8" s="154"/>
      <c r="DTF8" s="154"/>
      <c r="DTG8" s="154"/>
      <c r="DTH8" s="154"/>
      <c r="DTI8" s="154"/>
      <c r="DTJ8" s="154"/>
      <c r="DTK8" s="154"/>
      <c r="DTL8" s="154"/>
      <c r="DTM8" s="154"/>
      <c r="DTN8" s="154"/>
      <c r="DTO8" s="154"/>
      <c r="DTP8" s="154"/>
      <c r="DTQ8" s="154"/>
      <c r="DTR8" s="154"/>
      <c r="DTS8" s="154"/>
      <c r="DTT8" s="154"/>
      <c r="DTU8" s="154"/>
      <c r="DTV8" s="154"/>
      <c r="DTW8" s="154"/>
      <c r="DTX8" s="154"/>
      <c r="DTY8" s="154"/>
      <c r="DTZ8" s="154"/>
      <c r="DUA8" s="154"/>
      <c r="DUB8" s="154"/>
      <c r="DUC8" s="154"/>
      <c r="DUD8" s="154"/>
      <c r="DUE8" s="154"/>
      <c r="DUF8" s="154"/>
      <c r="DUG8" s="154"/>
      <c r="DUH8" s="154"/>
      <c r="DUI8" s="154"/>
      <c r="DUJ8" s="154"/>
      <c r="DUK8" s="154"/>
      <c r="DUL8" s="154"/>
      <c r="DUM8" s="154"/>
      <c r="DUN8" s="154"/>
      <c r="DUO8" s="154"/>
      <c r="DUP8" s="154"/>
      <c r="DUQ8" s="154"/>
      <c r="DUR8" s="154"/>
      <c r="DUS8" s="154"/>
      <c r="DUT8" s="154"/>
      <c r="DUU8" s="154"/>
      <c r="DUV8" s="154"/>
      <c r="DUW8" s="154"/>
      <c r="DUX8" s="154"/>
      <c r="DUY8" s="154"/>
      <c r="DUZ8" s="154"/>
      <c r="DVA8" s="154"/>
      <c r="DVB8" s="154"/>
      <c r="DVC8" s="154"/>
      <c r="DVD8" s="154"/>
      <c r="DVE8" s="154"/>
      <c r="DVF8" s="154"/>
      <c r="DVG8" s="154"/>
      <c r="DVH8" s="154"/>
      <c r="DVI8" s="154"/>
      <c r="DVJ8" s="154"/>
      <c r="DVK8" s="154"/>
      <c r="DVL8" s="154"/>
      <c r="DVM8" s="154"/>
      <c r="DVN8" s="154"/>
      <c r="DVO8" s="154"/>
      <c r="DVP8" s="154"/>
      <c r="DVQ8" s="154"/>
      <c r="DVR8" s="154"/>
      <c r="DVS8" s="154"/>
      <c r="DVT8" s="154"/>
      <c r="DVU8" s="154"/>
      <c r="DVV8" s="154"/>
      <c r="DVW8" s="154"/>
      <c r="DVX8" s="154"/>
      <c r="DVY8" s="154"/>
      <c r="DVZ8" s="154"/>
      <c r="DWA8" s="154"/>
      <c r="DWB8" s="154"/>
      <c r="DWC8" s="154"/>
      <c r="DWD8" s="154"/>
      <c r="DWE8" s="154"/>
      <c r="DWF8" s="154"/>
      <c r="DWG8" s="154"/>
      <c r="DWH8" s="154"/>
      <c r="DWI8" s="154"/>
      <c r="DWJ8" s="154"/>
      <c r="DWK8" s="154"/>
      <c r="DWL8" s="154"/>
      <c r="DWM8" s="154"/>
      <c r="DWN8" s="154"/>
      <c r="DWO8" s="154"/>
      <c r="DWP8" s="154"/>
      <c r="DWQ8" s="154"/>
      <c r="DWR8" s="154"/>
      <c r="DWS8" s="154"/>
      <c r="DWT8" s="154"/>
      <c r="DWU8" s="154"/>
      <c r="DWV8" s="154"/>
      <c r="DWW8" s="154"/>
      <c r="DWX8" s="154"/>
      <c r="DWY8" s="154"/>
      <c r="DWZ8" s="154"/>
      <c r="DXA8" s="154"/>
      <c r="DXB8" s="154"/>
      <c r="DXC8" s="154"/>
      <c r="DXD8" s="154"/>
      <c r="DXE8" s="154"/>
      <c r="DXF8" s="154"/>
      <c r="DXG8" s="154"/>
      <c r="DXH8" s="154"/>
      <c r="DXI8" s="154"/>
      <c r="DXJ8" s="154"/>
      <c r="DXK8" s="154"/>
      <c r="DXL8" s="154"/>
      <c r="DXM8" s="154"/>
      <c r="DXN8" s="154"/>
      <c r="DXO8" s="154"/>
      <c r="DXP8" s="154"/>
      <c r="DXQ8" s="154"/>
      <c r="DXR8" s="154"/>
      <c r="DXS8" s="154"/>
      <c r="DXT8" s="154"/>
      <c r="DXU8" s="154"/>
      <c r="DXV8" s="154"/>
      <c r="DXW8" s="154"/>
      <c r="DXX8" s="154"/>
      <c r="DXY8" s="154"/>
      <c r="DXZ8" s="154"/>
      <c r="DYA8" s="154"/>
      <c r="DYB8" s="154"/>
      <c r="DYC8" s="154"/>
      <c r="DYD8" s="154"/>
      <c r="DYE8" s="154"/>
      <c r="DYF8" s="154"/>
      <c r="DYG8" s="154"/>
      <c r="DYH8" s="154"/>
      <c r="DYI8" s="154"/>
      <c r="DYJ8" s="154"/>
      <c r="DYK8" s="154"/>
      <c r="DYL8" s="154"/>
      <c r="DYM8" s="154"/>
      <c r="DYN8" s="154"/>
      <c r="DYO8" s="154"/>
      <c r="DYP8" s="154"/>
      <c r="DYQ8" s="154"/>
      <c r="DYR8" s="154"/>
      <c r="DYS8" s="154"/>
      <c r="DYT8" s="154"/>
      <c r="DYU8" s="154"/>
      <c r="DYV8" s="154"/>
      <c r="DYW8" s="154"/>
      <c r="DYX8" s="154"/>
      <c r="DYY8" s="154"/>
      <c r="DYZ8" s="154"/>
      <c r="DZA8" s="154"/>
      <c r="DZB8" s="154"/>
      <c r="DZC8" s="154"/>
      <c r="DZD8" s="154"/>
      <c r="DZE8" s="154"/>
      <c r="DZF8" s="154"/>
      <c r="DZG8" s="154"/>
      <c r="DZH8" s="154"/>
      <c r="DZI8" s="154"/>
      <c r="DZJ8" s="154"/>
      <c r="DZK8" s="154"/>
      <c r="DZL8" s="154"/>
      <c r="DZM8" s="154"/>
      <c r="DZN8" s="154"/>
      <c r="DZO8" s="154"/>
      <c r="DZP8" s="154"/>
      <c r="DZQ8" s="154"/>
      <c r="DZR8" s="154"/>
      <c r="DZS8" s="154"/>
      <c r="DZT8" s="154"/>
      <c r="DZU8" s="154"/>
      <c r="DZV8" s="154"/>
      <c r="DZW8" s="154"/>
      <c r="DZX8" s="154"/>
      <c r="DZY8" s="154"/>
      <c r="DZZ8" s="154"/>
      <c r="EAA8" s="154"/>
      <c r="EAB8" s="154"/>
      <c r="EAC8" s="154"/>
      <c r="EAD8" s="154"/>
      <c r="EAE8" s="154"/>
      <c r="EAF8" s="154"/>
      <c r="EAG8" s="154"/>
      <c r="EAH8" s="154"/>
      <c r="EAI8" s="154"/>
      <c r="EAJ8" s="154"/>
      <c r="EAK8" s="154"/>
      <c r="EAL8" s="154"/>
      <c r="EAM8" s="154"/>
      <c r="EAN8" s="154"/>
      <c r="EAO8" s="154"/>
      <c r="EAP8" s="154"/>
      <c r="EAQ8" s="154"/>
      <c r="EAR8" s="154"/>
      <c r="EAS8" s="154"/>
      <c r="EAT8" s="154"/>
      <c r="EAU8" s="154"/>
      <c r="EAV8" s="154"/>
      <c r="EAW8" s="154"/>
      <c r="EAX8" s="154"/>
      <c r="EAY8" s="154"/>
      <c r="EAZ8" s="154"/>
      <c r="EBA8" s="154"/>
      <c r="EBB8" s="154"/>
      <c r="EBC8" s="154"/>
      <c r="EBD8" s="154"/>
      <c r="EBE8" s="154"/>
      <c r="EBF8" s="154"/>
      <c r="EBG8" s="154"/>
      <c r="EBH8" s="154"/>
      <c r="EBI8" s="154"/>
      <c r="EBJ8" s="154"/>
      <c r="EBK8" s="154"/>
      <c r="EBL8" s="154"/>
      <c r="EBM8" s="154"/>
      <c r="EBN8" s="154"/>
      <c r="EBO8" s="154"/>
      <c r="EBP8" s="154"/>
      <c r="EBQ8" s="154"/>
      <c r="EBR8" s="154"/>
      <c r="EBS8" s="154"/>
      <c r="EBT8" s="154"/>
      <c r="EBU8" s="154"/>
      <c r="EBV8" s="154"/>
      <c r="EBW8" s="154"/>
      <c r="EBX8" s="154"/>
      <c r="EBY8" s="154"/>
      <c r="EBZ8" s="154"/>
      <c r="ECA8" s="154"/>
      <c r="ECB8" s="154"/>
      <c r="ECC8" s="154"/>
      <c r="ECD8" s="154"/>
      <c r="ECE8" s="154"/>
      <c r="ECF8" s="154"/>
      <c r="ECG8" s="154"/>
      <c r="ECH8" s="154"/>
      <c r="ECI8" s="154"/>
      <c r="ECJ8" s="154"/>
      <c r="ECK8" s="154"/>
      <c r="ECL8" s="154"/>
      <c r="ECM8" s="154"/>
      <c r="ECN8" s="154"/>
      <c r="ECO8" s="154"/>
      <c r="ECP8" s="154"/>
      <c r="ECQ8" s="154"/>
      <c r="ECR8" s="154"/>
      <c r="ECS8" s="154"/>
      <c r="ECT8" s="154"/>
      <c r="ECU8" s="154"/>
      <c r="ECV8" s="154"/>
      <c r="ECW8" s="154"/>
      <c r="ECX8" s="154"/>
      <c r="ECY8" s="154"/>
      <c r="ECZ8" s="154"/>
      <c r="EDA8" s="154"/>
      <c r="EDB8" s="154"/>
      <c r="EDC8" s="154"/>
      <c r="EDD8" s="154"/>
      <c r="EDE8" s="154"/>
      <c r="EDF8" s="154"/>
      <c r="EDG8" s="154"/>
      <c r="EDH8" s="154"/>
      <c r="EDI8" s="154"/>
      <c r="EDJ8" s="154"/>
      <c r="EDK8" s="154"/>
      <c r="EDL8" s="154"/>
      <c r="EDM8" s="154"/>
      <c r="EDN8" s="154"/>
      <c r="EDO8" s="154"/>
      <c r="EDP8" s="154"/>
      <c r="EDQ8" s="154"/>
      <c r="EDR8" s="154"/>
      <c r="EDS8" s="154"/>
      <c r="EDT8" s="154"/>
      <c r="EDU8" s="154"/>
      <c r="EDV8" s="154"/>
      <c r="EDW8" s="154"/>
      <c r="EDX8" s="154"/>
      <c r="EDY8" s="154"/>
      <c r="EDZ8" s="154"/>
      <c r="EEA8" s="154"/>
      <c r="EEB8" s="154"/>
      <c r="EEC8" s="154"/>
      <c r="EED8" s="154"/>
      <c r="EEE8" s="154"/>
      <c r="EEF8" s="154"/>
      <c r="EEG8" s="154"/>
      <c r="EEH8" s="154"/>
      <c r="EEI8" s="154"/>
      <c r="EEJ8" s="154"/>
      <c r="EEK8" s="154"/>
      <c r="EEL8" s="154"/>
      <c r="EEM8" s="154"/>
      <c r="EEN8" s="154"/>
      <c r="EEO8" s="154"/>
      <c r="EEP8" s="154"/>
      <c r="EEQ8" s="154"/>
      <c r="EER8" s="154"/>
      <c r="EES8" s="154"/>
      <c r="EET8" s="154"/>
      <c r="EEU8" s="154"/>
      <c r="EEV8" s="154"/>
      <c r="EEW8" s="154"/>
      <c r="EEX8" s="154"/>
      <c r="EEY8" s="154"/>
      <c r="EEZ8" s="154"/>
      <c r="EFA8" s="154"/>
      <c r="EFB8" s="154"/>
      <c r="EFC8" s="154"/>
      <c r="EFD8" s="154"/>
      <c r="EFE8" s="154"/>
      <c r="EFF8" s="154"/>
      <c r="EFG8" s="154"/>
      <c r="EFH8" s="154"/>
      <c r="EFI8" s="154"/>
      <c r="EFJ8" s="154"/>
      <c r="EFK8" s="154"/>
      <c r="EFL8" s="154"/>
      <c r="EFM8" s="154"/>
      <c r="EFN8" s="154"/>
      <c r="EFO8" s="154"/>
      <c r="EFP8" s="154"/>
      <c r="EFQ8" s="154"/>
      <c r="EFR8" s="154"/>
      <c r="EFS8" s="154"/>
      <c r="EFT8" s="154"/>
      <c r="EFU8" s="154"/>
      <c r="EFV8" s="154"/>
      <c r="EFW8" s="154"/>
      <c r="EFX8" s="154"/>
      <c r="EFY8" s="154"/>
      <c r="EFZ8" s="154"/>
      <c r="EGA8" s="154"/>
      <c r="EGB8" s="154"/>
      <c r="EGC8" s="154"/>
      <c r="EGD8" s="154"/>
      <c r="EGE8" s="154"/>
      <c r="EGF8" s="154"/>
      <c r="EGG8" s="154"/>
      <c r="EGH8" s="154"/>
      <c r="EGI8" s="154"/>
      <c r="EGJ8" s="154"/>
      <c r="EGK8" s="154"/>
      <c r="EGL8" s="154"/>
      <c r="EGM8" s="154"/>
      <c r="EGN8" s="154"/>
      <c r="EGO8" s="154"/>
      <c r="EGP8" s="154"/>
      <c r="EGQ8" s="154"/>
      <c r="EGR8" s="154"/>
      <c r="EGS8" s="154"/>
      <c r="EGT8" s="154"/>
      <c r="EGU8" s="154"/>
      <c r="EGV8" s="154"/>
      <c r="EGW8" s="154"/>
      <c r="EGX8" s="154"/>
      <c r="EGY8" s="154"/>
      <c r="EGZ8" s="154"/>
      <c r="EHA8" s="154"/>
      <c r="EHB8" s="154"/>
      <c r="EHC8" s="154"/>
      <c r="EHD8" s="154"/>
      <c r="EHE8" s="154"/>
      <c r="EHF8" s="154"/>
      <c r="EHG8" s="154"/>
      <c r="EHH8" s="154"/>
      <c r="EHI8" s="154"/>
      <c r="EHJ8" s="154"/>
      <c r="EHK8" s="154"/>
      <c r="EHL8" s="154"/>
      <c r="EHM8" s="154"/>
      <c r="EHN8" s="154"/>
      <c r="EHO8" s="154"/>
      <c r="EHP8" s="154"/>
      <c r="EHQ8" s="154"/>
      <c r="EHR8" s="154"/>
      <c r="EHS8" s="154"/>
      <c r="EHT8" s="154"/>
      <c r="EHU8" s="154"/>
      <c r="EHV8" s="154"/>
      <c r="EHW8" s="154"/>
      <c r="EHX8" s="154"/>
      <c r="EHY8" s="154"/>
      <c r="EHZ8" s="154"/>
      <c r="EIA8" s="154"/>
      <c r="EIB8" s="154"/>
      <c r="EIC8" s="154"/>
      <c r="EID8" s="154"/>
      <c r="EIE8" s="154"/>
      <c r="EIF8" s="154"/>
      <c r="EIG8" s="154"/>
      <c r="EIH8" s="154"/>
      <c r="EII8" s="154"/>
      <c r="EIJ8" s="154"/>
      <c r="EIK8" s="154"/>
      <c r="EIL8" s="154"/>
      <c r="EIM8" s="154"/>
      <c r="EIN8" s="154"/>
      <c r="EIO8" s="154"/>
      <c r="EIP8" s="154"/>
      <c r="EIQ8" s="154"/>
      <c r="EIR8" s="154"/>
      <c r="EIS8" s="154"/>
      <c r="EIT8" s="154"/>
      <c r="EIU8" s="154"/>
      <c r="EIV8" s="154"/>
      <c r="EIW8" s="154"/>
      <c r="EIX8" s="154"/>
      <c r="EIY8" s="154"/>
      <c r="EIZ8" s="154"/>
      <c r="EJA8" s="154"/>
      <c r="EJB8" s="154"/>
      <c r="EJC8" s="154"/>
      <c r="EJD8" s="154"/>
      <c r="EJE8" s="154"/>
      <c r="EJF8" s="154"/>
      <c r="EJG8" s="154"/>
      <c r="EJH8" s="154"/>
      <c r="EJI8" s="154"/>
      <c r="EJJ8" s="154"/>
      <c r="EJK8" s="154"/>
      <c r="EJL8" s="154"/>
      <c r="EJM8" s="154"/>
      <c r="EJN8" s="154"/>
      <c r="EJO8" s="154"/>
      <c r="EJP8" s="154"/>
      <c r="EJQ8" s="154"/>
      <c r="EJR8" s="154"/>
      <c r="EJS8" s="154"/>
      <c r="EJT8" s="154"/>
      <c r="EJU8" s="154"/>
      <c r="EJV8" s="154"/>
      <c r="EJW8" s="154"/>
      <c r="EJX8" s="154"/>
      <c r="EJY8" s="154"/>
      <c r="EJZ8" s="154"/>
      <c r="EKA8" s="154"/>
      <c r="EKB8" s="154"/>
      <c r="EKC8" s="154"/>
      <c r="EKD8" s="154"/>
      <c r="EKE8" s="154"/>
      <c r="EKF8" s="154"/>
      <c r="EKG8" s="154"/>
      <c r="EKH8" s="154"/>
      <c r="EKI8" s="154"/>
      <c r="EKJ8" s="154"/>
      <c r="EKK8" s="154"/>
      <c r="EKL8" s="154"/>
      <c r="EKM8" s="154"/>
      <c r="EKN8" s="154"/>
      <c r="EKO8" s="154"/>
      <c r="EKP8" s="154"/>
      <c r="EKQ8" s="154"/>
      <c r="EKR8" s="154"/>
      <c r="EKS8" s="154"/>
      <c r="EKT8" s="154"/>
      <c r="EKU8" s="154"/>
      <c r="EKV8" s="154"/>
      <c r="EKW8" s="154"/>
      <c r="EKX8" s="154"/>
      <c r="EKY8" s="154"/>
      <c r="EKZ8" s="154"/>
      <c r="ELA8" s="154"/>
      <c r="ELB8" s="154"/>
      <c r="ELC8" s="154"/>
      <c r="ELD8" s="154"/>
      <c r="ELE8" s="154"/>
      <c r="ELF8" s="154"/>
      <c r="ELG8" s="154"/>
      <c r="ELH8" s="154"/>
      <c r="ELI8" s="154"/>
      <c r="ELJ8" s="154"/>
      <c r="ELK8" s="154"/>
      <c r="ELL8" s="154"/>
      <c r="ELM8" s="154"/>
      <c r="ELN8" s="154"/>
      <c r="ELO8" s="154"/>
      <c r="ELP8" s="154"/>
      <c r="ELQ8" s="154"/>
      <c r="ELR8" s="154"/>
      <c r="ELS8" s="154"/>
      <c r="ELT8" s="154"/>
      <c r="ELU8" s="154"/>
      <c r="ELV8" s="154"/>
      <c r="ELW8" s="154"/>
      <c r="ELX8" s="154"/>
      <c r="ELY8" s="154"/>
      <c r="ELZ8" s="154"/>
      <c r="EMA8" s="154"/>
      <c r="EMB8" s="154"/>
      <c r="EMC8" s="154"/>
      <c r="EMD8" s="154"/>
      <c r="EME8" s="154"/>
      <c r="EMF8" s="154"/>
      <c r="EMG8" s="154"/>
      <c r="EMH8" s="154"/>
      <c r="EMI8" s="154"/>
      <c r="EMJ8" s="154"/>
      <c r="EMK8" s="154"/>
      <c r="EML8" s="154"/>
      <c r="EMM8" s="154"/>
      <c r="EMN8" s="154"/>
      <c r="EMO8" s="154"/>
      <c r="EMP8" s="154"/>
      <c r="EMQ8" s="154"/>
      <c r="EMR8" s="154"/>
      <c r="EMS8" s="154"/>
      <c r="EMT8" s="154"/>
      <c r="EMU8" s="154"/>
      <c r="EMV8" s="154"/>
      <c r="EMW8" s="154"/>
      <c r="EMX8" s="154"/>
      <c r="EMY8" s="154"/>
      <c r="EMZ8" s="154"/>
      <c r="ENA8" s="154"/>
      <c r="ENB8" s="154"/>
      <c r="ENC8" s="154"/>
      <c r="END8" s="154"/>
      <c r="ENE8" s="154"/>
      <c r="ENF8" s="154"/>
      <c r="ENG8" s="154"/>
      <c r="ENH8" s="154"/>
      <c r="ENI8" s="154"/>
      <c r="ENJ8" s="154"/>
      <c r="ENK8" s="154"/>
      <c r="ENL8" s="154"/>
      <c r="ENM8" s="154"/>
      <c r="ENN8" s="154"/>
      <c r="ENO8" s="154"/>
      <c r="ENP8" s="154"/>
      <c r="ENQ8" s="154"/>
      <c r="ENR8" s="154"/>
      <c r="ENS8" s="154"/>
      <c r="ENT8" s="154"/>
      <c r="ENU8" s="154"/>
      <c r="ENV8" s="154"/>
      <c r="ENW8" s="154"/>
      <c r="ENX8" s="154"/>
      <c r="ENY8" s="154"/>
      <c r="ENZ8" s="154"/>
      <c r="EOA8" s="154"/>
      <c r="EOB8" s="154"/>
      <c r="EOC8" s="154"/>
      <c r="EOD8" s="154"/>
      <c r="EOE8" s="154"/>
      <c r="EOF8" s="154"/>
      <c r="EOG8" s="154"/>
      <c r="EOH8" s="154"/>
      <c r="EOI8" s="154"/>
      <c r="EOJ8" s="154"/>
      <c r="EOK8" s="154"/>
      <c r="EOL8" s="154"/>
      <c r="EOM8" s="154"/>
      <c r="EON8" s="154"/>
      <c r="EOO8" s="154"/>
      <c r="EOP8" s="154"/>
      <c r="EOQ8" s="154"/>
      <c r="EOR8" s="154"/>
      <c r="EOS8" s="154"/>
      <c r="EOT8" s="154"/>
      <c r="EOU8" s="154"/>
      <c r="EOV8" s="154"/>
      <c r="EOW8" s="154"/>
      <c r="EOX8" s="154"/>
      <c r="EOY8" s="154"/>
      <c r="EOZ8" s="154"/>
      <c r="EPA8" s="154"/>
      <c r="EPB8" s="154"/>
      <c r="EPC8" s="154"/>
      <c r="EPD8" s="154"/>
      <c r="EPE8" s="154"/>
      <c r="EPF8" s="154"/>
      <c r="EPG8" s="154"/>
      <c r="EPH8" s="154"/>
      <c r="EPI8" s="154"/>
      <c r="EPJ8" s="154"/>
      <c r="EPK8" s="154"/>
      <c r="EPL8" s="154"/>
      <c r="EPM8" s="154"/>
      <c r="EPN8" s="154"/>
      <c r="EPO8" s="154"/>
      <c r="EPP8" s="154"/>
      <c r="EPQ8" s="154"/>
      <c r="EPR8" s="154"/>
      <c r="EPS8" s="154"/>
      <c r="EPT8" s="154"/>
      <c r="EPU8" s="154"/>
      <c r="EPV8" s="154"/>
      <c r="EPW8" s="154"/>
      <c r="EPX8" s="154"/>
      <c r="EPY8" s="154"/>
      <c r="EPZ8" s="154"/>
      <c r="EQA8" s="154"/>
      <c r="EQB8" s="154"/>
      <c r="EQC8" s="154"/>
      <c r="EQD8" s="154"/>
      <c r="EQE8" s="154"/>
      <c r="EQF8" s="154"/>
      <c r="EQG8" s="154"/>
      <c r="EQH8" s="154"/>
      <c r="EQI8" s="154"/>
      <c r="EQJ8" s="154"/>
      <c r="EQK8" s="154"/>
      <c r="EQL8" s="154"/>
      <c r="EQM8" s="154"/>
      <c r="EQN8" s="154"/>
      <c r="EQO8" s="154"/>
      <c r="EQP8" s="154"/>
      <c r="EQQ8" s="154"/>
      <c r="EQR8" s="154"/>
      <c r="EQS8" s="154"/>
      <c r="EQT8" s="154"/>
      <c r="EQU8" s="154"/>
      <c r="EQV8" s="154"/>
      <c r="EQW8" s="154"/>
      <c r="EQX8" s="154"/>
      <c r="EQY8" s="154"/>
      <c r="EQZ8" s="154"/>
      <c r="ERA8" s="154"/>
      <c r="ERB8" s="154"/>
      <c r="ERC8" s="154"/>
      <c r="ERD8" s="154"/>
      <c r="ERE8" s="154"/>
      <c r="ERF8" s="154"/>
      <c r="ERG8" s="154"/>
      <c r="ERH8" s="154"/>
      <c r="ERI8" s="154"/>
      <c r="ERJ8" s="154"/>
      <c r="ERK8" s="154"/>
      <c r="ERL8" s="154"/>
      <c r="ERM8" s="154"/>
      <c r="ERN8" s="154"/>
      <c r="ERO8" s="154"/>
      <c r="ERP8" s="154"/>
      <c r="ERQ8" s="154"/>
      <c r="ERR8" s="154"/>
      <c r="ERS8" s="154"/>
      <c r="ERT8" s="154"/>
      <c r="ERU8" s="154"/>
      <c r="ERV8" s="154"/>
      <c r="ERW8" s="154"/>
      <c r="ERX8" s="154"/>
      <c r="ERY8" s="154"/>
      <c r="ERZ8" s="154"/>
      <c r="ESA8" s="154"/>
      <c r="ESB8" s="154"/>
      <c r="ESC8" s="154"/>
      <c r="ESD8" s="154"/>
      <c r="ESE8" s="154"/>
      <c r="ESF8" s="154"/>
      <c r="ESG8" s="154"/>
      <c r="ESH8" s="154"/>
      <c r="ESI8" s="154"/>
      <c r="ESJ8" s="154"/>
      <c r="ESK8" s="154"/>
      <c r="ESL8" s="154"/>
      <c r="ESM8" s="154"/>
      <c r="ESN8" s="154"/>
      <c r="ESO8" s="154"/>
      <c r="ESP8" s="154"/>
      <c r="ESQ8" s="154"/>
      <c r="ESR8" s="154"/>
      <c r="ESS8" s="154"/>
      <c r="EST8" s="154"/>
      <c r="ESU8" s="154"/>
      <c r="ESV8" s="154"/>
      <c r="ESW8" s="154"/>
      <c r="ESX8" s="154"/>
      <c r="ESY8" s="154"/>
      <c r="ESZ8" s="154"/>
      <c r="ETA8" s="154"/>
      <c r="ETB8" s="154"/>
      <c r="ETC8" s="154"/>
      <c r="ETD8" s="154"/>
      <c r="ETE8" s="154"/>
      <c r="ETF8" s="154"/>
      <c r="ETG8" s="154"/>
      <c r="ETH8" s="154"/>
      <c r="ETI8" s="154"/>
      <c r="ETJ8" s="154"/>
      <c r="ETK8" s="154"/>
      <c r="ETL8" s="154"/>
      <c r="ETM8" s="154"/>
      <c r="ETN8" s="154"/>
      <c r="ETO8" s="154"/>
      <c r="ETP8" s="154"/>
      <c r="ETQ8" s="154"/>
      <c r="ETR8" s="154"/>
      <c r="ETS8" s="154"/>
      <c r="ETT8" s="154"/>
      <c r="ETU8" s="154"/>
      <c r="ETV8" s="154"/>
      <c r="ETW8" s="154"/>
      <c r="ETX8" s="154"/>
      <c r="ETY8" s="154"/>
      <c r="ETZ8" s="154"/>
      <c r="EUA8" s="154"/>
      <c r="EUB8" s="154"/>
      <c r="EUC8" s="154"/>
      <c r="EUD8" s="154"/>
      <c r="EUE8" s="154"/>
      <c r="EUF8" s="154"/>
      <c r="EUG8" s="154"/>
      <c r="EUH8" s="154"/>
      <c r="EUI8" s="154"/>
      <c r="EUJ8" s="154"/>
      <c r="EUK8" s="154"/>
      <c r="EUL8" s="154"/>
      <c r="EUM8" s="154"/>
      <c r="EUN8" s="154"/>
      <c r="EUO8" s="154"/>
      <c r="EUP8" s="154"/>
      <c r="EUQ8" s="154"/>
      <c r="EUR8" s="154"/>
      <c r="EUS8" s="154"/>
      <c r="EUT8" s="154"/>
      <c r="EUU8" s="154"/>
      <c r="EUV8" s="154"/>
      <c r="EUW8" s="154"/>
      <c r="EUX8" s="154"/>
      <c r="EUY8" s="154"/>
      <c r="EUZ8" s="154"/>
      <c r="EVA8" s="154"/>
      <c r="EVB8" s="154"/>
      <c r="EVC8" s="154"/>
      <c r="EVD8" s="154"/>
      <c r="EVE8" s="154"/>
      <c r="EVF8" s="154"/>
      <c r="EVG8" s="154"/>
      <c r="EVH8" s="154"/>
      <c r="EVI8" s="154"/>
      <c r="EVJ8" s="154"/>
      <c r="EVK8" s="154"/>
      <c r="EVL8" s="154"/>
      <c r="EVM8" s="154"/>
      <c r="EVN8" s="154"/>
      <c r="EVO8" s="154"/>
      <c r="EVP8" s="154"/>
      <c r="EVQ8" s="154"/>
      <c r="EVR8" s="154"/>
      <c r="EVS8" s="154"/>
      <c r="EVT8" s="154"/>
      <c r="EVU8" s="154"/>
      <c r="EVV8" s="154"/>
      <c r="EVW8" s="154"/>
      <c r="EVX8" s="154"/>
      <c r="EVY8" s="154"/>
      <c r="EVZ8" s="154"/>
      <c r="EWA8" s="154"/>
      <c r="EWB8" s="154"/>
      <c r="EWC8" s="154"/>
      <c r="EWD8" s="154"/>
      <c r="EWE8" s="154"/>
      <c r="EWF8" s="154"/>
      <c r="EWG8" s="154"/>
      <c r="EWH8" s="154"/>
      <c r="EWI8" s="154"/>
      <c r="EWJ8" s="154"/>
      <c r="EWK8" s="154"/>
      <c r="EWL8" s="154"/>
      <c r="EWM8" s="154"/>
      <c r="EWN8" s="154"/>
      <c r="EWO8" s="154"/>
      <c r="EWP8" s="154"/>
      <c r="EWQ8" s="154"/>
      <c r="EWR8" s="154"/>
      <c r="EWS8" s="154"/>
      <c r="EWT8" s="154"/>
      <c r="EWU8" s="154"/>
      <c r="EWV8" s="154"/>
      <c r="EWW8" s="154"/>
      <c r="EWX8" s="154"/>
      <c r="EWY8" s="154"/>
      <c r="EWZ8" s="154"/>
      <c r="EXA8" s="154"/>
      <c r="EXB8" s="154"/>
      <c r="EXC8" s="154"/>
      <c r="EXD8" s="154"/>
      <c r="EXE8" s="154"/>
      <c r="EXF8" s="154"/>
      <c r="EXG8" s="154"/>
      <c r="EXH8" s="154"/>
      <c r="EXI8" s="154"/>
      <c r="EXJ8" s="154"/>
      <c r="EXK8" s="154"/>
      <c r="EXL8" s="154"/>
      <c r="EXM8" s="154"/>
      <c r="EXN8" s="154"/>
      <c r="EXO8" s="154"/>
      <c r="EXP8" s="154"/>
      <c r="EXQ8" s="154"/>
      <c r="EXR8" s="154"/>
      <c r="EXS8" s="154"/>
      <c r="EXT8" s="154"/>
      <c r="EXU8" s="154"/>
      <c r="EXV8" s="154"/>
      <c r="EXW8" s="154"/>
      <c r="EXX8" s="154"/>
      <c r="EXY8" s="154"/>
      <c r="EXZ8" s="154"/>
      <c r="EYA8" s="154"/>
      <c r="EYB8" s="154"/>
      <c r="EYC8" s="154"/>
      <c r="EYD8" s="154"/>
      <c r="EYE8" s="154"/>
      <c r="EYF8" s="154"/>
      <c r="EYG8" s="154"/>
      <c r="EYH8" s="154"/>
      <c r="EYI8" s="154"/>
      <c r="EYJ8" s="154"/>
      <c r="EYK8" s="154"/>
      <c r="EYL8" s="154"/>
      <c r="EYM8" s="154"/>
      <c r="EYN8" s="154"/>
      <c r="EYO8" s="154"/>
      <c r="EYP8" s="154"/>
      <c r="EYQ8" s="154"/>
      <c r="EYR8" s="154"/>
      <c r="EYS8" s="154"/>
      <c r="EYT8" s="154"/>
      <c r="EYU8" s="154"/>
      <c r="EYV8" s="154"/>
      <c r="EYW8" s="154"/>
      <c r="EYX8" s="154"/>
      <c r="EYY8" s="154"/>
      <c r="EYZ8" s="154"/>
      <c r="EZA8" s="154"/>
      <c r="EZB8" s="154"/>
      <c r="EZC8" s="154"/>
      <c r="EZD8" s="154"/>
      <c r="EZE8" s="154"/>
      <c r="EZF8" s="154"/>
      <c r="EZG8" s="154"/>
      <c r="EZH8" s="154"/>
      <c r="EZI8" s="154"/>
      <c r="EZJ8" s="154"/>
      <c r="EZK8" s="154"/>
      <c r="EZL8" s="154"/>
      <c r="EZM8" s="154"/>
      <c r="EZN8" s="154"/>
      <c r="EZO8" s="154"/>
      <c r="EZP8" s="154"/>
      <c r="EZQ8" s="154"/>
      <c r="EZR8" s="154"/>
      <c r="EZS8" s="154"/>
      <c r="EZT8" s="154"/>
      <c r="EZU8" s="154"/>
      <c r="EZV8" s="154"/>
      <c r="EZW8" s="154"/>
      <c r="EZX8" s="154"/>
      <c r="EZY8" s="154"/>
      <c r="EZZ8" s="154"/>
      <c r="FAA8" s="154"/>
      <c r="FAB8" s="154"/>
      <c r="FAC8" s="154"/>
      <c r="FAD8" s="154"/>
      <c r="FAE8" s="154"/>
      <c r="FAF8" s="154"/>
      <c r="FAG8" s="154"/>
      <c r="FAH8" s="154"/>
      <c r="FAI8" s="154"/>
      <c r="FAJ8" s="154"/>
      <c r="FAK8" s="154"/>
      <c r="FAL8" s="154"/>
      <c r="FAM8" s="154"/>
      <c r="FAN8" s="154"/>
      <c r="FAO8" s="154"/>
      <c r="FAP8" s="154"/>
      <c r="FAQ8" s="154"/>
      <c r="FAR8" s="154"/>
      <c r="FAS8" s="154"/>
      <c r="FAT8" s="154"/>
      <c r="FAU8" s="154"/>
      <c r="FAV8" s="154"/>
      <c r="FAW8" s="154"/>
      <c r="FAX8" s="154"/>
      <c r="FAY8" s="154"/>
      <c r="FAZ8" s="154"/>
      <c r="FBA8" s="154"/>
      <c r="FBB8" s="154"/>
      <c r="FBC8" s="154"/>
      <c r="FBD8" s="154"/>
      <c r="FBE8" s="154"/>
      <c r="FBF8" s="154"/>
      <c r="FBG8" s="154"/>
      <c r="FBH8" s="154"/>
      <c r="FBI8" s="154"/>
      <c r="FBJ8" s="154"/>
      <c r="FBK8" s="154"/>
      <c r="FBL8" s="154"/>
      <c r="FBM8" s="154"/>
      <c r="FBN8" s="154"/>
      <c r="FBO8" s="154"/>
      <c r="FBP8" s="154"/>
      <c r="FBQ8" s="154"/>
      <c r="FBR8" s="154"/>
      <c r="FBS8" s="154"/>
      <c r="FBT8" s="154"/>
      <c r="FBU8" s="154"/>
      <c r="FBV8" s="154"/>
      <c r="FBW8" s="154"/>
      <c r="FBX8" s="154"/>
      <c r="FBY8" s="154"/>
      <c r="FBZ8" s="154"/>
      <c r="FCA8" s="154"/>
      <c r="FCB8" s="154"/>
      <c r="FCC8" s="154"/>
      <c r="FCD8" s="154"/>
      <c r="FCE8" s="154"/>
      <c r="FCF8" s="154"/>
      <c r="FCG8" s="154"/>
      <c r="FCH8" s="154"/>
      <c r="FCI8" s="154"/>
      <c r="FCJ8" s="154"/>
      <c r="FCK8" s="154"/>
      <c r="FCL8" s="154"/>
      <c r="FCM8" s="154"/>
      <c r="FCN8" s="154"/>
      <c r="FCO8" s="154"/>
      <c r="FCP8" s="154"/>
      <c r="FCQ8" s="154"/>
      <c r="FCR8" s="154"/>
      <c r="FCS8" s="154"/>
      <c r="FCT8" s="154"/>
      <c r="FCU8" s="154"/>
      <c r="FCV8" s="154"/>
      <c r="FCW8" s="154"/>
      <c r="FCX8" s="154"/>
      <c r="FCY8" s="154"/>
      <c r="FCZ8" s="154"/>
      <c r="FDA8" s="154"/>
      <c r="FDB8" s="154"/>
      <c r="FDC8" s="154"/>
      <c r="FDD8" s="154"/>
      <c r="FDE8" s="154"/>
      <c r="FDF8" s="154"/>
      <c r="FDG8" s="154"/>
      <c r="FDH8" s="154"/>
      <c r="FDI8" s="154"/>
      <c r="FDJ8" s="154"/>
      <c r="FDK8" s="154"/>
      <c r="FDL8" s="154"/>
      <c r="FDM8" s="154"/>
      <c r="FDN8" s="154"/>
      <c r="FDO8" s="154"/>
      <c r="FDP8" s="154"/>
      <c r="FDQ8" s="154"/>
      <c r="FDR8" s="154"/>
      <c r="FDS8" s="154"/>
      <c r="FDT8" s="154"/>
      <c r="FDU8" s="154"/>
      <c r="FDV8" s="154"/>
      <c r="FDW8" s="154"/>
      <c r="FDX8" s="154"/>
      <c r="FDY8" s="154"/>
      <c r="FDZ8" s="154"/>
      <c r="FEA8" s="154"/>
      <c r="FEB8" s="154"/>
      <c r="FEC8" s="154"/>
      <c r="FED8" s="154"/>
      <c r="FEE8" s="154"/>
      <c r="FEF8" s="154"/>
      <c r="FEG8" s="154"/>
      <c r="FEH8" s="154"/>
      <c r="FEI8" s="154"/>
      <c r="FEJ8" s="154"/>
      <c r="FEK8" s="154"/>
      <c r="FEL8" s="154"/>
      <c r="FEM8" s="154"/>
      <c r="FEN8" s="154"/>
      <c r="FEO8" s="154"/>
      <c r="FEP8" s="154"/>
      <c r="FEQ8" s="154"/>
      <c r="FER8" s="154"/>
      <c r="FES8" s="154"/>
      <c r="FET8" s="154"/>
      <c r="FEU8" s="154"/>
      <c r="FEV8" s="154"/>
      <c r="FEW8" s="154"/>
      <c r="FEX8" s="154"/>
      <c r="FEY8" s="154"/>
      <c r="FEZ8" s="154"/>
      <c r="FFA8" s="154"/>
      <c r="FFB8" s="154"/>
      <c r="FFC8" s="154"/>
      <c r="FFD8" s="154"/>
      <c r="FFE8" s="154"/>
      <c r="FFF8" s="154"/>
      <c r="FFG8" s="154"/>
      <c r="FFH8" s="154"/>
      <c r="FFI8" s="154"/>
      <c r="FFJ8" s="154"/>
      <c r="FFK8" s="154"/>
      <c r="FFL8" s="154"/>
      <c r="FFM8" s="154"/>
      <c r="FFN8" s="154"/>
      <c r="FFO8" s="154"/>
      <c r="FFP8" s="154"/>
      <c r="FFQ8" s="154"/>
      <c r="FFR8" s="154"/>
      <c r="FFS8" s="154"/>
      <c r="FFT8" s="154"/>
      <c r="FFU8" s="154"/>
      <c r="FFV8" s="154"/>
      <c r="FFW8" s="154"/>
      <c r="FFX8" s="154"/>
      <c r="FFY8" s="154"/>
      <c r="FFZ8" s="154"/>
      <c r="FGA8" s="154"/>
      <c r="FGB8" s="154"/>
      <c r="FGC8" s="154"/>
      <c r="FGD8" s="154"/>
      <c r="FGE8" s="154"/>
      <c r="FGF8" s="154"/>
      <c r="FGG8" s="154"/>
      <c r="FGH8" s="154"/>
      <c r="FGI8" s="154"/>
      <c r="FGJ8" s="154"/>
      <c r="FGK8" s="154"/>
      <c r="FGL8" s="154"/>
      <c r="FGM8" s="154"/>
      <c r="FGN8" s="154"/>
      <c r="FGO8" s="154"/>
      <c r="FGP8" s="154"/>
      <c r="FGQ8" s="154"/>
      <c r="FGR8" s="154"/>
      <c r="FGS8" s="154"/>
      <c r="FGT8" s="154"/>
      <c r="FGU8" s="154"/>
      <c r="FGV8" s="154"/>
      <c r="FGW8" s="154"/>
      <c r="FGX8" s="154"/>
      <c r="FGY8" s="154"/>
      <c r="FGZ8" s="154"/>
      <c r="FHA8" s="154"/>
      <c r="FHB8" s="154"/>
      <c r="FHC8" s="154"/>
      <c r="FHD8" s="154"/>
      <c r="FHE8" s="154"/>
      <c r="FHF8" s="154"/>
      <c r="FHG8" s="154"/>
      <c r="FHH8" s="154"/>
      <c r="FHI8" s="154"/>
      <c r="FHJ8" s="154"/>
      <c r="FHK8" s="154"/>
      <c r="FHL8" s="154"/>
      <c r="FHM8" s="154"/>
      <c r="FHN8" s="154"/>
      <c r="FHO8" s="154"/>
      <c r="FHP8" s="154"/>
      <c r="FHQ8" s="154"/>
      <c r="FHR8" s="154"/>
      <c r="FHS8" s="154"/>
      <c r="FHT8" s="154"/>
      <c r="FHU8" s="154"/>
      <c r="FHV8" s="154"/>
      <c r="FHW8" s="154"/>
      <c r="FHX8" s="154"/>
      <c r="FHY8" s="154"/>
      <c r="FHZ8" s="154"/>
      <c r="FIA8" s="154"/>
      <c r="FIB8" s="154"/>
      <c r="FIC8" s="154"/>
      <c r="FID8" s="154"/>
      <c r="FIE8" s="154"/>
      <c r="FIF8" s="154"/>
      <c r="FIG8" s="154"/>
      <c r="FIH8" s="154"/>
      <c r="FII8" s="154"/>
      <c r="FIJ8" s="154"/>
      <c r="FIK8" s="154"/>
      <c r="FIL8" s="154"/>
      <c r="FIM8" s="154"/>
      <c r="FIN8" s="154"/>
      <c r="FIO8" s="154"/>
      <c r="FIP8" s="154"/>
      <c r="FIQ8" s="154"/>
      <c r="FIR8" s="154"/>
      <c r="FIS8" s="154"/>
      <c r="FIT8" s="154"/>
      <c r="FIU8" s="154"/>
      <c r="FIV8" s="154"/>
      <c r="FIW8" s="154"/>
      <c r="FIX8" s="154"/>
      <c r="FIY8" s="154"/>
      <c r="FIZ8" s="154"/>
      <c r="FJA8" s="154"/>
      <c r="FJB8" s="154"/>
      <c r="FJC8" s="154"/>
      <c r="FJD8" s="154"/>
      <c r="FJE8" s="154"/>
      <c r="FJF8" s="154"/>
      <c r="FJG8" s="154"/>
      <c r="FJH8" s="154"/>
      <c r="FJI8" s="154"/>
      <c r="FJJ8" s="154"/>
      <c r="FJK8" s="154"/>
      <c r="FJL8" s="154"/>
      <c r="FJM8" s="154"/>
      <c r="FJN8" s="154"/>
      <c r="FJO8" s="154"/>
      <c r="FJP8" s="154"/>
      <c r="FJQ8" s="154"/>
      <c r="FJR8" s="154"/>
      <c r="FJS8" s="154"/>
      <c r="FJT8" s="154"/>
      <c r="FJU8" s="154"/>
      <c r="FJV8" s="154"/>
      <c r="FJW8" s="154"/>
      <c r="FJX8" s="154"/>
      <c r="FJY8" s="154"/>
      <c r="FJZ8" s="154"/>
      <c r="FKA8" s="154"/>
      <c r="FKB8" s="154"/>
      <c r="FKC8" s="154"/>
      <c r="FKD8" s="154"/>
      <c r="FKE8" s="154"/>
      <c r="FKF8" s="154"/>
      <c r="FKG8" s="154"/>
      <c r="FKH8" s="154"/>
      <c r="FKI8" s="154"/>
      <c r="FKJ8" s="154"/>
      <c r="FKK8" s="154"/>
      <c r="FKL8" s="154"/>
      <c r="FKM8" s="154"/>
      <c r="FKN8" s="154"/>
      <c r="FKO8" s="154"/>
      <c r="FKP8" s="154"/>
      <c r="FKQ8" s="154"/>
      <c r="FKR8" s="154"/>
      <c r="FKS8" s="154"/>
      <c r="FKT8" s="154"/>
      <c r="FKU8" s="154"/>
      <c r="FKV8" s="154"/>
      <c r="FKW8" s="154"/>
      <c r="FKX8" s="154"/>
      <c r="FKY8" s="154"/>
      <c r="FKZ8" s="154"/>
      <c r="FLA8" s="154"/>
      <c r="FLB8" s="154"/>
      <c r="FLC8" s="154"/>
      <c r="FLD8" s="154"/>
      <c r="FLE8" s="154"/>
      <c r="FLF8" s="154"/>
      <c r="FLG8" s="154"/>
      <c r="FLH8" s="154"/>
      <c r="FLI8" s="154"/>
      <c r="FLJ8" s="154"/>
      <c r="FLK8" s="154"/>
      <c r="FLL8" s="154"/>
      <c r="FLM8" s="154"/>
      <c r="FLN8" s="154"/>
      <c r="FLO8" s="154"/>
      <c r="FLP8" s="154"/>
      <c r="FLQ8" s="154"/>
      <c r="FLR8" s="154"/>
      <c r="FLS8" s="154"/>
      <c r="FLT8" s="154"/>
      <c r="FLU8" s="154"/>
      <c r="FLV8" s="154"/>
      <c r="FLW8" s="154"/>
      <c r="FLX8" s="154"/>
      <c r="FLY8" s="154"/>
      <c r="FLZ8" s="154"/>
      <c r="FMA8" s="154"/>
      <c r="FMB8" s="154"/>
      <c r="FMC8" s="154"/>
      <c r="FMD8" s="154"/>
      <c r="FME8" s="154"/>
      <c r="FMF8" s="154"/>
      <c r="FMG8" s="154"/>
      <c r="FMH8" s="154"/>
      <c r="FMI8" s="154"/>
      <c r="FMJ8" s="154"/>
      <c r="FMK8" s="154"/>
      <c r="FML8" s="154"/>
      <c r="FMM8" s="154"/>
      <c r="FMN8" s="154"/>
      <c r="FMO8" s="154"/>
      <c r="FMP8" s="154"/>
      <c r="FMQ8" s="154"/>
      <c r="FMR8" s="154"/>
      <c r="FMS8" s="154"/>
      <c r="FMT8" s="154"/>
      <c r="FMU8" s="154"/>
      <c r="FMV8" s="154"/>
      <c r="FMW8" s="154"/>
      <c r="FMX8" s="154"/>
      <c r="FMY8" s="154"/>
      <c r="FMZ8" s="154"/>
      <c r="FNA8" s="154"/>
      <c r="FNB8" s="154"/>
      <c r="FNC8" s="154"/>
      <c r="FND8" s="154"/>
      <c r="FNE8" s="154"/>
      <c r="FNF8" s="154"/>
      <c r="FNG8" s="154"/>
      <c r="FNH8" s="154"/>
      <c r="FNI8" s="154"/>
      <c r="FNJ8" s="154"/>
      <c r="FNK8" s="154"/>
      <c r="FNL8" s="154"/>
      <c r="FNM8" s="154"/>
      <c r="FNN8" s="154"/>
      <c r="FNO8" s="154"/>
      <c r="FNP8" s="154"/>
      <c r="FNQ8" s="154"/>
      <c r="FNR8" s="154"/>
      <c r="FNS8" s="154"/>
      <c r="FNT8" s="154"/>
      <c r="FNU8" s="154"/>
      <c r="FNV8" s="154"/>
      <c r="FNW8" s="154"/>
      <c r="FNX8" s="154"/>
      <c r="FNY8" s="154"/>
      <c r="FNZ8" s="154"/>
      <c r="FOA8" s="154"/>
      <c r="FOB8" s="154"/>
      <c r="FOC8" s="154"/>
      <c r="FOD8" s="154"/>
      <c r="FOE8" s="154"/>
      <c r="FOF8" s="154"/>
      <c r="FOG8" s="154"/>
      <c r="FOH8" s="154"/>
      <c r="FOI8" s="154"/>
      <c r="FOJ8" s="154"/>
      <c r="FOK8" s="154"/>
      <c r="FOL8" s="154"/>
      <c r="FOM8" s="154"/>
      <c r="FON8" s="154"/>
      <c r="FOO8" s="154"/>
      <c r="FOP8" s="154"/>
      <c r="FOQ8" s="154"/>
      <c r="FOR8" s="154"/>
      <c r="FOS8" s="154"/>
      <c r="FOT8" s="154"/>
      <c r="FOU8" s="154"/>
      <c r="FOV8" s="154"/>
      <c r="FOW8" s="154"/>
      <c r="FOX8" s="154"/>
      <c r="FOY8" s="154"/>
      <c r="FOZ8" s="154"/>
      <c r="FPA8" s="154"/>
      <c r="FPB8" s="154"/>
      <c r="FPC8" s="154"/>
      <c r="FPD8" s="154"/>
      <c r="FPE8" s="154"/>
      <c r="FPF8" s="154"/>
      <c r="FPG8" s="154"/>
      <c r="FPH8" s="154"/>
      <c r="FPI8" s="154"/>
      <c r="FPJ8" s="154"/>
      <c r="FPK8" s="154"/>
      <c r="FPL8" s="154"/>
      <c r="FPM8" s="154"/>
      <c r="FPN8" s="154"/>
      <c r="FPO8" s="154"/>
      <c r="FPP8" s="154"/>
      <c r="FPQ8" s="154"/>
      <c r="FPR8" s="154"/>
      <c r="FPS8" s="154"/>
      <c r="FPT8" s="154"/>
      <c r="FPU8" s="154"/>
      <c r="FPV8" s="154"/>
      <c r="FPW8" s="154"/>
      <c r="FPX8" s="154"/>
      <c r="FPY8" s="154"/>
      <c r="FPZ8" s="154"/>
      <c r="FQA8" s="154"/>
      <c r="FQB8" s="154"/>
      <c r="FQC8" s="154"/>
      <c r="FQD8" s="154"/>
      <c r="FQE8" s="154"/>
      <c r="FQF8" s="154"/>
      <c r="FQG8" s="154"/>
      <c r="FQH8" s="154"/>
      <c r="FQI8" s="154"/>
      <c r="FQJ8" s="154"/>
      <c r="FQK8" s="154"/>
      <c r="FQL8" s="154"/>
      <c r="FQM8" s="154"/>
      <c r="FQN8" s="154"/>
      <c r="FQO8" s="154"/>
      <c r="FQP8" s="154"/>
      <c r="FQQ8" s="154"/>
      <c r="FQR8" s="154"/>
      <c r="FQS8" s="154"/>
      <c r="FQT8" s="154"/>
      <c r="FQU8" s="154"/>
      <c r="FQV8" s="154"/>
      <c r="FQW8" s="154"/>
      <c r="FQX8" s="154"/>
      <c r="FQY8" s="154"/>
      <c r="FQZ8" s="154"/>
      <c r="FRA8" s="154"/>
      <c r="FRB8" s="154"/>
      <c r="FRC8" s="154"/>
      <c r="FRD8" s="154"/>
      <c r="FRE8" s="154"/>
      <c r="FRF8" s="154"/>
      <c r="FRG8" s="154"/>
      <c r="FRH8" s="154"/>
      <c r="FRI8" s="154"/>
      <c r="FRJ8" s="154"/>
      <c r="FRK8" s="154"/>
      <c r="FRL8" s="154"/>
      <c r="FRM8" s="154"/>
      <c r="FRN8" s="154"/>
      <c r="FRO8" s="154"/>
      <c r="FRP8" s="154"/>
      <c r="FRQ8" s="154"/>
      <c r="FRR8" s="154"/>
      <c r="FRS8" s="154"/>
      <c r="FRT8" s="154"/>
      <c r="FRU8" s="154"/>
      <c r="FRV8" s="154"/>
      <c r="FRW8" s="154"/>
      <c r="FRX8" s="154"/>
      <c r="FRY8" s="154"/>
      <c r="FRZ8" s="154"/>
      <c r="FSA8" s="154"/>
      <c r="FSB8" s="154"/>
      <c r="FSC8" s="154"/>
      <c r="FSD8" s="154"/>
      <c r="FSE8" s="154"/>
      <c r="FSF8" s="154"/>
      <c r="FSG8" s="154"/>
      <c r="FSH8" s="154"/>
      <c r="FSI8" s="154"/>
      <c r="FSJ8" s="154"/>
      <c r="FSK8" s="154"/>
      <c r="FSL8" s="154"/>
      <c r="FSM8" s="154"/>
      <c r="FSN8" s="154"/>
      <c r="FSO8" s="154"/>
      <c r="FSP8" s="154"/>
      <c r="FSQ8" s="154"/>
      <c r="FSR8" s="154"/>
      <c r="FSS8" s="154"/>
      <c r="FST8" s="154"/>
      <c r="FSU8" s="154"/>
      <c r="FSV8" s="154"/>
      <c r="FSW8" s="154"/>
      <c r="FSX8" s="154"/>
      <c r="FSY8" s="154"/>
      <c r="FSZ8" s="154"/>
      <c r="FTA8" s="154"/>
      <c r="FTB8" s="154"/>
      <c r="FTC8" s="154"/>
      <c r="FTD8" s="154"/>
      <c r="FTE8" s="154"/>
      <c r="FTF8" s="154"/>
      <c r="FTG8" s="154"/>
      <c r="FTH8" s="154"/>
      <c r="FTI8" s="154"/>
      <c r="FTJ8" s="154"/>
      <c r="FTK8" s="154"/>
      <c r="FTL8" s="154"/>
      <c r="FTM8" s="154"/>
      <c r="FTN8" s="154"/>
      <c r="FTO8" s="154"/>
      <c r="FTP8" s="154"/>
      <c r="FTQ8" s="154"/>
      <c r="FTR8" s="154"/>
      <c r="FTS8" s="154"/>
      <c r="FTT8" s="154"/>
      <c r="FTU8" s="154"/>
      <c r="FTV8" s="154"/>
      <c r="FTW8" s="154"/>
      <c r="FTX8" s="154"/>
      <c r="FTY8" s="154"/>
      <c r="FTZ8" s="154"/>
      <c r="FUA8" s="154"/>
      <c r="FUB8" s="154"/>
      <c r="FUC8" s="154"/>
      <c r="FUD8" s="154"/>
      <c r="FUE8" s="154"/>
      <c r="FUF8" s="154"/>
      <c r="FUG8" s="154"/>
      <c r="FUH8" s="154"/>
      <c r="FUI8" s="154"/>
      <c r="FUJ8" s="154"/>
      <c r="FUK8" s="154"/>
      <c r="FUL8" s="154"/>
      <c r="FUM8" s="154"/>
      <c r="FUN8" s="154"/>
      <c r="FUO8" s="154"/>
      <c r="FUP8" s="154"/>
      <c r="FUQ8" s="154"/>
      <c r="FUR8" s="154"/>
      <c r="FUS8" s="154"/>
      <c r="FUT8" s="154"/>
      <c r="FUU8" s="154"/>
      <c r="FUV8" s="154"/>
      <c r="FUW8" s="154"/>
      <c r="FUX8" s="154"/>
      <c r="FUY8" s="154"/>
      <c r="FUZ8" s="154"/>
      <c r="FVA8" s="154"/>
      <c r="FVB8" s="154"/>
      <c r="FVC8" s="154"/>
      <c r="FVD8" s="154"/>
      <c r="FVE8" s="154"/>
      <c r="FVF8" s="154"/>
      <c r="FVG8" s="154"/>
      <c r="FVH8" s="154"/>
      <c r="FVI8" s="154"/>
      <c r="FVJ8" s="154"/>
      <c r="FVK8" s="154"/>
      <c r="FVL8" s="154"/>
      <c r="FVM8" s="154"/>
      <c r="FVN8" s="154"/>
      <c r="FVO8" s="154"/>
      <c r="FVP8" s="154"/>
      <c r="FVQ8" s="154"/>
      <c r="FVR8" s="154"/>
      <c r="FVS8" s="154"/>
      <c r="FVT8" s="154"/>
      <c r="FVU8" s="154"/>
      <c r="FVV8" s="154"/>
      <c r="FVW8" s="154"/>
      <c r="FVX8" s="154"/>
      <c r="FVY8" s="154"/>
      <c r="FVZ8" s="154"/>
      <c r="FWA8" s="154"/>
      <c r="FWB8" s="154"/>
      <c r="FWC8" s="154"/>
      <c r="FWD8" s="154"/>
      <c r="FWE8" s="154"/>
      <c r="FWF8" s="154"/>
      <c r="FWG8" s="154"/>
      <c r="FWH8" s="154"/>
      <c r="FWI8" s="154"/>
      <c r="FWJ8" s="154"/>
      <c r="FWK8" s="154"/>
      <c r="FWL8" s="154"/>
      <c r="FWM8" s="154"/>
      <c r="FWN8" s="154"/>
      <c r="FWO8" s="154"/>
      <c r="FWP8" s="154"/>
      <c r="FWQ8" s="154"/>
      <c r="FWR8" s="154"/>
      <c r="FWS8" s="154"/>
      <c r="FWT8" s="154"/>
      <c r="FWU8" s="154"/>
      <c r="FWV8" s="154"/>
      <c r="FWW8" s="154"/>
      <c r="FWX8" s="154"/>
      <c r="FWY8" s="154"/>
      <c r="FWZ8" s="154"/>
      <c r="FXA8" s="154"/>
      <c r="FXB8" s="154"/>
      <c r="FXC8" s="154"/>
      <c r="FXD8" s="154"/>
      <c r="FXE8" s="154"/>
      <c r="FXF8" s="154"/>
      <c r="FXG8" s="154"/>
      <c r="FXH8" s="154"/>
      <c r="FXI8" s="154"/>
      <c r="FXJ8" s="154"/>
      <c r="FXK8" s="154"/>
      <c r="FXL8" s="154"/>
      <c r="FXM8" s="154"/>
      <c r="FXN8" s="154"/>
      <c r="FXO8" s="154"/>
      <c r="FXP8" s="154"/>
      <c r="FXQ8" s="154"/>
      <c r="FXR8" s="154"/>
      <c r="FXS8" s="154"/>
      <c r="FXT8" s="154"/>
      <c r="FXU8" s="154"/>
      <c r="FXV8" s="154"/>
      <c r="FXW8" s="154"/>
      <c r="FXX8" s="154"/>
      <c r="FXY8" s="154"/>
      <c r="FXZ8" s="154"/>
      <c r="FYA8" s="154"/>
      <c r="FYB8" s="154"/>
      <c r="FYC8" s="154"/>
      <c r="FYD8" s="154"/>
      <c r="FYE8" s="154"/>
      <c r="FYF8" s="154"/>
      <c r="FYG8" s="154"/>
      <c r="FYH8" s="154"/>
      <c r="FYI8" s="154"/>
      <c r="FYJ8" s="154"/>
      <c r="FYK8" s="154"/>
      <c r="FYL8" s="154"/>
      <c r="FYM8" s="154"/>
      <c r="FYN8" s="154"/>
      <c r="FYO8" s="154"/>
      <c r="FYP8" s="154"/>
      <c r="FYQ8" s="154"/>
      <c r="FYR8" s="154"/>
      <c r="FYS8" s="154"/>
      <c r="FYT8" s="154"/>
      <c r="FYU8" s="154"/>
      <c r="FYV8" s="154"/>
      <c r="FYW8" s="154"/>
      <c r="FYX8" s="154"/>
      <c r="FYY8" s="154"/>
      <c r="FYZ8" s="154"/>
      <c r="FZA8" s="154"/>
      <c r="FZB8" s="154"/>
      <c r="FZC8" s="154"/>
      <c r="FZD8" s="154"/>
      <c r="FZE8" s="154"/>
      <c r="FZF8" s="154"/>
      <c r="FZG8" s="154"/>
      <c r="FZH8" s="154"/>
      <c r="FZI8" s="154"/>
      <c r="FZJ8" s="154"/>
      <c r="FZK8" s="154"/>
      <c r="FZL8" s="154"/>
      <c r="FZM8" s="154"/>
      <c r="FZN8" s="154"/>
      <c r="FZO8" s="154"/>
      <c r="FZP8" s="154"/>
      <c r="FZQ8" s="154"/>
      <c r="FZR8" s="154"/>
      <c r="FZS8" s="154"/>
      <c r="FZT8" s="154"/>
      <c r="FZU8" s="154"/>
      <c r="FZV8" s="154"/>
      <c r="FZW8" s="154"/>
      <c r="FZX8" s="154"/>
      <c r="FZY8" s="154"/>
      <c r="FZZ8" s="154"/>
      <c r="GAA8" s="154"/>
      <c r="GAB8" s="154"/>
      <c r="GAC8" s="154"/>
      <c r="GAD8" s="154"/>
      <c r="GAE8" s="154"/>
      <c r="GAF8" s="154"/>
      <c r="GAG8" s="154"/>
      <c r="GAH8" s="154"/>
      <c r="GAI8" s="154"/>
      <c r="GAJ8" s="154"/>
      <c r="GAK8" s="154"/>
      <c r="GAL8" s="154"/>
      <c r="GAM8" s="154"/>
      <c r="GAN8" s="154"/>
      <c r="GAO8" s="154"/>
      <c r="GAP8" s="154"/>
      <c r="GAQ8" s="154"/>
      <c r="GAR8" s="154"/>
      <c r="GAS8" s="154"/>
      <c r="GAT8" s="154"/>
      <c r="GAU8" s="154"/>
      <c r="GAV8" s="154"/>
      <c r="GAW8" s="154"/>
      <c r="GAX8" s="154"/>
      <c r="GAY8" s="154"/>
      <c r="GAZ8" s="154"/>
      <c r="GBA8" s="154"/>
      <c r="GBB8" s="154"/>
      <c r="GBC8" s="154"/>
      <c r="GBD8" s="154"/>
      <c r="GBE8" s="154"/>
      <c r="GBF8" s="154"/>
      <c r="GBG8" s="154"/>
      <c r="GBH8" s="154"/>
      <c r="GBI8" s="154"/>
      <c r="GBJ8" s="154"/>
      <c r="GBK8" s="154"/>
      <c r="GBL8" s="154"/>
      <c r="GBM8" s="154"/>
      <c r="GBN8" s="154"/>
      <c r="GBO8" s="154"/>
      <c r="GBP8" s="154"/>
      <c r="GBQ8" s="154"/>
      <c r="GBR8" s="154"/>
      <c r="GBS8" s="154"/>
      <c r="GBT8" s="154"/>
      <c r="GBU8" s="154"/>
      <c r="GBV8" s="154"/>
      <c r="GBW8" s="154"/>
      <c r="GBX8" s="154"/>
      <c r="GBY8" s="154"/>
      <c r="GBZ8" s="154"/>
      <c r="GCA8" s="154"/>
      <c r="GCB8" s="154"/>
      <c r="GCC8" s="154"/>
      <c r="GCD8" s="154"/>
      <c r="GCE8" s="154"/>
      <c r="GCF8" s="154"/>
      <c r="GCG8" s="154"/>
      <c r="GCH8" s="154"/>
      <c r="GCI8" s="154"/>
      <c r="GCJ8" s="154"/>
      <c r="GCK8" s="154"/>
      <c r="GCL8" s="154"/>
      <c r="GCM8" s="154"/>
      <c r="GCN8" s="154"/>
      <c r="GCO8" s="154"/>
      <c r="GCP8" s="154"/>
      <c r="GCQ8" s="154"/>
      <c r="GCR8" s="154"/>
      <c r="GCS8" s="154"/>
      <c r="GCT8" s="154"/>
      <c r="GCU8" s="154"/>
      <c r="GCV8" s="154"/>
      <c r="GCW8" s="154"/>
      <c r="GCX8" s="154"/>
      <c r="GCY8" s="154"/>
      <c r="GCZ8" s="154"/>
      <c r="GDA8" s="154"/>
      <c r="GDB8" s="154"/>
      <c r="GDC8" s="154"/>
      <c r="GDD8" s="154"/>
      <c r="GDE8" s="154"/>
      <c r="GDF8" s="154"/>
      <c r="GDG8" s="154"/>
      <c r="GDH8" s="154"/>
      <c r="GDI8" s="154"/>
      <c r="GDJ8" s="154"/>
      <c r="GDK8" s="154"/>
      <c r="GDL8" s="154"/>
      <c r="GDM8" s="154"/>
      <c r="GDN8" s="154"/>
      <c r="GDO8" s="154"/>
      <c r="GDP8" s="154"/>
      <c r="GDQ8" s="154"/>
      <c r="GDR8" s="154"/>
      <c r="GDS8" s="154"/>
      <c r="GDT8" s="154"/>
      <c r="GDU8" s="154"/>
      <c r="GDV8" s="154"/>
      <c r="GDW8" s="154"/>
      <c r="GDX8" s="154"/>
      <c r="GDY8" s="154"/>
      <c r="GDZ8" s="154"/>
      <c r="GEA8" s="154"/>
      <c r="GEB8" s="154"/>
      <c r="GEC8" s="154"/>
      <c r="GED8" s="154"/>
      <c r="GEE8" s="154"/>
      <c r="GEF8" s="154"/>
      <c r="GEG8" s="154"/>
      <c r="GEH8" s="154"/>
      <c r="GEI8" s="154"/>
      <c r="GEJ8" s="154"/>
      <c r="GEK8" s="154"/>
      <c r="GEL8" s="154"/>
      <c r="GEM8" s="154"/>
      <c r="GEN8" s="154"/>
      <c r="GEO8" s="154"/>
      <c r="GEP8" s="154"/>
      <c r="GEQ8" s="154"/>
      <c r="GER8" s="154"/>
      <c r="GES8" s="154"/>
      <c r="GET8" s="154"/>
      <c r="GEU8" s="154"/>
      <c r="GEV8" s="154"/>
      <c r="GEW8" s="154"/>
      <c r="GEX8" s="154"/>
      <c r="GEY8" s="154"/>
      <c r="GEZ8" s="154"/>
      <c r="GFA8" s="154"/>
      <c r="GFB8" s="154"/>
      <c r="GFC8" s="154"/>
      <c r="GFD8" s="154"/>
      <c r="GFE8" s="154"/>
      <c r="GFF8" s="154"/>
      <c r="GFG8" s="154"/>
      <c r="GFH8" s="154"/>
      <c r="GFI8" s="154"/>
      <c r="GFJ8" s="154"/>
      <c r="GFK8" s="154"/>
      <c r="GFL8" s="154"/>
      <c r="GFM8" s="154"/>
      <c r="GFN8" s="154"/>
      <c r="GFO8" s="154"/>
      <c r="GFP8" s="154"/>
      <c r="GFQ8" s="154"/>
      <c r="GFR8" s="154"/>
      <c r="GFS8" s="154"/>
      <c r="GFT8" s="154"/>
      <c r="GFU8" s="154"/>
      <c r="GFV8" s="154"/>
      <c r="GFW8" s="154"/>
      <c r="GFX8" s="154"/>
      <c r="GFY8" s="154"/>
      <c r="GFZ8" s="154"/>
      <c r="GGA8" s="154"/>
      <c r="GGB8" s="154"/>
      <c r="GGC8" s="154"/>
      <c r="GGD8" s="154"/>
      <c r="GGE8" s="154"/>
      <c r="GGF8" s="154"/>
      <c r="GGG8" s="154"/>
      <c r="GGH8" s="154"/>
      <c r="GGI8" s="154"/>
      <c r="GGJ8" s="154"/>
      <c r="GGK8" s="154"/>
      <c r="GGL8" s="154"/>
      <c r="GGM8" s="154"/>
      <c r="GGN8" s="154"/>
      <c r="GGO8" s="154"/>
      <c r="GGP8" s="154"/>
      <c r="GGQ8" s="154"/>
      <c r="GGR8" s="154"/>
      <c r="GGS8" s="154"/>
      <c r="GGT8" s="154"/>
      <c r="GGU8" s="154"/>
      <c r="GGV8" s="154"/>
      <c r="GGW8" s="154"/>
      <c r="GGX8" s="154"/>
      <c r="GGY8" s="154"/>
      <c r="GGZ8" s="154"/>
      <c r="GHA8" s="154"/>
      <c r="GHB8" s="154"/>
      <c r="GHC8" s="154"/>
      <c r="GHD8" s="154"/>
      <c r="GHE8" s="154"/>
      <c r="GHF8" s="154"/>
      <c r="GHG8" s="154"/>
      <c r="GHH8" s="154"/>
      <c r="GHI8" s="154"/>
      <c r="GHJ8" s="154"/>
      <c r="GHK8" s="154"/>
      <c r="GHL8" s="154"/>
      <c r="GHM8" s="154"/>
      <c r="GHN8" s="154"/>
      <c r="GHO8" s="154"/>
      <c r="GHP8" s="154"/>
      <c r="GHQ8" s="154"/>
      <c r="GHR8" s="154"/>
      <c r="GHS8" s="154"/>
      <c r="GHT8" s="154"/>
      <c r="GHU8" s="154"/>
      <c r="GHV8" s="154"/>
      <c r="GHW8" s="154"/>
      <c r="GHX8" s="154"/>
      <c r="GHY8" s="154"/>
      <c r="GHZ8" s="154"/>
      <c r="GIA8" s="154"/>
      <c r="GIB8" s="154"/>
      <c r="GIC8" s="154"/>
      <c r="GID8" s="154"/>
      <c r="GIE8" s="154"/>
      <c r="GIF8" s="154"/>
      <c r="GIG8" s="154"/>
      <c r="GIH8" s="154"/>
      <c r="GII8" s="154"/>
      <c r="GIJ8" s="154"/>
      <c r="GIK8" s="154"/>
      <c r="GIL8" s="154"/>
      <c r="GIM8" s="154"/>
      <c r="GIN8" s="154"/>
      <c r="GIO8" s="154"/>
      <c r="GIP8" s="154"/>
      <c r="GIQ8" s="154"/>
      <c r="GIR8" s="154"/>
      <c r="GIS8" s="154"/>
      <c r="GIT8" s="154"/>
      <c r="GIU8" s="154"/>
      <c r="GIV8" s="154"/>
      <c r="GIW8" s="154"/>
      <c r="GIX8" s="154"/>
      <c r="GIY8" s="154"/>
      <c r="GIZ8" s="154"/>
      <c r="GJA8" s="154"/>
      <c r="GJB8" s="154"/>
      <c r="GJC8" s="154"/>
      <c r="GJD8" s="154"/>
      <c r="GJE8" s="154"/>
      <c r="GJF8" s="154"/>
      <c r="GJG8" s="154"/>
      <c r="GJH8" s="154"/>
      <c r="GJI8" s="154"/>
      <c r="GJJ8" s="154"/>
      <c r="GJK8" s="154"/>
      <c r="GJL8" s="154"/>
      <c r="GJM8" s="154"/>
      <c r="GJN8" s="154"/>
      <c r="GJO8" s="154"/>
      <c r="GJP8" s="154"/>
      <c r="GJQ8" s="154"/>
      <c r="GJR8" s="154"/>
      <c r="GJS8" s="154"/>
      <c r="GJT8" s="154"/>
      <c r="GJU8" s="154"/>
      <c r="GJV8" s="154"/>
      <c r="GJW8" s="154"/>
      <c r="GJX8" s="154"/>
      <c r="GJY8" s="154"/>
      <c r="GJZ8" s="154"/>
      <c r="GKA8" s="154"/>
      <c r="GKB8" s="154"/>
      <c r="GKC8" s="154"/>
      <c r="GKD8" s="154"/>
      <c r="GKE8" s="154"/>
      <c r="GKF8" s="154"/>
      <c r="GKG8" s="154"/>
      <c r="GKH8" s="154"/>
      <c r="GKI8" s="154"/>
      <c r="GKJ8" s="154"/>
      <c r="GKK8" s="154"/>
      <c r="GKL8" s="154"/>
      <c r="GKM8" s="154"/>
      <c r="GKN8" s="154"/>
      <c r="GKO8" s="154"/>
      <c r="GKP8" s="154"/>
      <c r="GKQ8" s="154"/>
      <c r="GKR8" s="154"/>
      <c r="GKS8" s="154"/>
      <c r="GKT8" s="154"/>
      <c r="GKU8" s="154"/>
      <c r="GKV8" s="154"/>
      <c r="GKW8" s="154"/>
      <c r="GKX8" s="154"/>
      <c r="GKY8" s="154"/>
      <c r="GKZ8" s="154"/>
      <c r="GLA8" s="154"/>
      <c r="GLB8" s="154"/>
      <c r="GLC8" s="154"/>
      <c r="GLD8" s="154"/>
      <c r="GLE8" s="154"/>
      <c r="GLF8" s="154"/>
      <c r="GLG8" s="154"/>
      <c r="GLH8" s="154"/>
      <c r="GLI8" s="154"/>
      <c r="GLJ8" s="154"/>
      <c r="GLK8" s="154"/>
      <c r="GLL8" s="154"/>
      <c r="GLM8" s="154"/>
      <c r="GLN8" s="154"/>
      <c r="GLO8" s="154"/>
      <c r="GLP8" s="154"/>
      <c r="GLQ8" s="154"/>
      <c r="GLR8" s="154"/>
      <c r="GLS8" s="154"/>
      <c r="GLT8" s="154"/>
      <c r="GLU8" s="154"/>
      <c r="GLV8" s="154"/>
      <c r="GLW8" s="154"/>
      <c r="GLX8" s="154"/>
      <c r="GLY8" s="154"/>
      <c r="GLZ8" s="154"/>
      <c r="GMA8" s="154"/>
      <c r="GMB8" s="154"/>
      <c r="GMC8" s="154"/>
      <c r="GMD8" s="154"/>
      <c r="GME8" s="154"/>
      <c r="GMF8" s="154"/>
      <c r="GMG8" s="154"/>
      <c r="GMH8" s="154"/>
      <c r="GMI8" s="154"/>
      <c r="GMJ8" s="154"/>
      <c r="GMK8" s="154"/>
      <c r="GML8" s="154"/>
      <c r="GMM8" s="154"/>
      <c r="GMN8" s="154"/>
      <c r="GMO8" s="154"/>
      <c r="GMP8" s="154"/>
      <c r="GMQ8" s="154"/>
      <c r="GMR8" s="154"/>
      <c r="GMS8" s="154"/>
      <c r="GMT8" s="154"/>
      <c r="GMU8" s="154"/>
      <c r="GMV8" s="154"/>
      <c r="GMW8" s="154"/>
      <c r="GMX8" s="154"/>
      <c r="GMY8" s="154"/>
      <c r="GMZ8" s="154"/>
      <c r="GNA8" s="154"/>
      <c r="GNB8" s="154"/>
      <c r="GNC8" s="154"/>
      <c r="GND8" s="154"/>
      <c r="GNE8" s="154"/>
      <c r="GNF8" s="154"/>
      <c r="GNG8" s="154"/>
      <c r="GNH8" s="154"/>
      <c r="GNI8" s="154"/>
      <c r="GNJ8" s="154"/>
      <c r="GNK8" s="154"/>
      <c r="GNL8" s="154"/>
      <c r="GNM8" s="154"/>
      <c r="GNN8" s="154"/>
      <c r="GNO8" s="154"/>
      <c r="GNP8" s="154"/>
      <c r="GNQ8" s="154"/>
      <c r="GNR8" s="154"/>
      <c r="GNS8" s="154"/>
      <c r="GNT8" s="154"/>
      <c r="GNU8" s="154"/>
      <c r="GNV8" s="154"/>
      <c r="GNW8" s="154"/>
      <c r="GNX8" s="154"/>
      <c r="GNY8" s="154"/>
      <c r="GNZ8" s="154"/>
      <c r="GOA8" s="154"/>
      <c r="GOB8" s="154"/>
      <c r="GOC8" s="154"/>
      <c r="GOD8" s="154"/>
      <c r="GOE8" s="154"/>
      <c r="GOF8" s="154"/>
      <c r="GOG8" s="154"/>
      <c r="GOH8" s="154"/>
      <c r="GOI8" s="154"/>
      <c r="GOJ8" s="154"/>
      <c r="GOK8" s="154"/>
      <c r="GOL8" s="154"/>
      <c r="GOM8" s="154"/>
      <c r="GON8" s="154"/>
      <c r="GOO8" s="154"/>
      <c r="GOP8" s="154"/>
      <c r="GOQ8" s="154"/>
      <c r="GOR8" s="154"/>
      <c r="GOS8" s="154"/>
      <c r="GOT8" s="154"/>
      <c r="GOU8" s="154"/>
      <c r="GOV8" s="154"/>
      <c r="GOW8" s="154"/>
      <c r="GOX8" s="154"/>
      <c r="GOY8" s="154"/>
      <c r="GOZ8" s="154"/>
      <c r="GPA8" s="154"/>
      <c r="GPB8" s="154"/>
      <c r="GPC8" s="154"/>
      <c r="GPD8" s="154"/>
      <c r="GPE8" s="154"/>
      <c r="GPF8" s="154"/>
      <c r="GPG8" s="154"/>
      <c r="GPH8" s="154"/>
      <c r="GPI8" s="154"/>
      <c r="GPJ8" s="154"/>
      <c r="GPK8" s="154"/>
      <c r="GPL8" s="154"/>
      <c r="GPM8" s="154"/>
      <c r="GPN8" s="154"/>
      <c r="GPO8" s="154"/>
      <c r="GPP8" s="154"/>
      <c r="GPQ8" s="154"/>
      <c r="GPR8" s="154"/>
      <c r="GPS8" s="154"/>
      <c r="GPT8" s="154"/>
      <c r="GPU8" s="154"/>
      <c r="GPV8" s="154"/>
      <c r="GPW8" s="154"/>
      <c r="GPX8" s="154"/>
      <c r="GPY8" s="154"/>
      <c r="GPZ8" s="154"/>
      <c r="GQA8" s="154"/>
      <c r="GQB8" s="154"/>
      <c r="GQC8" s="154"/>
      <c r="GQD8" s="154"/>
      <c r="GQE8" s="154"/>
      <c r="GQF8" s="154"/>
      <c r="GQG8" s="154"/>
      <c r="GQH8" s="154"/>
      <c r="GQI8" s="154"/>
      <c r="GQJ8" s="154"/>
      <c r="GQK8" s="154"/>
      <c r="GQL8" s="154"/>
      <c r="GQM8" s="154"/>
      <c r="GQN8" s="154"/>
      <c r="GQO8" s="154"/>
      <c r="GQP8" s="154"/>
      <c r="GQQ8" s="154"/>
      <c r="GQR8" s="154"/>
      <c r="GQS8" s="154"/>
      <c r="GQT8" s="154"/>
      <c r="GQU8" s="154"/>
      <c r="GQV8" s="154"/>
      <c r="GQW8" s="154"/>
      <c r="GQX8" s="154"/>
      <c r="GQY8" s="154"/>
      <c r="GQZ8" s="154"/>
      <c r="GRA8" s="154"/>
      <c r="GRB8" s="154"/>
      <c r="GRC8" s="154"/>
      <c r="GRD8" s="154"/>
      <c r="GRE8" s="154"/>
      <c r="GRF8" s="154"/>
      <c r="GRG8" s="154"/>
      <c r="GRH8" s="154"/>
      <c r="GRI8" s="154"/>
      <c r="GRJ8" s="154"/>
      <c r="GRK8" s="154"/>
      <c r="GRL8" s="154"/>
      <c r="GRM8" s="154"/>
      <c r="GRN8" s="154"/>
      <c r="GRO8" s="154"/>
      <c r="GRP8" s="154"/>
      <c r="GRQ8" s="154"/>
      <c r="GRR8" s="154"/>
      <c r="GRS8" s="154"/>
      <c r="GRT8" s="154"/>
      <c r="GRU8" s="154"/>
      <c r="GRV8" s="154"/>
      <c r="GRW8" s="154"/>
      <c r="GRX8" s="154"/>
      <c r="GRY8" s="154"/>
      <c r="GRZ8" s="154"/>
      <c r="GSA8" s="154"/>
      <c r="GSB8" s="154"/>
      <c r="GSC8" s="154"/>
      <c r="GSD8" s="154"/>
      <c r="GSE8" s="154"/>
      <c r="GSF8" s="154"/>
      <c r="GSG8" s="154"/>
      <c r="GSH8" s="154"/>
      <c r="GSI8" s="154"/>
      <c r="GSJ8" s="154"/>
      <c r="GSK8" s="154"/>
      <c r="GSL8" s="154"/>
      <c r="GSM8" s="154"/>
      <c r="GSN8" s="154"/>
      <c r="GSO8" s="154"/>
      <c r="GSP8" s="154"/>
      <c r="GSQ8" s="154"/>
      <c r="GSR8" s="154"/>
      <c r="GSS8" s="154"/>
      <c r="GST8" s="154"/>
      <c r="GSU8" s="154"/>
      <c r="GSV8" s="154"/>
      <c r="GSW8" s="154"/>
      <c r="GSX8" s="154"/>
      <c r="GSY8" s="154"/>
      <c r="GSZ8" s="154"/>
      <c r="GTA8" s="154"/>
      <c r="GTB8" s="154"/>
      <c r="GTC8" s="154"/>
      <c r="GTD8" s="154"/>
      <c r="GTE8" s="154"/>
      <c r="GTF8" s="154"/>
      <c r="GTG8" s="154"/>
      <c r="GTH8" s="154"/>
      <c r="GTI8" s="154"/>
      <c r="GTJ8" s="154"/>
      <c r="GTK8" s="154"/>
      <c r="GTL8" s="154"/>
      <c r="GTM8" s="154"/>
      <c r="GTN8" s="154"/>
      <c r="GTO8" s="154"/>
      <c r="GTP8" s="154"/>
      <c r="GTQ8" s="154"/>
      <c r="GTR8" s="154"/>
      <c r="GTS8" s="154"/>
      <c r="GTT8" s="154"/>
      <c r="GTU8" s="154"/>
      <c r="GTV8" s="154"/>
      <c r="GTW8" s="154"/>
      <c r="GTX8" s="154"/>
      <c r="GTY8" s="154"/>
      <c r="GTZ8" s="154"/>
      <c r="GUA8" s="154"/>
      <c r="GUB8" s="154"/>
      <c r="GUC8" s="154"/>
      <c r="GUD8" s="154"/>
      <c r="GUE8" s="154"/>
      <c r="GUF8" s="154"/>
      <c r="GUG8" s="154"/>
      <c r="GUH8" s="154"/>
      <c r="GUI8" s="154"/>
      <c r="GUJ8" s="154"/>
      <c r="GUK8" s="154"/>
      <c r="GUL8" s="154"/>
      <c r="GUM8" s="154"/>
      <c r="GUN8" s="154"/>
      <c r="GUO8" s="154"/>
      <c r="GUP8" s="154"/>
      <c r="GUQ8" s="154"/>
      <c r="GUR8" s="154"/>
      <c r="GUS8" s="154"/>
      <c r="GUT8" s="154"/>
      <c r="GUU8" s="154"/>
      <c r="GUV8" s="154"/>
      <c r="GUW8" s="154"/>
      <c r="GUX8" s="154"/>
      <c r="GUY8" s="154"/>
      <c r="GUZ8" s="154"/>
      <c r="GVA8" s="154"/>
      <c r="GVB8" s="154"/>
      <c r="GVC8" s="154"/>
      <c r="GVD8" s="154"/>
      <c r="GVE8" s="154"/>
      <c r="GVF8" s="154"/>
      <c r="GVG8" s="154"/>
      <c r="GVH8" s="154"/>
      <c r="GVI8" s="154"/>
      <c r="GVJ8" s="154"/>
      <c r="GVK8" s="154"/>
      <c r="GVL8" s="154"/>
      <c r="GVM8" s="154"/>
      <c r="GVN8" s="154"/>
      <c r="GVO8" s="154"/>
      <c r="GVP8" s="154"/>
      <c r="GVQ8" s="154"/>
      <c r="GVR8" s="154"/>
      <c r="GVS8" s="154"/>
      <c r="GVT8" s="154"/>
      <c r="GVU8" s="154"/>
      <c r="GVV8" s="154"/>
      <c r="GVW8" s="154"/>
      <c r="GVX8" s="154"/>
      <c r="GVY8" s="154"/>
      <c r="GVZ8" s="154"/>
      <c r="GWA8" s="154"/>
      <c r="GWB8" s="154"/>
      <c r="GWC8" s="154"/>
      <c r="GWD8" s="154"/>
      <c r="GWE8" s="154"/>
      <c r="GWF8" s="154"/>
      <c r="GWG8" s="154"/>
      <c r="GWH8" s="154"/>
      <c r="GWI8" s="154"/>
      <c r="GWJ8" s="154"/>
      <c r="GWK8" s="154"/>
      <c r="GWL8" s="154"/>
      <c r="GWM8" s="154"/>
      <c r="GWN8" s="154"/>
      <c r="GWO8" s="154"/>
      <c r="GWP8" s="154"/>
      <c r="GWQ8" s="154"/>
      <c r="GWR8" s="154"/>
      <c r="GWS8" s="154"/>
      <c r="GWT8" s="154"/>
      <c r="GWU8" s="154"/>
      <c r="GWV8" s="154"/>
      <c r="GWW8" s="154"/>
      <c r="GWX8" s="154"/>
      <c r="GWY8" s="154"/>
      <c r="GWZ8" s="154"/>
      <c r="GXA8" s="154"/>
      <c r="GXB8" s="154"/>
      <c r="GXC8" s="154"/>
      <c r="GXD8" s="154"/>
      <c r="GXE8" s="154"/>
      <c r="GXF8" s="154"/>
      <c r="GXG8" s="154"/>
      <c r="GXH8" s="154"/>
      <c r="GXI8" s="154"/>
      <c r="GXJ8" s="154"/>
      <c r="GXK8" s="154"/>
      <c r="GXL8" s="154"/>
      <c r="GXM8" s="154"/>
      <c r="GXN8" s="154"/>
      <c r="GXO8" s="154"/>
      <c r="GXP8" s="154"/>
      <c r="GXQ8" s="154"/>
      <c r="GXR8" s="154"/>
      <c r="GXS8" s="154"/>
      <c r="GXT8" s="154"/>
      <c r="GXU8" s="154"/>
      <c r="GXV8" s="154"/>
      <c r="GXW8" s="154"/>
      <c r="GXX8" s="154"/>
      <c r="GXY8" s="154"/>
      <c r="GXZ8" s="154"/>
      <c r="GYA8" s="154"/>
      <c r="GYB8" s="154"/>
      <c r="GYC8" s="154"/>
      <c r="GYD8" s="154"/>
      <c r="GYE8" s="154"/>
      <c r="GYF8" s="154"/>
      <c r="GYG8" s="154"/>
      <c r="GYH8" s="154"/>
      <c r="GYI8" s="154"/>
      <c r="GYJ8" s="154"/>
      <c r="GYK8" s="154"/>
      <c r="GYL8" s="154"/>
      <c r="GYM8" s="154"/>
      <c r="GYN8" s="154"/>
      <c r="GYO8" s="154"/>
      <c r="GYP8" s="154"/>
      <c r="GYQ8" s="154"/>
      <c r="GYR8" s="154"/>
      <c r="GYS8" s="154"/>
      <c r="GYT8" s="154"/>
      <c r="GYU8" s="154"/>
      <c r="GYV8" s="154"/>
      <c r="GYW8" s="154"/>
      <c r="GYX8" s="154"/>
      <c r="GYY8" s="154"/>
      <c r="GYZ8" s="154"/>
      <c r="GZA8" s="154"/>
      <c r="GZB8" s="154"/>
      <c r="GZC8" s="154"/>
      <c r="GZD8" s="154"/>
      <c r="GZE8" s="154"/>
      <c r="GZF8" s="154"/>
      <c r="GZG8" s="154"/>
      <c r="GZH8" s="154"/>
      <c r="GZI8" s="154"/>
      <c r="GZJ8" s="154"/>
      <c r="GZK8" s="154"/>
      <c r="GZL8" s="154"/>
      <c r="GZM8" s="154"/>
      <c r="GZN8" s="154"/>
      <c r="GZO8" s="154"/>
      <c r="GZP8" s="154"/>
      <c r="GZQ8" s="154"/>
      <c r="GZR8" s="154"/>
      <c r="GZS8" s="154"/>
      <c r="GZT8" s="154"/>
      <c r="GZU8" s="154"/>
      <c r="GZV8" s="154"/>
      <c r="GZW8" s="154"/>
      <c r="GZX8" s="154"/>
      <c r="GZY8" s="154"/>
      <c r="GZZ8" s="154"/>
      <c r="HAA8" s="154"/>
      <c r="HAB8" s="154"/>
      <c r="HAC8" s="154"/>
      <c r="HAD8" s="154"/>
      <c r="HAE8" s="154"/>
      <c r="HAF8" s="154"/>
      <c r="HAG8" s="154"/>
      <c r="HAH8" s="154"/>
      <c r="HAI8" s="154"/>
      <c r="HAJ8" s="154"/>
      <c r="HAK8" s="154"/>
      <c r="HAL8" s="154"/>
      <c r="HAM8" s="154"/>
      <c r="HAN8" s="154"/>
      <c r="HAO8" s="154"/>
      <c r="HAP8" s="154"/>
      <c r="HAQ8" s="154"/>
      <c r="HAR8" s="154"/>
      <c r="HAS8" s="154"/>
      <c r="HAT8" s="154"/>
      <c r="HAU8" s="154"/>
      <c r="HAV8" s="154"/>
      <c r="HAW8" s="154"/>
      <c r="HAX8" s="154"/>
      <c r="HAY8" s="154"/>
      <c r="HAZ8" s="154"/>
      <c r="HBA8" s="154"/>
      <c r="HBB8" s="154"/>
      <c r="HBC8" s="154"/>
      <c r="HBD8" s="154"/>
      <c r="HBE8" s="154"/>
      <c r="HBF8" s="154"/>
      <c r="HBG8" s="154"/>
      <c r="HBH8" s="154"/>
      <c r="HBI8" s="154"/>
      <c r="HBJ8" s="154"/>
      <c r="HBK8" s="154"/>
      <c r="HBL8" s="154"/>
      <c r="HBM8" s="154"/>
      <c r="HBN8" s="154"/>
      <c r="HBO8" s="154"/>
      <c r="HBP8" s="154"/>
      <c r="HBQ8" s="154"/>
      <c r="HBR8" s="154"/>
      <c r="HBS8" s="154"/>
      <c r="HBT8" s="154"/>
      <c r="HBU8" s="154"/>
      <c r="HBV8" s="154"/>
      <c r="HBW8" s="154"/>
      <c r="HBX8" s="154"/>
      <c r="HBY8" s="154"/>
      <c r="HBZ8" s="154"/>
      <c r="HCA8" s="154"/>
      <c r="HCB8" s="154"/>
      <c r="HCC8" s="154"/>
      <c r="HCD8" s="154"/>
      <c r="HCE8" s="154"/>
      <c r="HCF8" s="154"/>
      <c r="HCG8" s="154"/>
      <c r="HCH8" s="154"/>
      <c r="HCI8" s="154"/>
      <c r="HCJ8" s="154"/>
      <c r="HCK8" s="154"/>
      <c r="HCL8" s="154"/>
      <c r="HCM8" s="154"/>
      <c r="HCN8" s="154"/>
      <c r="HCO8" s="154"/>
      <c r="HCP8" s="154"/>
      <c r="HCQ8" s="154"/>
      <c r="HCR8" s="154"/>
      <c r="HCS8" s="154"/>
      <c r="HCT8" s="154"/>
      <c r="HCU8" s="154"/>
      <c r="HCV8" s="154"/>
      <c r="HCW8" s="154"/>
      <c r="HCX8" s="154"/>
      <c r="HCY8" s="154"/>
      <c r="HCZ8" s="154"/>
      <c r="HDA8" s="154"/>
      <c r="HDB8" s="154"/>
      <c r="HDC8" s="154"/>
      <c r="HDD8" s="154"/>
      <c r="HDE8" s="154"/>
      <c r="HDF8" s="154"/>
      <c r="HDG8" s="154"/>
      <c r="HDH8" s="154"/>
      <c r="HDI8" s="154"/>
      <c r="HDJ8" s="154"/>
      <c r="HDK8" s="154"/>
      <c r="HDL8" s="154"/>
      <c r="HDM8" s="154"/>
      <c r="HDN8" s="154"/>
      <c r="HDO8" s="154"/>
      <c r="HDP8" s="154"/>
      <c r="HDQ8" s="154"/>
      <c r="HDR8" s="154"/>
      <c r="HDS8" s="154"/>
      <c r="HDT8" s="154"/>
      <c r="HDU8" s="154"/>
      <c r="HDV8" s="154"/>
      <c r="HDW8" s="154"/>
      <c r="HDX8" s="154"/>
      <c r="HDY8" s="154"/>
      <c r="HDZ8" s="154"/>
      <c r="HEA8" s="154"/>
      <c r="HEB8" s="154"/>
      <c r="HEC8" s="154"/>
      <c r="HED8" s="154"/>
      <c r="HEE8" s="154"/>
      <c r="HEF8" s="154"/>
      <c r="HEG8" s="154"/>
      <c r="HEH8" s="154"/>
      <c r="HEI8" s="154"/>
      <c r="HEJ8" s="154"/>
      <c r="HEK8" s="154"/>
      <c r="HEL8" s="154"/>
      <c r="HEM8" s="154"/>
      <c r="HEN8" s="154"/>
      <c r="HEO8" s="154"/>
      <c r="HEP8" s="154"/>
      <c r="HEQ8" s="154"/>
      <c r="HER8" s="154"/>
      <c r="HES8" s="154"/>
      <c r="HET8" s="154"/>
      <c r="HEU8" s="154"/>
      <c r="HEV8" s="154"/>
      <c r="HEW8" s="154"/>
      <c r="HEX8" s="154"/>
      <c r="HEY8" s="154"/>
      <c r="HEZ8" s="154"/>
      <c r="HFA8" s="154"/>
      <c r="HFB8" s="154"/>
      <c r="HFC8" s="154"/>
      <c r="HFD8" s="154"/>
      <c r="HFE8" s="154"/>
      <c r="HFF8" s="154"/>
      <c r="HFG8" s="154"/>
      <c r="HFH8" s="154"/>
      <c r="HFI8" s="154"/>
      <c r="HFJ8" s="154"/>
      <c r="HFK8" s="154"/>
      <c r="HFL8" s="154"/>
      <c r="HFM8" s="154"/>
      <c r="HFN8" s="154"/>
      <c r="HFO8" s="154"/>
      <c r="HFP8" s="154"/>
      <c r="HFQ8" s="154"/>
      <c r="HFR8" s="154"/>
      <c r="HFS8" s="154"/>
      <c r="HFT8" s="154"/>
      <c r="HFU8" s="154"/>
      <c r="HFV8" s="154"/>
      <c r="HFW8" s="154"/>
      <c r="HFX8" s="154"/>
      <c r="HFY8" s="154"/>
      <c r="HFZ8" s="154"/>
      <c r="HGA8" s="154"/>
      <c r="HGB8" s="154"/>
      <c r="HGC8" s="154"/>
      <c r="HGD8" s="154"/>
      <c r="HGE8" s="154"/>
      <c r="HGF8" s="154"/>
      <c r="HGG8" s="154"/>
      <c r="HGH8" s="154"/>
      <c r="HGI8" s="154"/>
      <c r="HGJ8" s="154"/>
      <c r="HGK8" s="154"/>
      <c r="HGL8" s="154"/>
      <c r="HGM8" s="154"/>
      <c r="HGN8" s="154"/>
      <c r="HGO8" s="154"/>
      <c r="HGP8" s="154"/>
      <c r="HGQ8" s="154"/>
      <c r="HGR8" s="154"/>
      <c r="HGS8" s="154"/>
      <c r="HGT8" s="154"/>
      <c r="HGU8" s="154"/>
      <c r="HGV8" s="154"/>
      <c r="HGW8" s="154"/>
      <c r="HGX8" s="154"/>
      <c r="HGY8" s="154"/>
      <c r="HGZ8" s="154"/>
      <c r="HHA8" s="154"/>
      <c r="HHB8" s="154"/>
      <c r="HHC8" s="154"/>
      <c r="HHD8" s="154"/>
      <c r="HHE8" s="154"/>
      <c r="HHF8" s="154"/>
      <c r="HHG8" s="154"/>
      <c r="HHH8" s="154"/>
      <c r="HHI8" s="154"/>
      <c r="HHJ8" s="154"/>
      <c r="HHK8" s="154"/>
      <c r="HHL8" s="154"/>
      <c r="HHM8" s="154"/>
      <c r="HHN8" s="154"/>
      <c r="HHO8" s="154"/>
      <c r="HHP8" s="154"/>
      <c r="HHQ8" s="154"/>
      <c r="HHR8" s="154"/>
      <c r="HHS8" s="154"/>
      <c r="HHT8" s="154"/>
      <c r="HHU8" s="154"/>
      <c r="HHV8" s="154"/>
      <c r="HHW8" s="154"/>
      <c r="HHX8" s="154"/>
      <c r="HHY8" s="154"/>
      <c r="HHZ8" s="154"/>
      <c r="HIA8" s="154"/>
      <c r="HIB8" s="154"/>
      <c r="HIC8" s="154"/>
      <c r="HID8" s="154"/>
      <c r="HIE8" s="154"/>
      <c r="HIF8" s="154"/>
      <c r="HIG8" s="154"/>
      <c r="HIH8" s="154"/>
      <c r="HII8" s="154"/>
      <c r="HIJ8" s="154"/>
      <c r="HIK8" s="154"/>
      <c r="HIL8" s="154"/>
      <c r="HIM8" s="154"/>
      <c r="HIN8" s="154"/>
      <c r="HIO8" s="154"/>
      <c r="HIP8" s="154"/>
      <c r="HIQ8" s="154"/>
      <c r="HIR8" s="154"/>
      <c r="HIS8" s="154"/>
      <c r="HIT8" s="154"/>
      <c r="HIU8" s="154"/>
      <c r="HIV8" s="154"/>
      <c r="HIW8" s="154"/>
      <c r="HIX8" s="154"/>
      <c r="HIY8" s="154"/>
      <c r="HIZ8" s="154"/>
      <c r="HJA8" s="154"/>
      <c r="HJB8" s="154"/>
      <c r="HJC8" s="154"/>
      <c r="HJD8" s="154"/>
      <c r="HJE8" s="154"/>
      <c r="HJF8" s="154"/>
      <c r="HJG8" s="154"/>
      <c r="HJH8" s="154"/>
      <c r="HJI8" s="154"/>
      <c r="HJJ8" s="154"/>
      <c r="HJK8" s="154"/>
      <c r="HJL8" s="154"/>
      <c r="HJM8" s="154"/>
      <c r="HJN8" s="154"/>
      <c r="HJO8" s="154"/>
      <c r="HJP8" s="154"/>
      <c r="HJQ8" s="154"/>
      <c r="HJR8" s="154"/>
      <c r="HJS8" s="154"/>
      <c r="HJT8" s="154"/>
      <c r="HJU8" s="154"/>
      <c r="HJV8" s="154"/>
      <c r="HJW8" s="154"/>
      <c r="HJX8" s="154"/>
      <c r="HJY8" s="154"/>
      <c r="HJZ8" s="154"/>
      <c r="HKA8" s="154"/>
      <c r="HKB8" s="154"/>
      <c r="HKC8" s="154"/>
      <c r="HKD8" s="154"/>
      <c r="HKE8" s="154"/>
      <c r="HKF8" s="154"/>
      <c r="HKG8" s="154"/>
      <c r="HKH8" s="154"/>
      <c r="HKI8" s="154"/>
      <c r="HKJ8" s="154"/>
      <c r="HKK8" s="154"/>
      <c r="HKL8" s="154"/>
      <c r="HKM8" s="154"/>
      <c r="HKN8" s="154"/>
      <c r="HKO8" s="154"/>
      <c r="HKP8" s="154"/>
      <c r="HKQ8" s="154"/>
      <c r="HKR8" s="154"/>
      <c r="HKS8" s="154"/>
      <c r="HKT8" s="154"/>
      <c r="HKU8" s="154"/>
      <c r="HKV8" s="154"/>
      <c r="HKW8" s="154"/>
      <c r="HKX8" s="154"/>
      <c r="HKY8" s="154"/>
      <c r="HKZ8" s="154"/>
      <c r="HLA8" s="154"/>
      <c r="HLB8" s="154"/>
      <c r="HLC8" s="154"/>
      <c r="HLD8" s="154"/>
      <c r="HLE8" s="154"/>
      <c r="HLF8" s="154"/>
      <c r="HLG8" s="154"/>
      <c r="HLH8" s="154"/>
      <c r="HLI8" s="154"/>
      <c r="HLJ8" s="154"/>
      <c r="HLK8" s="154"/>
      <c r="HLL8" s="154"/>
      <c r="HLM8" s="154"/>
      <c r="HLN8" s="154"/>
      <c r="HLO8" s="154"/>
      <c r="HLP8" s="154"/>
      <c r="HLQ8" s="154"/>
      <c r="HLR8" s="154"/>
      <c r="HLS8" s="154"/>
      <c r="HLT8" s="154"/>
      <c r="HLU8" s="154"/>
      <c r="HLV8" s="154"/>
      <c r="HLW8" s="154"/>
      <c r="HLX8" s="154"/>
      <c r="HLY8" s="154"/>
      <c r="HLZ8" s="154"/>
      <c r="HMA8" s="154"/>
      <c r="HMB8" s="154"/>
      <c r="HMC8" s="154"/>
      <c r="HMD8" s="154"/>
      <c r="HME8" s="154"/>
      <c r="HMF8" s="154"/>
      <c r="HMG8" s="154"/>
      <c r="HMH8" s="154"/>
      <c r="HMI8" s="154"/>
      <c r="HMJ8" s="154"/>
      <c r="HMK8" s="154"/>
      <c r="HML8" s="154"/>
      <c r="HMM8" s="154"/>
      <c r="HMN8" s="154"/>
      <c r="HMO8" s="154"/>
      <c r="HMP8" s="154"/>
      <c r="HMQ8" s="154"/>
      <c r="HMR8" s="154"/>
      <c r="HMS8" s="154"/>
      <c r="HMT8" s="154"/>
      <c r="HMU8" s="154"/>
      <c r="HMV8" s="154"/>
      <c r="HMW8" s="154"/>
      <c r="HMX8" s="154"/>
      <c r="HMY8" s="154"/>
      <c r="HMZ8" s="154"/>
      <c r="HNA8" s="154"/>
      <c r="HNB8" s="154"/>
      <c r="HNC8" s="154"/>
      <c r="HND8" s="154"/>
      <c r="HNE8" s="154"/>
      <c r="HNF8" s="154"/>
      <c r="HNG8" s="154"/>
      <c r="HNH8" s="154"/>
      <c r="HNI8" s="154"/>
      <c r="HNJ8" s="154"/>
      <c r="HNK8" s="154"/>
      <c r="HNL8" s="154"/>
      <c r="HNM8" s="154"/>
      <c r="HNN8" s="154"/>
      <c r="HNO8" s="154"/>
      <c r="HNP8" s="154"/>
      <c r="HNQ8" s="154"/>
      <c r="HNR8" s="154"/>
      <c r="HNS8" s="154"/>
      <c r="HNT8" s="154"/>
      <c r="HNU8" s="154"/>
      <c r="HNV8" s="154"/>
      <c r="HNW8" s="154"/>
      <c r="HNX8" s="154"/>
      <c r="HNY8" s="154"/>
      <c r="HNZ8" s="154"/>
      <c r="HOA8" s="154"/>
      <c r="HOB8" s="154"/>
      <c r="HOC8" s="154"/>
      <c r="HOD8" s="154"/>
      <c r="HOE8" s="154"/>
      <c r="HOF8" s="154"/>
      <c r="HOG8" s="154"/>
      <c r="HOH8" s="154"/>
      <c r="HOI8" s="154"/>
      <c r="HOJ8" s="154"/>
      <c r="HOK8" s="154"/>
      <c r="HOL8" s="154"/>
      <c r="HOM8" s="154"/>
      <c r="HON8" s="154"/>
      <c r="HOO8" s="154"/>
      <c r="HOP8" s="154"/>
      <c r="HOQ8" s="154"/>
      <c r="HOR8" s="154"/>
      <c r="HOS8" s="154"/>
      <c r="HOT8" s="154"/>
      <c r="HOU8" s="154"/>
      <c r="HOV8" s="154"/>
      <c r="HOW8" s="154"/>
      <c r="HOX8" s="154"/>
      <c r="HOY8" s="154"/>
      <c r="HOZ8" s="154"/>
      <c r="HPA8" s="154"/>
      <c r="HPB8" s="154"/>
      <c r="HPC8" s="154"/>
      <c r="HPD8" s="154"/>
      <c r="HPE8" s="154"/>
      <c r="HPF8" s="154"/>
      <c r="HPG8" s="154"/>
      <c r="HPH8" s="154"/>
      <c r="HPI8" s="154"/>
      <c r="HPJ8" s="154"/>
      <c r="HPK8" s="154"/>
      <c r="HPL8" s="154"/>
      <c r="HPM8" s="154"/>
      <c r="HPN8" s="154"/>
      <c r="HPO8" s="154"/>
      <c r="HPP8" s="154"/>
      <c r="HPQ8" s="154"/>
      <c r="HPR8" s="154"/>
      <c r="HPS8" s="154"/>
      <c r="HPT8" s="154"/>
      <c r="HPU8" s="154"/>
      <c r="HPV8" s="154"/>
      <c r="HPW8" s="154"/>
      <c r="HPX8" s="154"/>
      <c r="HPY8" s="154"/>
      <c r="HPZ8" s="154"/>
      <c r="HQA8" s="154"/>
      <c r="HQB8" s="154"/>
      <c r="HQC8" s="154"/>
      <c r="HQD8" s="154"/>
      <c r="HQE8" s="154"/>
      <c r="HQF8" s="154"/>
      <c r="HQG8" s="154"/>
      <c r="HQH8" s="154"/>
      <c r="HQI8" s="154"/>
      <c r="HQJ8" s="154"/>
      <c r="HQK8" s="154"/>
      <c r="HQL8" s="154"/>
      <c r="HQM8" s="154"/>
      <c r="HQN8" s="154"/>
      <c r="HQO8" s="154"/>
      <c r="HQP8" s="154"/>
      <c r="HQQ8" s="154"/>
      <c r="HQR8" s="154"/>
      <c r="HQS8" s="154"/>
      <c r="HQT8" s="154"/>
      <c r="HQU8" s="154"/>
      <c r="HQV8" s="154"/>
      <c r="HQW8" s="154"/>
      <c r="HQX8" s="154"/>
      <c r="HQY8" s="154"/>
      <c r="HQZ8" s="154"/>
      <c r="HRA8" s="154"/>
      <c r="HRB8" s="154"/>
      <c r="HRC8" s="154"/>
      <c r="HRD8" s="154"/>
      <c r="HRE8" s="154"/>
      <c r="HRF8" s="154"/>
      <c r="HRG8" s="154"/>
      <c r="HRH8" s="154"/>
      <c r="HRI8" s="154"/>
      <c r="HRJ8" s="154"/>
      <c r="HRK8" s="154"/>
      <c r="HRL8" s="154"/>
      <c r="HRM8" s="154"/>
      <c r="HRN8" s="154"/>
      <c r="HRO8" s="154"/>
      <c r="HRP8" s="154"/>
      <c r="HRQ8" s="154"/>
      <c r="HRR8" s="154"/>
      <c r="HRS8" s="154"/>
      <c r="HRT8" s="154"/>
      <c r="HRU8" s="154"/>
      <c r="HRV8" s="154"/>
      <c r="HRW8" s="154"/>
      <c r="HRX8" s="154"/>
      <c r="HRY8" s="154"/>
      <c r="HRZ8" s="154"/>
      <c r="HSA8" s="154"/>
      <c r="HSB8" s="154"/>
      <c r="HSC8" s="154"/>
      <c r="HSD8" s="154"/>
      <c r="HSE8" s="154"/>
      <c r="HSF8" s="154"/>
      <c r="HSG8" s="154"/>
      <c r="HSH8" s="154"/>
      <c r="HSI8" s="154"/>
      <c r="HSJ8" s="154"/>
      <c r="HSK8" s="154"/>
      <c r="HSL8" s="154"/>
      <c r="HSM8" s="154"/>
      <c r="HSN8" s="154"/>
      <c r="HSO8" s="154"/>
      <c r="HSP8" s="154"/>
      <c r="HSQ8" s="154"/>
      <c r="HSR8" s="154"/>
      <c r="HSS8" s="154"/>
      <c r="HST8" s="154"/>
      <c r="HSU8" s="154"/>
      <c r="HSV8" s="154"/>
      <c r="HSW8" s="154"/>
      <c r="HSX8" s="154"/>
      <c r="HSY8" s="154"/>
      <c r="HSZ8" s="154"/>
      <c r="HTA8" s="154"/>
      <c r="HTB8" s="154"/>
      <c r="HTC8" s="154"/>
      <c r="HTD8" s="154"/>
      <c r="HTE8" s="154"/>
      <c r="HTF8" s="154"/>
      <c r="HTG8" s="154"/>
      <c r="HTH8" s="154"/>
      <c r="HTI8" s="154"/>
      <c r="HTJ8" s="154"/>
      <c r="HTK8" s="154"/>
      <c r="HTL8" s="154"/>
      <c r="HTM8" s="154"/>
      <c r="HTN8" s="154"/>
      <c r="HTO8" s="154"/>
      <c r="HTP8" s="154"/>
      <c r="HTQ8" s="154"/>
      <c r="HTR8" s="154"/>
      <c r="HTS8" s="154"/>
      <c r="HTT8" s="154"/>
      <c r="HTU8" s="154"/>
      <c r="HTV8" s="154"/>
      <c r="HTW8" s="154"/>
      <c r="HTX8" s="154"/>
      <c r="HTY8" s="154"/>
      <c r="HTZ8" s="154"/>
      <c r="HUA8" s="154"/>
      <c r="HUB8" s="154"/>
      <c r="HUC8" s="154"/>
      <c r="HUD8" s="154"/>
      <c r="HUE8" s="154"/>
      <c r="HUF8" s="154"/>
      <c r="HUG8" s="154"/>
      <c r="HUH8" s="154"/>
      <c r="HUI8" s="154"/>
      <c r="HUJ8" s="154"/>
      <c r="HUK8" s="154"/>
      <c r="HUL8" s="154"/>
      <c r="HUM8" s="154"/>
      <c r="HUN8" s="154"/>
      <c r="HUO8" s="154"/>
      <c r="HUP8" s="154"/>
      <c r="HUQ8" s="154"/>
      <c r="HUR8" s="154"/>
      <c r="HUS8" s="154"/>
      <c r="HUT8" s="154"/>
      <c r="HUU8" s="154"/>
      <c r="HUV8" s="154"/>
      <c r="HUW8" s="154"/>
      <c r="HUX8" s="154"/>
      <c r="HUY8" s="154"/>
      <c r="HUZ8" s="154"/>
      <c r="HVA8" s="154"/>
      <c r="HVB8" s="154"/>
      <c r="HVC8" s="154"/>
      <c r="HVD8" s="154"/>
      <c r="HVE8" s="154"/>
      <c r="HVF8" s="154"/>
      <c r="HVG8" s="154"/>
      <c r="HVH8" s="154"/>
      <c r="HVI8" s="154"/>
      <c r="HVJ8" s="154"/>
      <c r="HVK8" s="154"/>
      <c r="HVL8" s="154"/>
      <c r="HVM8" s="154"/>
      <c r="HVN8" s="154"/>
      <c r="HVO8" s="154"/>
      <c r="HVP8" s="154"/>
      <c r="HVQ8" s="154"/>
      <c r="HVR8" s="154"/>
      <c r="HVS8" s="154"/>
      <c r="HVT8" s="154"/>
      <c r="HVU8" s="154"/>
      <c r="HVV8" s="154"/>
      <c r="HVW8" s="154"/>
      <c r="HVX8" s="154"/>
      <c r="HVY8" s="154"/>
      <c r="HVZ8" s="154"/>
      <c r="HWA8" s="154"/>
      <c r="HWB8" s="154"/>
      <c r="HWC8" s="154"/>
      <c r="HWD8" s="154"/>
      <c r="HWE8" s="154"/>
      <c r="HWF8" s="154"/>
      <c r="HWG8" s="154"/>
      <c r="HWH8" s="154"/>
      <c r="HWI8" s="154"/>
      <c r="HWJ8" s="154"/>
      <c r="HWK8" s="154"/>
      <c r="HWL8" s="154"/>
      <c r="HWM8" s="154"/>
      <c r="HWN8" s="154"/>
      <c r="HWO8" s="154"/>
      <c r="HWP8" s="154"/>
      <c r="HWQ8" s="154"/>
      <c r="HWR8" s="154"/>
      <c r="HWS8" s="154"/>
      <c r="HWT8" s="154"/>
      <c r="HWU8" s="154"/>
      <c r="HWV8" s="154"/>
      <c r="HWW8" s="154"/>
      <c r="HWX8" s="154"/>
      <c r="HWY8" s="154"/>
      <c r="HWZ8" s="154"/>
      <c r="HXA8" s="154"/>
      <c r="HXB8" s="154"/>
      <c r="HXC8" s="154"/>
      <c r="HXD8" s="154"/>
      <c r="HXE8" s="154"/>
      <c r="HXF8" s="154"/>
      <c r="HXG8" s="154"/>
      <c r="HXH8" s="154"/>
      <c r="HXI8" s="154"/>
      <c r="HXJ8" s="154"/>
      <c r="HXK8" s="154"/>
      <c r="HXL8" s="154"/>
      <c r="HXM8" s="154"/>
      <c r="HXN8" s="154"/>
      <c r="HXO8" s="154"/>
      <c r="HXP8" s="154"/>
      <c r="HXQ8" s="154"/>
      <c r="HXR8" s="154"/>
      <c r="HXS8" s="154"/>
      <c r="HXT8" s="154"/>
      <c r="HXU8" s="154"/>
      <c r="HXV8" s="154"/>
      <c r="HXW8" s="154"/>
      <c r="HXX8" s="154"/>
      <c r="HXY8" s="154"/>
      <c r="HXZ8" s="154"/>
      <c r="HYA8" s="154"/>
      <c r="HYB8" s="154"/>
      <c r="HYC8" s="154"/>
      <c r="HYD8" s="154"/>
      <c r="HYE8" s="154"/>
      <c r="HYF8" s="154"/>
      <c r="HYG8" s="154"/>
      <c r="HYH8" s="154"/>
      <c r="HYI8" s="154"/>
      <c r="HYJ8" s="154"/>
      <c r="HYK8" s="154"/>
      <c r="HYL8" s="154"/>
      <c r="HYM8" s="154"/>
      <c r="HYN8" s="154"/>
      <c r="HYO8" s="154"/>
      <c r="HYP8" s="154"/>
      <c r="HYQ8" s="154"/>
      <c r="HYR8" s="154"/>
      <c r="HYS8" s="154"/>
      <c r="HYT8" s="154"/>
      <c r="HYU8" s="154"/>
      <c r="HYV8" s="154"/>
      <c r="HYW8" s="154"/>
      <c r="HYX8" s="154"/>
      <c r="HYY8" s="154"/>
      <c r="HYZ8" s="154"/>
      <c r="HZA8" s="154"/>
      <c r="HZB8" s="154"/>
      <c r="HZC8" s="154"/>
      <c r="HZD8" s="154"/>
      <c r="HZE8" s="154"/>
      <c r="HZF8" s="154"/>
      <c r="HZG8" s="154"/>
      <c r="HZH8" s="154"/>
      <c r="HZI8" s="154"/>
      <c r="HZJ8" s="154"/>
      <c r="HZK8" s="154"/>
      <c r="HZL8" s="154"/>
      <c r="HZM8" s="154"/>
      <c r="HZN8" s="154"/>
      <c r="HZO8" s="154"/>
      <c r="HZP8" s="154"/>
      <c r="HZQ8" s="154"/>
      <c r="HZR8" s="154"/>
      <c r="HZS8" s="154"/>
      <c r="HZT8" s="154"/>
      <c r="HZU8" s="154"/>
      <c r="HZV8" s="154"/>
      <c r="HZW8" s="154"/>
      <c r="HZX8" s="154"/>
      <c r="HZY8" s="154"/>
      <c r="HZZ8" s="154"/>
      <c r="IAA8" s="154"/>
      <c r="IAB8" s="154"/>
      <c r="IAC8" s="154"/>
      <c r="IAD8" s="154"/>
      <c r="IAE8" s="154"/>
      <c r="IAF8" s="154"/>
      <c r="IAG8" s="154"/>
      <c r="IAH8" s="154"/>
      <c r="IAI8" s="154"/>
      <c r="IAJ8" s="154"/>
      <c r="IAK8" s="154"/>
      <c r="IAL8" s="154"/>
      <c r="IAM8" s="154"/>
      <c r="IAN8" s="154"/>
      <c r="IAO8" s="154"/>
      <c r="IAP8" s="154"/>
      <c r="IAQ8" s="154"/>
      <c r="IAR8" s="154"/>
      <c r="IAS8" s="154"/>
      <c r="IAT8" s="154"/>
      <c r="IAU8" s="154"/>
      <c r="IAV8" s="154"/>
      <c r="IAW8" s="154"/>
      <c r="IAX8" s="154"/>
      <c r="IAY8" s="154"/>
      <c r="IAZ8" s="154"/>
      <c r="IBA8" s="154"/>
      <c r="IBB8" s="154"/>
      <c r="IBC8" s="154"/>
      <c r="IBD8" s="154"/>
      <c r="IBE8" s="154"/>
      <c r="IBF8" s="154"/>
      <c r="IBG8" s="154"/>
      <c r="IBH8" s="154"/>
      <c r="IBI8" s="154"/>
      <c r="IBJ8" s="154"/>
      <c r="IBK8" s="154"/>
      <c r="IBL8" s="154"/>
      <c r="IBM8" s="154"/>
      <c r="IBN8" s="154"/>
      <c r="IBO8" s="154"/>
      <c r="IBP8" s="154"/>
      <c r="IBQ8" s="154"/>
      <c r="IBR8" s="154"/>
      <c r="IBS8" s="154"/>
      <c r="IBT8" s="154"/>
      <c r="IBU8" s="154"/>
      <c r="IBV8" s="154"/>
      <c r="IBW8" s="154"/>
      <c r="IBX8" s="154"/>
      <c r="IBY8" s="154"/>
      <c r="IBZ8" s="154"/>
      <c r="ICA8" s="154"/>
      <c r="ICB8" s="154"/>
      <c r="ICC8" s="154"/>
      <c r="ICD8" s="154"/>
      <c r="ICE8" s="154"/>
      <c r="ICF8" s="154"/>
      <c r="ICG8" s="154"/>
      <c r="ICH8" s="154"/>
      <c r="ICI8" s="154"/>
      <c r="ICJ8" s="154"/>
      <c r="ICK8" s="154"/>
      <c r="ICL8" s="154"/>
      <c r="ICM8" s="154"/>
      <c r="ICN8" s="154"/>
      <c r="ICO8" s="154"/>
      <c r="ICP8" s="154"/>
      <c r="ICQ8" s="154"/>
      <c r="ICR8" s="154"/>
      <c r="ICS8" s="154"/>
      <c r="ICT8" s="154"/>
      <c r="ICU8" s="154"/>
      <c r="ICV8" s="154"/>
      <c r="ICW8" s="154"/>
      <c r="ICX8" s="154"/>
      <c r="ICY8" s="154"/>
      <c r="ICZ8" s="154"/>
      <c r="IDA8" s="154"/>
      <c r="IDB8" s="154"/>
      <c r="IDC8" s="154"/>
      <c r="IDD8" s="154"/>
      <c r="IDE8" s="154"/>
      <c r="IDF8" s="154"/>
      <c r="IDG8" s="154"/>
      <c r="IDH8" s="154"/>
      <c r="IDI8" s="154"/>
      <c r="IDJ8" s="154"/>
      <c r="IDK8" s="154"/>
      <c r="IDL8" s="154"/>
      <c r="IDM8" s="154"/>
      <c r="IDN8" s="154"/>
      <c r="IDO8" s="154"/>
      <c r="IDP8" s="154"/>
      <c r="IDQ8" s="154"/>
      <c r="IDR8" s="154"/>
      <c r="IDS8" s="154"/>
      <c r="IDT8" s="154"/>
      <c r="IDU8" s="154"/>
      <c r="IDV8" s="154"/>
      <c r="IDW8" s="154"/>
      <c r="IDX8" s="154"/>
      <c r="IDY8" s="154"/>
      <c r="IDZ8" s="154"/>
      <c r="IEA8" s="154"/>
      <c r="IEB8" s="154"/>
      <c r="IEC8" s="154"/>
      <c r="IED8" s="154"/>
      <c r="IEE8" s="154"/>
      <c r="IEF8" s="154"/>
      <c r="IEG8" s="154"/>
      <c r="IEH8" s="154"/>
      <c r="IEI8" s="154"/>
      <c r="IEJ8" s="154"/>
      <c r="IEK8" s="154"/>
      <c r="IEL8" s="154"/>
      <c r="IEM8" s="154"/>
      <c r="IEN8" s="154"/>
      <c r="IEO8" s="154"/>
      <c r="IEP8" s="154"/>
      <c r="IEQ8" s="154"/>
      <c r="IER8" s="154"/>
      <c r="IES8" s="154"/>
      <c r="IET8" s="154"/>
      <c r="IEU8" s="154"/>
      <c r="IEV8" s="154"/>
      <c r="IEW8" s="154"/>
      <c r="IEX8" s="154"/>
      <c r="IEY8" s="154"/>
      <c r="IEZ8" s="154"/>
      <c r="IFA8" s="154"/>
      <c r="IFB8" s="154"/>
      <c r="IFC8" s="154"/>
      <c r="IFD8" s="154"/>
      <c r="IFE8" s="154"/>
      <c r="IFF8" s="154"/>
      <c r="IFG8" s="154"/>
      <c r="IFH8" s="154"/>
      <c r="IFI8" s="154"/>
      <c r="IFJ8" s="154"/>
      <c r="IFK8" s="154"/>
      <c r="IFL8" s="154"/>
      <c r="IFM8" s="154"/>
      <c r="IFN8" s="154"/>
      <c r="IFO8" s="154"/>
      <c r="IFP8" s="154"/>
      <c r="IFQ8" s="154"/>
      <c r="IFR8" s="154"/>
      <c r="IFS8" s="154"/>
      <c r="IFT8" s="154"/>
      <c r="IFU8" s="154"/>
      <c r="IFV8" s="154"/>
      <c r="IFW8" s="154"/>
      <c r="IFX8" s="154"/>
      <c r="IFY8" s="154"/>
      <c r="IFZ8" s="154"/>
      <c r="IGA8" s="154"/>
      <c r="IGB8" s="154"/>
      <c r="IGC8" s="154"/>
      <c r="IGD8" s="154"/>
      <c r="IGE8" s="154"/>
      <c r="IGF8" s="154"/>
      <c r="IGG8" s="154"/>
      <c r="IGH8" s="154"/>
      <c r="IGI8" s="154"/>
      <c r="IGJ8" s="154"/>
      <c r="IGK8" s="154"/>
      <c r="IGL8" s="154"/>
      <c r="IGM8" s="154"/>
      <c r="IGN8" s="154"/>
      <c r="IGO8" s="154"/>
      <c r="IGP8" s="154"/>
      <c r="IGQ8" s="154"/>
      <c r="IGR8" s="154"/>
      <c r="IGS8" s="154"/>
      <c r="IGT8" s="154"/>
      <c r="IGU8" s="154"/>
      <c r="IGV8" s="154"/>
      <c r="IGW8" s="154"/>
      <c r="IGX8" s="154"/>
      <c r="IGY8" s="154"/>
      <c r="IGZ8" s="154"/>
      <c r="IHA8" s="154"/>
      <c r="IHB8" s="154"/>
      <c r="IHC8" s="154"/>
      <c r="IHD8" s="154"/>
      <c r="IHE8" s="154"/>
      <c r="IHF8" s="154"/>
      <c r="IHG8" s="154"/>
      <c r="IHH8" s="154"/>
      <c r="IHI8" s="154"/>
      <c r="IHJ8" s="154"/>
      <c r="IHK8" s="154"/>
      <c r="IHL8" s="154"/>
      <c r="IHM8" s="154"/>
      <c r="IHN8" s="154"/>
      <c r="IHO8" s="154"/>
      <c r="IHP8" s="154"/>
      <c r="IHQ8" s="154"/>
      <c r="IHR8" s="154"/>
      <c r="IHS8" s="154"/>
      <c r="IHT8" s="154"/>
      <c r="IHU8" s="154"/>
      <c r="IHV8" s="154"/>
      <c r="IHW8" s="154"/>
      <c r="IHX8" s="154"/>
      <c r="IHY8" s="154"/>
      <c r="IHZ8" s="154"/>
      <c r="IIA8" s="154"/>
      <c r="IIB8" s="154"/>
      <c r="IIC8" s="154"/>
      <c r="IID8" s="154"/>
      <c r="IIE8" s="154"/>
      <c r="IIF8" s="154"/>
      <c r="IIG8" s="154"/>
      <c r="IIH8" s="154"/>
      <c r="III8" s="154"/>
      <c r="IIJ8" s="154"/>
      <c r="IIK8" s="154"/>
      <c r="IIL8" s="154"/>
      <c r="IIM8" s="154"/>
      <c r="IIN8" s="154"/>
      <c r="IIO8" s="154"/>
      <c r="IIP8" s="154"/>
      <c r="IIQ8" s="154"/>
      <c r="IIR8" s="154"/>
      <c r="IIS8" s="154"/>
      <c r="IIT8" s="154"/>
      <c r="IIU8" s="154"/>
      <c r="IIV8" s="154"/>
      <c r="IIW8" s="154"/>
      <c r="IIX8" s="154"/>
      <c r="IIY8" s="154"/>
      <c r="IIZ8" s="154"/>
      <c r="IJA8" s="154"/>
      <c r="IJB8" s="154"/>
      <c r="IJC8" s="154"/>
      <c r="IJD8" s="154"/>
      <c r="IJE8" s="154"/>
      <c r="IJF8" s="154"/>
      <c r="IJG8" s="154"/>
      <c r="IJH8" s="154"/>
      <c r="IJI8" s="154"/>
      <c r="IJJ8" s="154"/>
      <c r="IJK8" s="154"/>
      <c r="IJL8" s="154"/>
      <c r="IJM8" s="154"/>
      <c r="IJN8" s="154"/>
      <c r="IJO8" s="154"/>
      <c r="IJP8" s="154"/>
      <c r="IJQ8" s="154"/>
      <c r="IJR8" s="154"/>
      <c r="IJS8" s="154"/>
      <c r="IJT8" s="154"/>
      <c r="IJU8" s="154"/>
      <c r="IJV8" s="154"/>
      <c r="IJW8" s="154"/>
      <c r="IJX8" s="154"/>
      <c r="IJY8" s="154"/>
      <c r="IJZ8" s="154"/>
      <c r="IKA8" s="154"/>
      <c r="IKB8" s="154"/>
      <c r="IKC8" s="154"/>
      <c r="IKD8" s="154"/>
      <c r="IKE8" s="154"/>
      <c r="IKF8" s="154"/>
      <c r="IKG8" s="154"/>
      <c r="IKH8" s="154"/>
      <c r="IKI8" s="154"/>
      <c r="IKJ8" s="154"/>
      <c r="IKK8" s="154"/>
      <c r="IKL8" s="154"/>
      <c r="IKM8" s="154"/>
      <c r="IKN8" s="154"/>
      <c r="IKO8" s="154"/>
      <c r="IKP8" s="154"/>
      <c r="IKQ8" s="154"/>
      <c r="IKR8" s="154"/>
      <c r="IKS8" s="154"/>
      <c r="IKT8" s="154"/>
      <c r="IKU8" s="154"/>
      <c r="IKV8" s="154"/>
      <c r="IKW8" s="154"/>
      <c r="IKX8" s="154"/>
      <c r="IKY8" s="154"/>
      <c r="IKZ8" s="154"/>
      <c r="ILA8" s="154"/>
      <c r="ILB8" s="154"/>
      <c r="ILC8" s="154"/>
      <c r="ILD8" s="154"/>
      <c r="ILE8" s="154"/>
      <c r="ILF8" s="154"/>
      <c r="ILG8" s="154"/>
      <c r="ILH8" s="154"/>
      <c r="ILI8" s="154"/>
      <c r="ILJ8" s="154"/>
      <c r="ILK8" s="154"/>
      <c r="ILL8" s="154"/>
      <c r="ILM8" s="154"/>
      <c r="ILN8" s="154"/>
      <c r="ILO8" s="154"/>
      <c r="ILP8" s="154"/>
      <c r="ILQ8" s="154"/>
      <c r="ILR8" s="154"/>
      <c r="ILS8" s="154"/>
      <c r="ILT8" s="154"/>
      <c r="ILU8" s="154"/>
      <c r="ILV8" s="154"/>
      <c r="ILW8" s="154"/>
      <c r="ILX8" s="154"/>
      <c r="ILY8" s="154"/>
      <c r="ILZ8" s="154"/>
      <c r="IMA8" s="154"/>
      <c r="IMB8" s="154"/>
      <c r="IMC8" s="154"/>
      <c r="IMD8" s="154"/>
      <c r="IME8" s="154"/>
      <c r="IMF8" s="154"/>
      <c r="IMG8" s="154"/>
      <c r="IMH8" s="154"/>
      <c r="IMI8" s="154"/>
      <c r="IMJ8" s="154"/>
      <c r="IMK8" s="154"/>
      <c r="IML8" s="154"/>
      <c r="IMM8" s="154"/>
      <c r="IMN8" s="154"/>
      <c r="IMO8" s="154"/>
      <c r="IMP8" s="154"/>
      <c r="IMQ8" s="154"/>
      <c r="IMR8" s="154"/>
      <c r="IMS8" s="154"/>
      <c r="IMT8" s="154"/>
      <c r="IMU8" s="154"/>
      <c r="IMV8" s="154"/>
      <c r="IMW8" s="154"/>
      <c r="IMX8" s="154"/>
      <c r="IMY8" s="154"/>
      <c r="IMZ8" s="154"/>
      <c r="INA8" s="154"/>
      <c r="INB8" s="154"/>
      <c r="INC8" s="154"/>
      <c r="IND8" s="154"/>
      <c r="INE8" s="154"/>
      <c r="INF8" s="154"/>
      <c r="ING8" s="154"/>
      <c r="INH8" s="154"/>
      <c r="INI8" s="154"/>
      <c r="INJ8" s="154"/>
      <c r="INK8" s="154"/>
      <c r="INL8" s="154"/>
      <c r="INM8" s="154"/>
      <c r="INN8" s="154"/>
      <c r="INO8" s="154"/>
      <c r="INP8" s="154"/>
      <c r="INQ8" s="154"/>
      <c r="INR8" s="154"/>
      <c r="INS8" s="154"/>
      <c r="INT8" s="154"/>
      <c r="INU8" s="154"/>
      <c r="INV8" s="154"/>
      <c r="INW8" s="154"/>
      <c r="INX8" s="154"/>
      <c r="INY8" s="154"/>
      <c r="INZ8" s="154"/>
      <c r="IOA8" s="154"/>
      <c r="IOB8" s="154"/>
      <c r="IOC8" s="154"/>
      <c r="IOD8" s="154"/>
      <c r="IOE8" s="154"/>
      <c r="IOF8" s="154"/>
      <c r="IOG8" s="154"/>
      <c r="IOH8" s="154"/>
      <c r="IOI8" s="154"/>
      <c r="IOJ8" s="154"/>
      <c r="IOK8" s="154"/>
      <c r="IOL8" s="154"/>
      <c r="IOM8" s="154"/>
      <c r="ION8" s="154"/>
      <c r="IOO8" s="154"/>
      <c r="IOP8" s="154"/>
      <c r="IOQ8" s="154"/>
      <c r="IOR8" s="154"/>
      <c r="IOS8" s="154"/>
      <c r="IOT8" s="154"/>
      <c r="IOU8" s="154"/>
      <c r="IOV8" s="154"/>
      <c r="IOW8" s="154"/>
      <c r="IOX8" s="154"/>
      <c r="IOY8" s="154"/>
      <c r="IOZ8" s="154"/>
      <c r="IPA8" s="154"/>
      <c r="IPB8" s="154"/>
      <c r="IPC8" s="154"/>
      <c r="IPD8" s="154"/>
      <c r="IPE8" s="154"/>
      <c r="IPF8" s="154"/>
      <c r="IPG8" s="154"/>
      <c r="IPH8" s="154"/>
      <c r="IPI8" s="154"/>
      <c r="IPJ8" s="154"/>
      <c r="IPK8" s="154"/>
      <c r="IPL8" s="154"/>
      <c r="IPM8" s="154"/>
      <c r="IPN8" s="154"/>
      <c r="IPO8" s="154"/>
      <c r="IPP8" s="154"/>
      <c r="IPQ8" s="154"/>
      <c r="IPR8" s="154"/>
      <c r="IPS8" s="154"/>
      <c r="IPT8" s="154"/>
      <c r="IPU8" s="154"/>
      <c r="IPV8" s="154"/>
      <c r="IPW8" s="154"/>
      <c r="IPX8" s="154"/>
      <c r="IPY8" s="154"/>
      <c r="IPZ8" s="154"/>
      <c r="IQA8" s="154"/>
      <c r="IQB8" s="154"/>
      <c r="IQC8" s="154"/>
      <c r="IQD8" s="154"/>
      <c r="IQE8" s="154"/>
      <c r="IQF8" s="154"/>
      <c r="IQG8" s="154"/>
      <c r="IQH8" s="154"/>
      <c r="IQI8" s="154"/>
      <c r="IQJ8" s="154"/>
      <c r="IQK8" s="154"/>
      <c r="IQL8" s="154"/>
      <c r="IQM8" s="154"/>
      <c r="IQN8" s="154"/>
      <c r="IQO8" s="154"/>
      <c r="IQP8" s="154"/>
      <c r="IQQ8" s="154"/>
      <c r="IQR8" s="154"/>
      <c r="IQS8" s="154"/>
      <c r="IQT8" s="154"/>
      <c r="IQU8" s="154"/>
      <c r="IQV8" s="154"/>
      <c r="IQW8" s="154"/>
      <c r="IQX8" s="154"/>
      <c r="IQY8" s="154"/>
      <c r="IQZ8" s="154"/>
      <c r="IRA8" s="154"/>
      <c r="IRB8" s="154"/>
      <c r="IRC8" s="154"/>
      <c r="IRD8" s="154"/>
      <c r="IRE8" s="154"/>
      <c r="IRF8" s="154"/>
      <c r="IRG8" s="154"/>
      <c r="IRH8" s="154"/>
      <c r="IRI8" s="154"/>
      <c r="IRJ8" s="154"/>
      <c r="IRK8" s="154"/>
      <c r="IRL8" s="154"/>
      <c r="IRM8" s="154"/>
      <c r="IRN8" s="154"/>
      <c r="IRO8" s="154"/>
      <c r="IRP8" s="154"/>
      <c r="IRQ8" s="154"/>
      <c r="IRR8" s="154"/>
      <c r="IRS8" s="154"/>
      <c r="IRT8" s="154"/>
      <c r="IRU8" s="154"/>
      <c r="IRV8" s="154"/>
      <c r="IRW8" s="154"/>
      <c r="IRX8" s="154"/>
      <c r="IRY8" s="154"/>
      <c r="IRZ8" s="154"/>
      <c r="ISA8" s="154"/>
      <c r="ISB8" s="154"/>
      <c r="ISC8" s="154"/>
      <c r="ISD8" s="154"/>
      <c r="ISE8" s="154"/>
      <c r="ISF8" s="154"/>
      <c r="ISG8" s="154"/>
      <c r="ISH8" s="154"/>
      <c r="ISI8" s="154"/>
      <c r="ISJ8" s="154"/>
      <c r="ISK8" s="154"/>
      <c r="ISL8" s="154"/>
      <c r="ISM8" s="154"/>
      <c r="ISN8" s="154"/>
      <c r="ISO8" s="154"/>
      <c r="ISP8" s="154"/>
      <c r="ISQ8" s="154"/>
      <c r="ISR8" s="154"/>
      <c r="ISS8" s="154"/>
      <c r="IST8" s="154"/>
      <c r="ISU8" s="154"/>
      <c r="ISV8" s="154"/>
      <c r="ISW8" s="154"/>
      <c r="ISX8" s="154"/>
      <c r="ISY8" s="154"/>
      <c r="ISZ8" s="154"/>
      <c r="ITA8" s="154"/>
      <c r="ITB8" s="154"/>
      <c r="ITC8" s="154"/>
      <c r="ITD8" s="154"/>
      <c r="ITE8" s="154"/>
      <c r="ITF8" s="154"/>
      <c r="ITG8" s="154"/>
      <c r="ITH8" s="154"/>
      <c r="ITI8" s="154"/>
      <c r="ITJ8" s="154"/>
      <c r="ITK8" s="154"/>
      <c r="ITL8" s="154"/>
      <c r="ITM8" s="154"/>
      <c r="ITN8" s="154"/>
      <c r="ITO8" s="154"/>
      <c r="ITP8" s="154"/>
      <c r="ITQ8" s="154"/>
      <c r="ITR8" s="154"/>
      <c r="ITS8" s="154"/>
      <c r="ITT8" s="154"/>
      <c r="ITU8" s="154"/>
      <c r="ITV8" s="154"/>
      <c r="ITW8" s="154"/>
      <c r="ITX8" s="154"/>
      <c r="ITY8" s="154"/>
      <c r="ITZ8" s="154"/>
      <c r="IUA8" s="154"/>
      <c r="IUB8" s="154"/>
      <c r="IUC8" s="154"/>
      <c r="IUD8" s="154"/>
      <c r="IUE8" s="154"/>
      <c r="IUF8" s="154"/>
      <c r="IUG8" s="154"/>
      <c r="IUH8" s="154"/>
      <c r="IUI8" s="154"/>
      <c r="IUJ8" s="154"/>
      <c r="IUK8" s="154"/>
      <c r="IUL8" s="154"/>
      <c r="IUM8" s="154"/>
      <c r="IUN8" s="154"/>
      <c r="IUO8" s="154"/>
      <c r="IUP8" s="154"/>
      <c r="IUQ8" s="154"/>
      <c r="IUR8" s="154"/>
      <c r="IUS8" s="154"/>
      <c r="IUT8" s="154"/>
      <c r="IUU8" s="154"/>
      <c r="IUV8" s="154"/>
      <c r="IUW8" s="154"/>
      <c r="IUX8" s="154"/>
      <c r="IUY8" s="154"/>
      <c r="IUZ8" s="154"/>
      <c r="IVA8" s="154"/>
      <c r="IVB8" s="154"/>
      <c r="IVC8" s="154"/>
      <c r="IVD8" s="154"/>
      <c r="IVE8" s="154"/>
      <c r="IVF8" s="154"/>
      <c r="IVG8" s="154"/>
      <c r="IVH8" s="154"/>
      <c r="IVI8" s="154"/>
      <c r="IVJ8" s="154"/>
      <c r="IVK8" s="154"/>
      <c r="IVL8" s="154"/>
      <c r="IVM8" s="154"/>
      <c r="IVN8" s="154"/>
      <c r="IVO8" s="154"/>
      <c r="IVP8" s="154"/>
      <c r="IVQ8" s="154"/>
      <c r="IVR8" s="154"/>
      <c r="IVS8" s="154"/>
      <c r="IVT8" s="154"/>
      <c r="IVU8" s="154"/>
      <c r="IVV8" s="154"/>
      <c r="IVW8" s="154"/>
      <c r="IVX8" s="154"/>
      <c r="IVY8" s="154"/>
      <c r="IVZ8" s="154"/>
      <c r="IWA8" s="154"/>
      <c r="IWB8" s="154"/>
      <c r="IWC8" s="154"/>
      <c r="IWD8" s="154"/>
      <c r="IWE8" s="154"/>
      <c r="IWF8" s="154"/>
      <c r="IWG8" s="154"/>
      <c r="IWH8" s="154"/>
      <c r="IWI8" s="154"/>
      <c r="IWJ8" s="154"/>
      <c r="IWK8" s="154"/>
      <c r="IWL8" s="154"/>
      <c r="IWM8" s="154"/>
      <c r="IWN8" s="154"/>
      <c r="IWO8" s="154"/>
      <c r="IWP8" s="154"/>
      <c r="IWQ8" s="154"/>
      <c r="IWR8" s="154"/>
      <c r="IWS8" s="154"/>
      <c r="IWT8" s="154"/>
      <c r="IWU8" s="154"/>
      <c r="IWV8" s="154"/>
      <c r="IWW8" s="154"/>
      <c r="IWX8" s="154"/>
      <c r="IWY8" s="154"/>
      <c r="IWZ8" s="154"/>
      <c r="IXA8" s="154"/>
      <c r="IXB8" s="154"/>
      <c r="IXC8" s="154"/>
      <c r="IXD8" s="154"/>
      <c r="IXE8" s="154"/>
      <c r="IXF8" s="154"/>
      <c r="IXG8" s="154"/>
      <c r="IXH8" s="154"/>
      <c r="IXI8" s="154"/>
      <c r="IXJ8" s="154"/>
      <c r="IXK8" s="154"/>
      <c r="IXL8" s="154"/>
      <c r="IXM8" s="154"/>
      <c r="IXN8" s="154"/>
      <c r="IXO8" s="154"/>
      <c r="IXP8" s="154"/>
      <c r="IXQ8" s="154"/>
      <c r="IXR8" s="154"/>
      <c r="IXS8" s="154"/>
      <c r="IXT8" s="154"/>
      <c r="IXU8" s="154"/>
      <c r="IXV8" s="154"/>
      <c r="IXW8" s="154"/>
      <c r="IXX8" s="154"/>
      <c r="IXY8" s="154"/>
      <c r="IXZ8" s="154"/>
      <c r="IYA8" s="154"/>
      <c r="IYB8" s="154"/>
      <c r="IYC8" s="154"/>
      <c r="IYD8" s="154"/>
      <c r="IYE8" s="154"/>
      <c r="IYF8" s="154"/>
      <c r="IYG8" s="154"/>
      <c r="IYH8" s="154"/>
      <c r="IYI8" s="154"/>
      <c r="IYJ8" s="154"/>
      <c r="IYK8" s="154"/>
      <c r="IYL8" s="154"/>
      <c r="IYM8" s="154"/>
      <c r="IYN8" s="154"/>
      <c r="IYO8" s="154"/>
      <c r="IYP8" s="154"/>
      <c r="IYQ8" s="154"/>
      <c r="IYR8" s="154"/>
      <c r="IYS8" s="154"/>
      <c r="IYT8" s="154"/>
      <c r="IYU8" s="154"/>
      <c r="IYV8" s="154"/>
      <c r="IYW8" s="154"/>
      <c r="IYX8" s="154"/>
      <c r="IYY8" s="154"/>
      <c r="IYZ8" s="154"/>
      <c r="IZA8" s="154"/>
      <c r="IZB8" s="154"/>
      <c r="IZC8" s="154"/>
      <c r="IZD8" s="154"/>
      <c r="IZE8" s="154"/>
      <c r="IZF8" s="154"/>
      <c r="IZG8" s="154"/>
      <c r="IZH8" s="154"/>
      <c r="IZI8" s="154"/>
      <c r="IZJ8" s="154"/>
      <c r="IZK8" s="154"/>
      <c r="IZL8" s="154"/>
      <c r="IZM8" s="154"/>
      <c r="IZN8" s="154"/>
      <c r="IZO8" s="154"/>
      <c r="IZP8" s="154"/>
      <c r="IZQ8" s="154"/>
      <c r="IZR8" s="154"/>
      <c r="IZS8" s="154"/>
      <c r="IZT8" s="154"/>
      <c r="IZU8" s="154"/>
      <c r="IZV8" s="154"/>
      <c r="IZW8" s="154"/>
      <c r="IZX8" s="154"/>
      <c r="IZY8" s="154"/>
      <c r="IZZ8" s="154"/>
      <c r="JAA8" s="154"/>
      <c r="JAB8" s="154"/>
      <c r="JAC8" s="154"/>
      <c r="JAD8" s="154"/>
      <c r="JAE8" s="154"/>
      <c r="JAF8" s="154"/>
      <c r="JAG8" s="154"/>
      <c r="JAH8" s="154"/>
      <c r="JAI8" s="154"/>
      <c r="JAJ8" s="154"/>
      <c r="JAK8" s="154"/>
      <c r="JAL8" s="154"/>
      <c r="JAM8" s="154"/>
      <c r="JAN8" s="154"/>
      <c r="JAO8" s="154"/>
      <c r="JAP8" s="154"/>
      <c r="JAQ8" s="154"/>
      <c r="JAR8" s="154"/>
      <c r="JAS8" s="154"/>
      <c r="JAT8" s="154"/>
      <c r="JAU8" s="154"/>
      <c r="JAV8" s="154"/>
      <c r="JAW8" s="154"/>
      <c r="JAX8" s="154"/>
      <c r="JAY8" s="154"/>
      <c r="JAZ8" s="154"/>
      <c r="JBA8" s="154"/>
      <c r="JBB8" s="154"/>
      <c r="JBC8" s="154"/>
      <c r="JBD8" s="154"/>
      <c r="JBE8" s="154"/>
      <c r="JBF8" s="154"/>
      <c r="JBG8" s="154"/>
      <c r="JBH8" s="154"/>
      <c r="JBI8" s="154"/>
      <c r="JBJ8" s="154"/>
      <c r="JBK8" s="154"/>
      <c r="JBL8" s="154"/>
      <c r="JBM8" s="154"/>
      <c r="JBN8" s="154"/>
      <c r="JBO8" s="154"/>
      <c r="JBP8" s="154"/>
      <c r="JBQ8" s="154"/>
      <c r="JBR8" s="154"/>
      <c r="JBS8" s="154"/>
      <c r="JBT8" s="154"/>
      <c r="JBU8" s="154"/>
      <c r="JBV8" s="154"/>
      <c r="JBW8" s="154"/>
      <c r="JBX8" s="154"/>
      <c r="JBY8" s="154"/>
      <c r="JBZ8" s="154"/>
      <c r="JCA8" s="154"/>
      <c r="JCB8" s="154"/>
      <c r="JCC8" s="154"/>
      <c r="JCD8" s="154"/>
      <c r="JCE8" s="154"/>
      <c r="JCF8" s="154"/>
      <c r="JCG8" s="154"/>
      <c r="JCH8" s="154"/>
      <c r="JCI8" s="154"/>
      <c r="JCJ8" s="154"/>
      <c r="JCK8" s="154"/>
      <c r="JCL8" s="154"/>
      <c r="JCM8" s="154"/>
      <c r="JCN8" s="154"/>
      <c r="JCO8" s="154"/>
      <c r="JCP8" s="154"/>
      <c r="JCQ8" s="154"/>
      <c r="JCR8" s="154"/>
      <c r="JCS8" s="154"/>
      <c r="JCT8" s="154"/>
      <c r="JCU8" s="154"/>
      <c r="JCV8" s="154"/>
      <c r="JCW8" s="154"/>
      <c r="JCX8" s="154"/>
      <c r="JCY8" s="154"/>
      <c r="JCZ8" s="154"/>
      <c r="JDA8" s="154"/>
      <c r="JDB8" s="154"/>
      <c r="JDC8" s="154"/>
      <c r="JDD8" s="154"/>
      <c r="JDE8" s="154"/>
      <c r="JDF8" s="154"/>
      <c r="JDG8" s="154"/>
      <c r="JDH8" s="154"/>
      <c r="JDI8" s="154"/>
      <c r="JDJ8" s="154"/>
      <c r="JDK8" s="154"/>
      <c r="JDL8" s="154"/>
      <c r="JDM8" s="154"/>
      <c r="JDN8" s="154"/>
      <c r="JDO8" s="154"/>
      <c r="JDP8" s="154"/>
      <c r="JDQ8" s="154"/>
      <c r="JDR8" s="154"/>
      <c r="JDS8" s="154"/>
      <c r="JDT8" s="154"/>
      <c r="JDU8" s="154"/>
      <c r="JDV8" s="154"/>
      <c r="JDW8" s="154"/>
      <c r="JDX8" s="154"/>
      <c r="JDY8" s="154"/>
      <c r="JDZ8" s="154"/>
      <c r="JEA8" s="154"/>
      <c r="JEB8" s="154"/>
      <c r="JEC8" s="154"/>
      <c r="JED8" s="154"/>
      <c r="JEE8" s="154"/>
      <c r="JEF8" s="154"/>
      <c r="JEG8" s="154"/>
      <c r="JEH8" s="154"/>
      <c r="JEI8" s="154"/>
      <c r="JEJ8" s="154"/>
      <c r="JEK8" s="154"/>
      <c r="JEL8" s="154"/>
      <c r="JEM8" s="154"/>
      <c r="JEN8" s="154"/>
      <c r="JEO8" s="154"/>
      <c r="JEP8" s="154"/>
      <c r="JEQ8" s="154"/>
      <c r="JER8" s="154"/>
      <c r="JES8" s="154"/>
      <c r="JET8" s="154"/>
      <c r="JEU8" s="154"/>
      <c r="JEV8" s="154"/>
      <c r="JEW8" s="154"/>
      <c r="JEX8" s="154"/>
      <c r="JEY8" s="154"/>
      <c r="JEZ8" s="154"/>
      <c r="JFA8" s="154"/>
      <c r="JFB8" s="154"/>
      <c r="JFC8" s="154"/>
      <c r="JFD8" s="154"/>
      <c r="JFE8" s="154"/>
      <c r="JFF8" s="154"/>
      <c r="JFG8" s="154"/>
      <c r="JFH8" s="154"/>
      <c r="JFI8" s="154"/>
      <c r="JFJ8" s="154"/>
      <c r="JFK8" s="154"/>
      <c r="JFL8" s="154"/>
      <c r="JFM8" s="154"/>
      <c r="JFN8" s="154"/>
      <c r="JFO8" s="154"/>
      <c r="JFP8" s="154"/>
      <c r="JFQ8" s="154"/>
      <c r="JFR8" s="154"/>
      <c r="JFS8" s="154"/>
      <c r="JFT8" s="154"/>
      <c r="JFU8" s="154"/>
      <c r="JFV8" s="154"/>
      <c r="JFW8" s="154"/>
      <c r="JFX8" s="154"/>
      <c r="JFY8" s="154"/>
      <c r="JFZ8" s="154"/>
      <c r="JGA8" s="154"/>
      <c r="JGB8" s="154"/>
      <c r="JGC8" s="154"/>
      <c r="JGD8" s="154"/>
      <c r="JGE8" s="154"/>
      <c r="JGF8" s="154"/>
      <c r="JGG8" s="154"/>
      <c r="JGH8" s="154"/>
      <c r="JGI8" s="154"/>
      <c r="JGJ8" s="154"/>
      <c r="JGK8" s="154"/>
      <c r="JGL8" s="154"/>
      <c r="JGM8" s="154"/>
      <c r="JGN8" s="154"/>
      <c r="JGO8" s="154"/>
      <c r="JGP8" s="154"/>
      <c r="JGQ8" s="154"/>
      <c r="JGR8" s="154"/>
      <c r="JGS8" s="154"/>
      <c r="JGT8" s="154"/>
      <c r="JGU8" s="154"/>
      <c r="JGV8" s="154"/>
      <c r="JGW8" s="154"/>
      <c r="JGX8" s="154"/>
      <c r="JGY8" s="154"/>
      <c r="JGZ8" s="154"/>
      <c r="JHA8" s="154"/>
      <c r="JHB8" s="154"/>
      <c r="JHC8" s="154"/>
      <c r="JHD8" s="154"/>
      <c r="JHE8" s="154"/>
      <c r="JHF8" s="154"/>
      <c r="JHG8" s="154"/>
      <c r="JHH8" s="154"/>
      <c r="JHI8" s="154"/>
      <c r="JHJ8" s="154"/>
      <c r="JHK8" s="154"/>
      <c r="JHL8" s="154"/>
      <c r="JHM8" s="154"/>
      <c r="JHN8" s="154"/>
      <c r="JHO8" s="154"/>
      <c r="JHP8" s="154"/>
      <c r="JHQ8" s="154"/>
      <c r="JHR8" s="154"/>
      <c r="JHS8" s="154"/>
      <c r="JHT8" s="154"/>
      <c r="JHU8" s="154"/>
      <c r="JHV8" s="154"/>
      <c r="JHW8" s="154"/>
      <c r="JHX8" s="154"/>
      <c r="JHY8" s="154"/>
      <c r="JHZ8" s="154"/>
      <c r="JIA8" s="154"/>
      <c r="JIB8" s="154"/>
      <c r="JIC8" s="154"/>
      <c r="JID8" s="154"/>
      <c r="JIE8" s="154"/>
      <c r="JIF8" s="154"/>
      <c r="JIG8" s="154"/>
      <c r="JIH8" s="154"/>
      <c r="JII8" s="154"/>
      <c r="JIJ8" s="154"/>
      <c r="JIK8" s="154"/>
      <c r="JIL8" s="154"/>
      <c r="JIM8" s="154"/>
      <c r="JIN8" s="154"/>
      <c r="JIO8" s="154"/>
      <c r="JIP8" s="154"/>
      <c r="JIQ8" s="154"/>
      <c r="JIR8" s="154"/>
      <c r="JIS8" s="154"/>
      <c r="JIT8" s="154"/>
      <c r="JIU8" s="154"/>
      <c r="JIV8" s="154"/>
      <c r="JIW8" s="154"/>
      <c r="JIX8" s="154"/>
      <c r="JIY8" s="154"/>
      <c r="JIZ8" s="154"/>
      <c r="JJA8" s="154"/>
      <c r="JJB8" s="154"/>
      <c r="JJC8" s="154"/>
      <c r="JJD8" s="154"/>
      <c r="JJE8" s="154"/>
      <c r="JJF8" s="154"/>
      <c r="JJG8" s="154"/>
      <c r="JJH8" s="154"/>
      <c r="JJI8" s="154"/>
      <c r="JJJ8" s="154"/>
      <c r="JJK8" s="154"/>
      <c r="JJL8" s="154"/>
      <c r="JJM8" s="154"/>
      <c r="JJN8" s="154"/>
      <c r="JJO8" s="154"/>
      <c r="JJP8" s="154"/>
      <c r="JJQ8" s="154"/>
      <c r="JJR8" s="154"/>
      <c r="JJS8" s="154"/>
      <c r="JJT8" s="154"/>
      <c r="JJU8" s="154"/>
      <c r="JJV8" s="154"/>
      <c r="JJW8" s="154"/>
      <c r="JJX8" s="154"/>
      <c r="JJY8" s="154"/>
      <c r="JJZ8" s="154"/>
      <c r="JKA8" s="154"/>
      <c r="JKB8" s="154"/>
      <c r="JKC8" s="154"/>
      <c r="JKD8" s="154"/>
      <c r="JKE8" s="154"/>
      <c r="JKF8" s="154"/>
      <c r="JKG8" s="154"/>
      <c r="JKH8" s="154"/>
      <c r="JKI8" s="154"/>
      <c r="JKJ8" s="154"/>
      <c r="JKK8" s="154"/>
      <c r="JKL8" s="154"/>
      <c r="JKM8" s="154"/>
      <c r="JKN8" s="154"/>
      <c r="JKO8" s="154"/>
      <c r="JKP8" s="154"/>
      <c r="JKQ8" s="154"/>
      <c r="JKR8" s="154"/>
      <c r="JKS8" s="154"/>
      <c r="JKT8" s="154"/>
      <c r="JKU8" s="154"/>
      <c r="JKV8" s="154"/>
      <c r="JKW8" s="154"/>
      <c r="JKX8" s="154"/>
      <c r="JKY8" s="154"/>
      <c r="JKZ8" s="154"/>
      <c r="JLA8" s="154"/>
      <c r="JLB8" s="154"/>
      <c r="JLC8" s="154"/>
      <c r="JLD8" s="154"/>
      <c r="JLE8" s="154"/>
      <c r="JLF8" s="154"/>
      <c r="JLG8" s="154"/>
      <c r="JLH8" s="154"/>
      <c r="JLI8" s="154"/>
      <c r="JLJ8" s="154"/>
      <c r="JLK8" s="154"/>
      <c r="JLL8" s="154"/>
      <c r="JLM8" s="154"/>
      <c r="JLN8" s="154"/>
      <c r="JLO8" s="154"/>
      <c r="JLP8" s="154"/>
      <c r="JLQ8" s="154"/>
      <c r="JLR8" s="154"/>
      <c r="JLS8" s="154"/>
      <c r="JLT8" s="154"/>
      <c r="JLU8" s="154"/>
      <c r="JLV8" s="154"/>
      <c r="JLW8" s="154"/>
      <c r="JLX8" s="154"/>
      <c r="JLY8" s="154"/>
      <c r="JLZ8" s="154"/>
      <c r="JMA8" s="154"/>
      <c r="JMB8" s="154"/>
      <c r="JMC8" s="154"/>
      <c r="JMD8" s="154"/>
      <c r="JME8" s="154"/>
      <c r="JMF8" s="154"/>
      <c r="JMG8" s="154"/>
      <c r="JMH8" s="154"/>
      <c r="JMI8" s="154"/>
      <c r="JMJ8" s="154"/>
      <c r="JMK8" s="154"/>
      <c r="JML8" s="154"/>
      <c r="JMM8" s="154"/>
      <c r="JMN8" s="154"/>
      <c r="JMO8" s="154"/>
      <c r="JMP8" s="154"/>
      <c r="JMQ8" s="154"/>
      <c r="JMR8" s="154"/>
      <c r="JMS8" s="154"/>
      <c r="JMT8" s="154"/>
      <c r="JMU8" s="154"/>
      <c r="JMV8" s="154"/>
      <c r="JMW8" s="154"/>
      <c r="JMX8" s="154"/>
      <c r="JMY8" s="154"/>
      <c r="JMZ8" s="154"/>
      <c r="JNA8" s="154"/>
      <c r="JNB8" s="154"/>
      <c r="JNC8" s="154"/>
      <c r="JND8" s="154"/>
      <c r="JNE8" s="154"/>
      <c r="JNF8" s="154"/>
      <c r="JNG8" s="154"/>
      <c r="JNH8" s="154"/>
      <c r="JNI8" s="154"/>
      <c r="JNJ8" s="154"/>
      <c r="JNK8" s="154"/>
      <c r="JNL8" s="154"/>
      <c r="JNM8" s="154"/>
      <c r="JNN8" s="154"/>
      <c r="JNO8" s="154"/>
      <c r="JNP8" s="154"/>
      <c r="JNQ8" s="154"/>
      <c r="JNR8" s="154"/>
      <c r="JNS8" s="154"/>
      <c r="JNT8" s="154"/>
      <c r="JNU8" s="154"/>
      <c r="JNV8" s="154"/>
      <c r="JNW8" s="154"/>
      <c r="JNX8" s="154"/>
      <c r="JNY8" s="154"/>
      <c r="JNZ8" s="154"/>
      <c r="JOA8" s="154"/>
      <c r="JOB8" s="154"/>
      <c r="JOC8" s="154"/>
      <c r="JOD8" s="154"/>
      <c r="JOE8" s="154"/>
      <c r="JOF8" s="154"/>
      <c r="JOG8" s="154"/>
      <c r="JOH8" s="154"/>
      <c r="JOI8" s="154"/>
      <c r="JOJ8" s="154"/>
      <c r="JOK8" s="154"/>
      <c r="JOL8" s="154"/>
      <c r="JOM8" s="154"/>
      <c r="JON8" s="154"/>
      <c r="JOO8" s="154"/>
      <c r="JOP8" s="154"/>
      <c r="JOQ8" s="154"/>
      <c r="JOR8" s="154"/>
      <c r="JOS8" s="154"/>
      <c r="JOT8" s="154"/>
      <c r="JOU8" s="154"/>
      <c r="JOV8" s="154"/>
      <c r="JOW8" s="154"/>
      <c r="JOX8" s="154"/>
      <c r="JOY8" s="154"/>
      <c r="JOZ8" s="154"/>
      <c r="JPA8" s="154"/>
      <c r="JPB8" s="154"/>
      <c r="JPC8" s="154"/>
      <c r="JPD8" s="154"/>
      <c r="JPE8" s="154"/>
      <c r="JPF8" s="154"/>
      <c r="JPG8" s="154"/>
      <c r="JPH8" s="154"/>
      <c r="JPI8" s="154"/>
      <c r="JPJ8" s="154"/>
      <c r="JPK8" s="154"/>
      <c r="JPL8" s="154"/>
      <c r="JPM8" s="154"/>
      <c r="JPN8" s="154"/>
      <c r="JPO8" s="154"/>
      <c r="JPP8" s="154"/>
      <c r="JPQ8" s="154"/>
      <c r="JPR8" s="154"/>
      <c r="JPS8" s="154"/>
      <c r="JPT8" s="154"/>
      <c r="JPU8" s="154"/>
      <c r="JPV8" s="154"/>
      <c r="JPW8" s="154"/>
      <c r="JPX8" s="154"/>
      <c r="JPY8" s="154"/>
      <c r="JPZ8" s="154"/>
      <c r="JQA8" s="154"/>
      <c r="JQB8" s="154"/>
      <c r="JQC8" s="154"/>
      <c r="JQD8" s="154"/>
      <c r="JQE8" s="154"/>
      <c r="JQF8" s="154"/>
      <c r="JQG8" s="154"/>
      <c r="JQH8" s="154"/>
      <c r="JQI8" s="154"/>
      <c r="JQJ8" s="154"/>
      <c r="JQK8" s="154"/>
      <c r="JQL8" s="154"/>
      <c r="JQM8" s="154"/>
      <c r="JQN8" s="154"/>
      <c r="JQO8" s="154"/>
      <c r="JQP8" s="154"/>
      <c r="JQQ8" s="154"/>
      <c r="JQR8" s="154"/>
      <c r="JQS8" s="154"/>
      <c r="JQT8" s="154"/>
      <c r="JQU8" s="154"/>
      <c r="JQV8" s="154"/>
      <c r="JQW8" s="154"/>
      <c r="JQX8" s="154"/>
      <c r="JQY8" s="154"/>
      <c r="JQZ8" s="154"/>
      <c r="JRA8" s="154"/>
      <c r="JRB8" s="154"/>
      <c r="JRC8" s="154"/>
      <c r="JRD8" s="154"/>
      <c r="JRE8" s="154"/>
      <c r="JRF8" s="154"/>
      <c r="JRG8" s="154"/>
      <c r="JRH8" s="154"/>
      <c r="JRI8" s="154"/>
      <c r="JRJ8" s="154"/>
      <c r="JRK8" s="154"/>
      <c r="JRL8" s="154"/>
      <c r="JRM8" s="154"/>
      <c r="JRN8" s="154"/>
      <c r="JRO8" s="154"/>
      <c r="JRP8" s="154"/>
      <c r="JRQ8" s="154"/>
      <c r="JRR8" s="154"/>
      <c r="JRS8" s="154"/>
      <c r="JRT8" s="154"/>
      <c r="JRU8" s="154"/>
      <c r="JRV8" s="154"/>
      <c r="JRW8" s="154"/>
      <c r="JRX8" s="154"/>
      <c r="JRY8" s="154"/>
      <c r="JRZ8" s="154"/>
      <c r="JSA8" s="154"/>
      <c r="JSB8" s="154"/>
      <c r="JSC8" s="154"/>
      <c r="JSD8" s="154"/>
      <c r="JSE8" s="154"/>
      <c r="JSF8" s="154"/>
      <c r="JSG8" s="154"/>
      <c r="JSH8" s="154"/>
      <c r="JSI8" s="154"/>
      <c r="JSJ8" s="154"/>
      <c r="JSK8" s="154"/>
      <c r="JSL8" s="154"/>
      <c r="JSM8" s="154"/>
      <c r="JSN8" s="154"/>
      <c r="JSO8" s="154"/>
      <c r="JSP8" s="154"/>
      <c r="JSQ8" s="154"/>
      <c r="JSR8" s="154"/>
      <c r="JSS8" s="154"/>
      <c r="JST8" s="154"/>
      <c r="JSU8" s="154"/>
      <c r="JSV8" s="154"/>
      <c r="JSW8" s="154"/>
      <c r="JSX8" s="154"/>
      <c r="JSY8" s="154"/>
      <c r="JSZ8" s="154"/>
      <c r="JTA8" s="154"/>
      <c r="JTB8" s="154"/>
      <c r="JTC8" s="154"/>
      <c r="JTD8" s="154"/>
      <c r="JTE8" s="154"/>
      <c r="JTF8" s="154"/>
      <c r="JTG8" s="154"/>
      <c r="JTH8" s="154"/>
      <c r="JTI8" s="154"/>
      <c r="JTJ8" s="154"/>
      <c r="JTK8" s="154"/>
      <c r="JTL8" s="154"/>
      <c r="JTM8" s="154"/>
      <c r="JTN8" s="154"/>
      <c r="JTO8" s="154"/>
      <c r="JTP8" s="154"/>
      <c r="JTQ8" s="154"/>
      <c r="JTR8" s="154"/>
      <c r="JTS8" s="154"/>
      <c r="JTT8" s="154"/>
      <c r="JTU8" s="154"/>
      <c r="JTV8" s="154"/>
      <c r="JTW8" s="154"/>
      <c r="JTX8" s="154"/>
      <c r="JTY8" s="154"/>
      <c r="JTZ8" s="154"/>
      <c r="JUA8" s="154"/>
      <c r="JUB8" s="154"/>
      <c r="JUC8" s="154"/>
      <c r="JUD8" s="154"/>
      <c r="JUE8" s="154"/>
      <c r="JUF8" s="154"/>
      <c r="JUG8" s="154"/>
      <c r="JUH8" s="154"/>
      <c r="JUI8" s="154"/>
      <c r="JUJ8" s="154"/>
      <c r="JUK8" s="154"/>
      <c r="JUL8" s="154"/>
      <c r="JUM8" s="154"/>
      <c r="JUN8" s="154"/>
      <c r="JUO8" s="154"/>
      <c r="JUP8" s="154"/>
      <c r="JUQ8" s="154"/>
      <c r="JUR8" s="154"/>
      <c r="JUS8" s="154"/>
      <c r="JUT8" s="154"/>
      <c r="JUU8" s="154"/>
      <c r="JUV8" s="154"/>
      <c r="JUW8" s="154"/>
      <c r="JUX8" s="154"/>
      <c r="JUY8" s="154"/>
      <c r="JUZ8" s="154"/>
      <c r="JVA8" s="154"/>
      <c r="JVB8" s="154"/>
      <c r="JVC8" s="154"/>
      <c r="JVD8" s="154"/>
      <c r="JVE8" s="154"/>
      <c r="JVF8" s="154"/>
      <c r="JVG8" s="154"/>
      <c r="JVH8" s="154"/>
      <c r="JVI8" s="154"/>
      <c r="JVJ8" s="154"/>
      <c r="JVK8" s="154"/>
      <c r="JVL8" s="154"/>
      <c r="JVM8" s="154"/>
      <c r="JVN8" s="154"/>
      <c r="JVO8" s="154"/>
      <c r="JVP8" s="154"/>
      <c r="JVQ8" s="154"/>
      <c r="JVR8" s="154"/>
      <c r="JVS8" s="154"/>
      <c r="JVT8" s="154"/>
      <c r="JVU8" s="154"/>
      <c r="JVV8" s="154"/>
      <c r="JVW8" s="154"/>
      <c r="JVX8" s="154"/>
      <c r="JVY8" s="154"/>
      <c r="JVZ8" s="154"/>
      <c r="JWA8" s="154"/>
      <c r="JWB8" s="154"/>
      <c r="JWC8" s="154"/>
      <c r="JWD8" s="154"/>
      <c r="JWE8" s="154"/>
      <c r="JWF8" s="154"/>
      <c r="JWG8" s="154"/>
      <c r="JWH8" s="154"/>
      <c r="JWI8" s="154"/>
      <c r="JWJ8" s="154"/>
      <c r="JWK8" s="154"/>
      <c r="JWL8" s="154"/>
      <c r="JWM8" s="154"/>
      <c r="JWN8" s="154"/>
      <c r="JWO8" s="154"/>
      <c r="JWP8" s="154"/>
      <c r="JWQ8" s="154"/>
      <c r="JWR8" s="154"/>
      <c r="JWS8" s="154"/>
      <c r="JWT8" s="154"/>
      <c r="JWU8" s="154"/>
      <c r="JWV8" s="154"/>
      <c r="JWW8" s="154"/>
      <c r="JWX8" s="154"/>
      <c r="JWY8" s="154"/>
      <c r="JWZ8" s="154"/>
      <c r="JXA8" s="154"/>
      <c r="JXB8" s="154"/>
      <c r="JXC8" s="154"/>
      <c r="JXD8" s="154"/>
      <c r="JXE8" s="154"/>
      <c r="JXF8" s="154"/>
      <c r="JXG8" s="154"/>
      <c r="JXH8" s="154"/>
      <c r="JXI8" s="154"/>
      <c r="JXJ8" s="154"/>
      <c r="JXK8" s="154"/>
      <c r="JXL8" s="154"/>
      <c r="JXM8" s="154"/>
      <c r="JXN8" s="154"/>
      <c r="JXO8" s="154"/>
      <c r="JXP8" s="154"/>
      <c r="JXQ8" s="154"/>
      <c r="JXR8" s="154"/>
      <c r="JXS8" s="154"/>
      <c r="JXT8" s="154"/>
      <c r="JXU8" s="154"/>
      <c r="JXV8" s="154"/>
      <c r="JXW8" s="154"/>
      <c r="JXX8" s="154"/>
      <c r="JXY8" s="154"/>
      <c r="JXZ8" s="154"/>
      <c r="JYA8" s="154"/>
      <c r="JYB8" s="154"/>
      <c r="JYC8" s="154"/>
      <c r="JYD8" s="154"/>
      <c r="JYE8" s="154"/>
      <c r="JYF8" s="154"/>
      <c r="JYG8" s="154"/>
      <c r="JYH8" s="154"/>
      <c r="JYI8" s="154"/>
      <c r="JYJ8" s="154"/>
      <c r="JYK8" s="154"/>
      <c r="JYL8" s="154"/>
      <c r="JYM8" s="154"/>
      <c r="JYN8" s="154"/>
      <c r="JYO8" s="154"/>
      <c r="JYP8" s="154"/>
      <c r="JYQ8" s="154"/>
      <c r="JYR8" s="154"/>
      <c r="JYS8" s="154"/>
      <c r="JYT8" s="154"/>
      <c r="JYU8" s="154"/>
      <c r="JYV8" s="154"/>
      <c r="JYW8" s="154"/>
      <c r="JYX8" s="154"/>
      <c r="JYY8" s="154"/>
      <c r="JYZ8" s="154"/>
      <c r="JZA8" s="154"/>
      <c r="JZB8" s="154"/>
      <c r="JZC8" s="154"/>
      <c r="JZD8" s="154"/>
      <c r="JZE8" s="154"/>
      <c r="JZF8" s="154"/>
      <c r="JZG8" s="154"/>
      <c r="JZH8" s="154"/>
      <c r="JZI8" s="154"/>
      <c r="JZJ8" s="154"/>
      <c r="JZK8" s="154"/>
      <c r="JZL8" s="154"/>
      <c r="JZM8" s="154"/>
      <c r="JZN8" s="154"/>
      <c r="JZO8" s="154"/>
      <c r="JZP8" s="154"/>
      <c r="JZQ8" s="154"/>
      <c r="JZR8" s="154"/>
      <c r="JZS8" s="154"/>
      <c r="JZT8" s="154"/>
      <c r="JZU8" s="154"/>
      <c r="JZV8" s="154"/>
      <c r="JZW8" s="154"/>
      <c r="JZX8" s="154"/>
      <c r="JZY8" s="154"/>
      <c r="JZZ8" s="154"/>
      <c r="KAA8" s="154"/>
      <c r="KAB8" s="154"/>
      <c r="KAC8" s="154"/>
      <c r="KAD8" s="154"/>
      <c r="KAE8" s="154"/>
      <c r="KAF8" s="154"/>
      <c r="KAG8" s="154"/>
      <c r="KAH8" s="154"/>
      <c r="KAI8" s="154"/>
      <c r="KAJ8" s="154"/>
      <c r="KAK8" s="154"/>
      <c r="KAL8" s="154"/>
      <c r="KAM8" s="154"/>
      <c r="KAN8" s="154"/>
      <c r="KAO8" s="154"/>
      <c r="KAP8" s="154"/>
      <c r="KAQ8" s="154"/>
      <c r="KAR8" s="154"/>
      <c r="KAS8" s="154"/>
      <c r="KAT8" s="154"/>
      <c r="KAU8" s="154"/>
      <c r="KAV8" s="154"/>
      <c r="KAW8" s="154"/>
      <c r="KAX8" s="154"/>
      <c r="KAY8" s="154"/>
      <c r="KAZ8" s="154"/>
      <c r="KBA8" s="154"/>
      <c r="KBB8" s="154"/>
      <c r="KBC8" s="154"/>
      <c r="KBD8" s="154"/>
      <c r="KBE8" s="154"/>
      <c r="KBF8" s="154"/>
      <c r="KBG8" s="154"/>
      <c r="KBH8" s="154"/>
      <c r="KBI8" s="154"/>
      <c r="KBJ8" s="154"/>
      <c r="KBK8" s="154"/>
      <c r="KBL8" s="154"/>
      <c r="KBM8" s="154"/>
      <c r="KBN8" s="154"/>
      <c r="KBO8" s="154"/>
      <c r="KBP8" s="154"/>
      <c r="KBQ8" s="154"/>
      <c r="KBR8" s="154"/>
      <c r="KBS8" s="154"/>
      <c r="KBT8" s="154"/>
      <c r="KBU8" s="154"/>
      <c r="KBV8" s="154"/>
      <c r="KBW8" s="154"/>
      <c r="KBX8" s="154"/>
      <c r="KBY8" s="154"/>
      <c r="KBZ8" s="154"/>
      <c r="KCA8" s="154"/>
      <c r="KCB8" s="154"/>
      <c r="KCC8" s="154"/>
      <c r="KCD8" s="154"/>
      <c r="KCE8" s="154"/>
      <c r="KCF8" s="154"/>
      <c r="KCG8" s="154"/>
      <c r="KCH8" s="154"/>
      <c r="KCI8" s="154"/>
      <c r="KCJ8" s="154"/>
      <c r="KCK8" s="154"/>
      <c r="KCL8" s="154"/>
      <c r="KCM8" s="154"/>
      <c r="KCN8" s="154"/>
      <c r="KCO8" s="154"/>
      <c r="KCP8" s="154"/>
      <c r="KCQ8" s="154"/>
      <c r="KCR8" s="154"/>
      <c r="KCS8" s="154"/>
      <c r="KCT8" s="154"/>
      <c r="KCU8" s="154"/>
      <c r="KCV8" s="154"/>
      <c r="KCW8" s="154"/>
      <c r="KCX8" s="154"/>
      <c r="KCY8" s="154"/>
      <c r="KCZ8" s="154"/>
      <c r="KDA8" s="154"/>
      <c r="KDB8" s="154"/>
      <c r="KDC8" s="154"/>
      <c r="KDD8" s="154"/>
      <c r="KDE8" s="154"/>
      <c r="KDF8" s="154"/>
      <c r="KDG8" s="154"/>
      <c r="KDH8" s="154"/>
      <c r="KDI8" s="154"/>
      <c r="KDJ8" s="154"/>
      <c r="KDK8" s="154"/>
      <c r="KDL8" s="154"/>
      <c r="KDM8" s="154"/>
      <c r="KDN8" s="154"/>
      <c r="KDO8" s="154"/>
      <c r="KDP8" s="154"/>
      <c r="KDQ8" s="154"/>
      <c r="KDR8" s="154"/>
      <c r="KDS8" s="154"/>
      <c r="KDT8" s="154"/>
      <c r="KDU8" s="154"/>
      <c r="KDV8" s="154"/>
      <c r="KDW8" s="154"/>
      <c r="KDX8" s="154"/>
      <c r="KDY8" s="154"/>
      <c r="KDZ8" s="154"/>
      <c r="KEA8" s="154"/>
      <c r="KEB8" s="154"/>
      <c r="KEC8" s="154"/>
      <c r="KED8" s="154"/>
      <c r="KEE8" s="154"/>
      <c r="KEF8" s="154"/>
      <c r="KEG8" s="154"/>
      <c r="KEH8" s="154"/>
      <c r="KEI8" s="154"/>
      <c r="KEJ8" s="154"/>
      <c r="KEK8" s="154"/>
      <c r="KEL8" s="154"/>
      <c r="KEM8" s="154"/>
      <c r="KEN8" s="154"/>
      <c r="KEO8" s="154"/>
      <c r="KEP8" s="154"/>
      <c r="KEQ8" s="154"/>
      <c r="KER8" s="154"/>
      <c r="KES8" s="154"/>
      <c r="KET8" s="154"/>
      <c r="KEU8" s="154"/>
      <c r="KEV8" s="154"/>
      <c r="KEW8" s="154"/>
      <c r="KEX8" s="154"/>
      <c r="KEY8" s="154"/>
      <c r="KEZ8" s="154"/>
      <c r="KFA8" s="154"/>
      <c r="KFB8" s="154"/>
      <c r="KFC8" s="154"/>
      <c r="KFD8" s="154"/>
      <c r="KFE8" s="154"/>
      <c r="KFF8" s="154"/>
      <c r="KFG8" s="154"/>
      <c r="KFH8" s="154"/>
      <c r="KFI8" s="154"/>
      <c r="KFJ8" s="154"/>
      <c r="KFK8" s="154"/>
      <c r="KFL8" s="154"/>
      <c r="KFM8" s="154"/>
      <c r="KFN8" s="154"/>
      <c r="KFO8" s="154"/>
      <c r="KFP8" s="154"/>
      <c r="KFQ8" s="154"/>
      <c r="KFR8" s="154"/>
      <c r="KFS8" s="154"/>
      <c r="KFT8" s="154"/>
      <c r="KFU8" s="154"/>
      <c r="KFV8" s="154"/>
      <c r="KFW8" s="154"/>
      <c r="KFX8" s="154"/>
      <c r="KFY8" s="154"/>
      <c r="KFZ8" s="154"/>
      <c r="KGA8" s="154"/>
      <c r="KGB8" s="154"/>
      <c r="KGC8" s="154"/>
      <c r="KGD8" s="154"/>
      <c r="KGE8" s="154"/>
      <c r="KGF8" s="154"/>
      <c r="KGG8" s="154"/>
      <c r="KGH8" s="154"/>
      <c r="KGI8" s="154"/>
      <c r="KGJ8" s="154"/>
      <c r="KGK8" s="154"/>
      <c r="KGL8" s="154"/>
      <c r="KGM8" s="154"/>
      <c r="KGN8" s="154"/>
      <c r="KGO8" s="154"/>
      <c r="KGP8" s="154"/>
      <c r="KGQ8" s="154"/>
      <c r="KGR8" s="154"/>
      <c r="KGS8" s="154"/>
      <c r="KGT8" s="154"/>
      <c r="KGU8" s="154"/>
      <c r="KGV8" s="154"/>
      <c r="KGW8" s="154"/>
      <c r="KGX8" s="154"/>
      <c r="KGY8" s="154"/>
      <c r="KGZ8" s="154"/>
      <c r="KHA8" s="154"/>
      <c r="KHB8" s="154"/>
      <c r="KHC8" s="154"/>
      <c r="KHD8" s="154"/>
      <c r="KHE8" s="154"/>
      <c r="KHF8" s="154"/>
      <c r="KHG8" s="154"/>
      <c r="KHH8" s="154"/>
      <c r="KHI8" s="154"/>
      <c r="KHJ8" s="154"/>
      <c r="KHK8" s="154"/>
      <c r="KHL8" s="154"/>
      <c r="KHM8" s="154"/>
      <c r="KHN8" s="154"/>
      <c r="KHO8" s="154"/>
      <c r="KHP8" s="154"/>
      <c r="KHQ8" s="154"/>
      <c r="KHR8" s="154"/>
      <c r="KHS8" s="154"/>
      <c r="KHT8" s="154"/>
      <c r="KHU8" s="154"/>
      <c r="KHV8" s="154"/>
      <c r="KHW8" s="154"/>
      <c r="KHX8" s="154"/>
      <c r="KHY8" s="154"/>
      <c r="KHZ8" s="154"/>
      <c r="KIA8" s="154"/>
      <c r="KIB8" s="154"/>
      <c r="KIC8" s="154"/>
      <c r="KID8" s="154"/>
      <c r="KIE8" s="154"/>
      <c r="KIF8" s="154"/>
      <c r="KIG8" s="154"/>
      <c r="KIH8" s="154"/>
      <c r="KII8" s="154"/>
      <c r="KIJ8" s="154"/>
      <c r="KIK8" s="154"/>
      <c r="KIL8" s="154"/>
      <c r="KIM8" s="154"/>
      <c r="KIN8" s="154"/>
      <c r="KIO8" s="154"/>
      <c r="KIP8" s="154"/>
      <c r="KIQ8" s="154"/>
      <c r="KIR8" s="154"/>
      <c r="KIS8" s="154"/>
      <c r="KIT8" s="154"/>
      <c r="KIU8" s="154"/>
      <c r="KIV8" s="154"/>
      <c r="KIW8" s="154"/>
      <c r="KIX8" s="154"/>
      <c r="KIY8" s="154"/>
      <c r="KIZ8" s="154"/>
      <c r="KJA8" s="154"/>
      <c r="KJB8" s="154"/>
      <c r="KJC8" s="154"/>
      <c r="KJD8" s="154"/>
      <c r="KJE8" s="154"/>
      <c r="KJF8" s="154"/>
      <c r="KJG8" s="154"/>
      <c r="KJH8" s="154"/>
      <c r="KJI8" s="154"/>
      <c r="KJJ8" s="154"/>
      <c r="KJK8" s="154"/>
      <c r="KJL8" s="154"/>
      <c r="KJM8" s="154"/>
      <c r="KJN8" s="154"/>
      <c r="KJO8" s="154"/>
      <c r="KJP8" s="154"/>
      <c r="KJQ8" s="154"/>
      <c r="KJR8" s="154"/>
      <c r="KJS8" s="154"/>
      <c r="KJT8" s="154"/>
      <c r="KJU8" s="154"/>
      <c r="KJV8" s="154"/>
      <c r="KJW8" s="154"/>
      <c r="KJX8" s="154"/>
      <c r="KJY8" s="154"/>
      <c r="KJZ8" s="154"/>
      <c r="KKA8" s="154"/>
      <c r="KKB8" s="154"/>
      <c r="KKC8" s="154"/>
      <c r="KKD8" s="154"/>
      <c r="KKE8" s="154"/>
      <c r="KKF8" s="154"/>
      <c r="KKG8" s="154"/>
      <c r="KKH8" s="154"/>
      <c r="KKI8" s="154"/>
      <c r="KKJ8" s="154"/>
      <c r="KKK8" s="154"/>
      <c r="KKL8" s="154"/>
      <c r="KKM8" s="154"/>
      <c r="KKN8" s="154"/>
      <c r="KKO8" s="154"/>
      <c r="KKP8" s="154"/>
      <c r="KKQ8" s="154"/>
      <c r="KKR8" s="154"/>
      <c r="KKS8" s="154"/>
      <c r="KKT8" s="154"/>
      <c r="KKU8" s="154"/>
      <c r="KKV8" s="154"/>
      <c r="KKW8" s="154"/>
      <c r="KKX8" s="154"/>
      <c r="KKY8" s="154"/>
      <c r="KKZ8" s="154"/>
      <c r="KLA8" s="154"/>
      <c r="KLB8" s="154"/>
      <c r="KLC8" s="154"/>
      <c r="KLD8" s="154"/>
      <c r="KLE8" s="154"/>
      <c r="KLF8" s="154"/>
      <c r="KLG8" s="154"/>
      <c r="KLH8" s="154"/>
      <c r="KLI8" s="154"/>
      <c r="KLJ8" s="154"/>
      <c r="KLK8" s="154"/>
      <c r="KLL8" s="154"/>
      <c r="KLM8" s="154"/>
      <c r="KLN8" s="154"/>
      <c r="KLO8" s="154"/>
      <c r="KLP8" s="154"/>
      <c r="KLQ8" s="154"/>
      <c r="KLR8" s="154"/>
      <c r="KLS8" s="154"/>
      <c r="KLT8" s="154"/>
      <c r="KLU8" s="154"/>
      <c r="KLV8" s="154"/>
      <c r="KLW8" s="154"/>
      <c r="KLX8" s="154"/>
      <c r="KLY8" s="154"/>
      <c r="KLZ8" s="154"/>
      <c r="KMA8" s="154"/>
      <c r="KMB8" s="154"/>
      <c r="KMC8" s="154"/>
      <c r="KMD8" s="154"/>
      <c r="KME8" s="154"/>
      <c r="KMF8" s="154"/>
      <c r="KMG8" s="154"/>
      <c r="KMH8" s="154"/>
      <c r="KMI8" s="154"/>
      <c r="KMJ8" s="154"/>
      <c r="KMK8" s="154"/>
      <c r="KML8" s="154"/>
      <c r="KMM8" s="154"/>
      <c r="KMN8" s="154"/>
      <c r="KMO8" s="154"/>
      <c r="KMP8" s="154"/>
      <c r="KMQ8" s="154"/>
      <c r="KMR8" s="154"/>
      <c r="KMS8" s="154"/>
      <c r="KMT8" s="154"/>
      <c r="KMU8" s="154"/>
      <c r="KMV8" s="154"/>
      <c r="KMW8" s="154"/>
      <c r="KMX8" s="154"/>
      <c r="KMY8" s="154"/>
      <c r="KMZ8" s="154"/>
      <c r="KNA8" s="154"/>
      <c r="KNB8" s="154"/>
      <c r="KNC8" s="154"/>
      <c r="KND8" s="154"/>
      <c r="KNE8" s="154"/>
      <c r="KNF8" s="154"/>
      <c r="KNG8" s="154"/>
      <c r="KNH8" s="154"/>
      <c r="KNI8" s="154"/>
      <c r="KNJ8" s="154"/>
      <c r="KNK8" s="154"/>
      <c r="KNL8" s="154"/>
      <c r="KNM8" s="154"/>
      <c r="KNN8" s="154"/>
      <c r="KNO8" s="154"/>
      <c r="KNP8" s="154"/>
      <c r="KNQ8" s="154"/>
      <c r="KNR8" s="154"/>
      <c r="KNS8" s="154"/>
      <c r="KNT8" s="154"/>
      <c r="KNU8" s="154"/>
      <c r="KNV8" s="154"/>
      <c r="KNW8" s="154"/>
      <c r="KNX8" s="154"/>
      <c r="KNY8" s="154"/>
      <c r="KNZ8" s="154"/>
      <c r="KOA8" s="154"/>
      <c r="KOB8" s="154"/>
      <c r="KOC8" s="154"/>
      <c r="KOD8" s="154"/>
      <c r="KOE8" s="154"/>
      <c r="KOF8" s="154"/>
      <c r="KOG8" s="154"/>
      <c r="KOH8" s="154"/>
      <c r="KOI8" s="154"/>
      <c r="KOJ8" s="154"/>
      <c r="KOK8" s="154"/>
      <c r="KOL8" s="154"/>
      <c r="KOM8" s="154"/>
      <c r="KON8" s="154"/>
      <c r="KOO8" s="154"/>
      <c r="KOP8" s="154"/>
      <c r="KOQ8" s="154"/>
      <c r="KOR8" s="154"/>
      <c r="KOS8" s="154"/>
      <c r="KOT8" s="154"/>
      <c r="KOU8" s="154"/>
      <c r="KOV8" s="154"/>
      <c r="KOW8" s="154"/>
      <c r="KOX8" s="154"/>
      <c r="KOY8" s="154"/>
      <c r="KOZ8" s="154"/>
      <c r="KPA8" s="154"/>
      <c r="KPB8" s="154"/>
      <c r="KPC8" s="154"/>
      <c r="KPD8" s="154"/>
      <c r="KPE8" s="154"/>
      <c r="KPF8" s="154"/>
      <c r="KPG8" s="154"/>
      <c r="KPH8" s="154"/>
      <c r="KPI8" s="154"/>
      <c r="KPJ8" s="154"/>
      <c r="KPK8" s="154"/>
      <c r="KPL8" s="154"/>
      <c r="KPM8" s="154"/>
      <c r="KPN8" s="154"/>
      <c r="KPO8" s="154"/>
      <c r="KPP8" s="154"/>
      <c r="KPQ8" s="154"/>
      <c r="KPR8" s="154"/>
      <c r="KPS8" s="154"/>
      <c r="KPT8" s="154"/>
      <c r="KPU8" s="154"/>
      <c r="KPV8" s="154"/>
      <c r="KPW8" s="154"/>
      <c r="KPX8" s="154"/>
      <c r="KPY8" s="154"/>
      <c r="KPZ8" s="154"/>
      <c r="KQA8" s="154"/>
      <c r="KQB8" s="154"/>
      <c r="KQC8" s="154"/>
      <c r="KQD8" s="154"/>
      <c r="KQE8" s="154"/>
      <c r="KQF8" s="154"/>
      <c r="KQG8" s="154"/>
      <c r="KQH8" s="154"/>
      <c r="KQI8" s="154"/>
      <c r="KQJ8" s="154"/>
      <c r="KQK8" s="154"/>
      <c r="KQL8" s="154"/>
      <c r="KQM8" s="154"/>
      <c r="KQN8" s="154"/>
      <c r="KQO8" s="154"/>
      <c r="KQP8" s="154"/>
      <c r="KQQ8" s="154"/>
      <c r="KQR8" s="154"/>
      <c r="KQS8" s="154"/>
      <c r="KQT8" s="154"/>
      <c r="KQU8" s="154"/>
      <c r="KQV8" s="154"/>
      <c r="KQW8" s="154"/>
      <c r="KQX8" s="154"/>
      <c r="KQY8" s="154"/>
      <c r="KQZ8" s="154"/>
      <c r="KRA8" s="154"/>
      <c r="KRB8" s="154"/>
      <c r="KRC8" s="154"/>
      <c r="KRD8" s="154"/>
      <c r="KRE8" s="154"/>
      <c r="KRF8" s="154"/>
      <c r="KRG8" s="154"/>
      <c r="KRH8" s="154"/>
      <c r="KRI8" s="154"/>
      <c r="KRJ8" s="154"/>
      <c r="KRK8" s="154"/>
      <c r="KRL8" s="154"/>
      <c r="KRM8" s="154"/>
      <c r="KRN8" s="154"/>
      <c r="KRO8" s="154"/>
      <c r="KRP8" s="154"/>
      <c r="KRQ8" s="154"/>
      <c r="KRR8" s="154"/>
      <c r="KRS8" s="154"/>
      <c r="KRT8" s="154"/>
      <c r="KRU8" s="154"/>
      <c r="KRV8" s="154"/>
      <c r="KRW8" s="154"/>
      <c r="KRX8" s="154"/>
      <c r="KRY8" s="154"/>
      <c r="KRZ8" s="154"/>
      <c r="KSA8" s="154"/>
      <c r="KSB8" s="154"/>
      <c r="KSC8" s="154"/>
      <c r="KSD8" s="154"/>
      <c r="KSE8" s="154"/>
      <c r="KSF8" s="154"/>
      <c r="KSG8" s="154"/>
      <c r="KSH8" s="154"/>
      <c r="KSI8" s="154"/>
      <c r="KSJ8" s="154"/>
      <c r="KSK8" s="154"/>
      <c r="KSL8" s="154"/>
      <c r="KSM8" s="154"/>
      <c r="KSN8" s="154"/>
      <c r="KSO8" s="154"/>
      <c r="KSP8" s="154"/>
      <c r="KSQ8" s="154"/>
      <c r="KSR8" s="154"/>
      <c r="KSS8" s="154"/>
      <c r="KST8" s="154"/>
      <c r="KSU8" s="154"/>
      <c r="KSV8" s="154"/>
      <c r="KSW8" s="154"/>
      <c r="KSX8" s="154"/>
      <c r="KSY8" s="154"/>
      <c r="KSZ8" s="154"/>
      <c r="KTA8" s="154"/>
      <c r="KTB8" s="154"/>
      <c r="KTC8" s="154"/>
      <c r="KTD8" s="154"/>
      <c r="KTE8" s="154"/>
      <c r="KTF8" s="154"/>
      <c r="KTG8" s="154"/>
      <c r="KTH8" s="154"/>
      <c r="KTI8" s="154"/>
      <c r="KTJ8" s="154"/>
      <c r="KTK8" s="154"/>
      <c r="KTL8" s="154"/>
      <c r="KTM8" s="154"/>
      <c r="KTN8" s="154"/>
      <c r="KTO8" s="154"/>
      <c r="KTP8" s="154"/>
      <c r="KTQ8" s="154"/>
      <c r="KTR8" s="154"/>
      <c r="KTS8" s="154"/>
      <c r="KTT8" s="154"/>
      <c r="KTU8" s="154"/>
      <c r="KTV8" s="154"/>
      <c r="KTW8" s="154"/>
      <c r="KTX8" s="154"/>
      <c r="KTY8" s="154"/>
      <c r="KTZ8" s="154"/>
      <c r="KUA8" s="154"/>
      <c r="KUB8" s="154"/>
      <c r="KUC8" s="154"/>
      <c r="KUD8" s="154"/>
      <c r="KUE8" s="154"/>
      <c r="KUF8" s="154"/>
      <c r="KUG8" s="154"/>
      <c r="KUH8" s="154"/>
      <c r="KUI8" s="154"/>
      <c r="KUJ8" s="154"/>
      <c r="KUK8" s="154"/>
      <c r="KUL8" s="154"/>
      <c r="KUM8" s="154"/>
      <c r="KUN8" s="154"/>
      <c r="KUO8" s="154"/>
      <c r="KUP8" s="154"/>
      <c r="KUQ8" s="154"/>
      <c r="KUR8" s="154"/>
      <c r="KUS8" s="154"/>
      <c r="KUT8" s="154"/>
      <c r="KUU8" s="154"/>
      <c r="KUV8" s="154"/>
      <c r="KUW8" s="154"/>
      <c r="KUX8" s="154"/>
      <c r="KUY8" s="154"/>
      <c r="KUZ8" s="154"/>
      <c r="KVA8" s="154"/>
      <c r="KVB8" s="154"/>
      <c r="KVC8" s="154"/>
      <c r="KVD8" s="154"/>
      <c r="KVE8" s="154"/>
      <c r="KVF8" s="154"/>
      <c r="KVG8" s="154"/>
      <c r="KVH8" s="154"/>
      <c r="KVI8" s="154"/>
      <c r="KVJ8" s="154"/>
      <c r="KVK8" s="154"/>
      <c r="KVL8" s="154"/>
      <c r="KVM8" s="154"/>
      <c r="KVN8" s="154"/>
      <c r="KVO8" s="154"/>
      <c r="KVP8" s="154"/>
      <c r="KVQ8" s="154"/>
      <c r="KVR8" s="154"/>
      <c r="KVS8" s="154"/>
      <c r="KVT8" s="154"/>
      <c r="KVU8" s="154"/>
      <c r="KVV8" s="154"/>
      <c r="KVW8" s="154"/>
      <c r="KVX8" s="154"/>
      <c r="KVY8" s="154"/>
      <c r="KVZ8" s="154"/>
      <c r="KWA8" s="154"/>
      <c r="KWB8" s="154"/>
      <c r="KWC8" s="154"/>
      <c r="KWD8" s="154"/>
      <c r="KWE8" s="154"/>
      <c r="KWF8" s="154"/>
      <c r="KWG8" s="154"/>
      <c r="KWH8" s="154"/>
      <c r="KWI8" s="154"/>
      <c r="KWJ8" s="154"/>
      <c r="KWK8" s="154"/>
      <c r="KWL8" s="154"/>
      <c r="KWM8" s="154"/>
      <c r="KWN8" s="154"/>
      <c r="KWO8" s="154"/>
      <c r="KWP8" s="154"/>
      <c r="KWQ8" s="154"/>
      <c r="KWR8" s="154"/>
      <c r="KWS8" s="154"/>
      <c r="KWT8" s="154"/>
      <c r="KWU8" s="154"/>
      <c r="KWV8" s="154"/>
      <c r="KWW8" s="154"/>
      <c r="KWX8" s="154"/>
      <c r="KWY8" s="154"/>
      <c r="KWZ8" s="154"/>
      <c r="KXA8" s="154"/>
      <c r="KXB8" s="154"/>
      <c r="KXC8" s="154"/>
      <c r="KXD8" s="154"/>
      <c r="KXE8" s="154"/>
      <c r="KXF8" s="154"/>
      <c r="KXG8" s="154"/>
      <c r="KXH8" s="154"/>
      <c r="KXI8" s="154"/>
      <c r="KXJ8" s="154"/>
      <c r="KXK8" s="154"/>
      <c r="KXL8" s="154"/>
      <c r="KXM8" s="154"/>
      <c r="KXN8" s="154"/>
      <c r="KXO8" s="154"/>
      <c r="KXP8" s="154"/>
      <c r="KXQ8" s="154"/>
      <c r="KXR8" s="154"/>
      <c r="KXS8" s="154"/>
      <c r="KXT8" s="154"/>
      <c r="KXU8" s="154"/>
      <c r="KXV8" s="154"/>
      <c r="KXW8" s="154"/>
      <c r="KXX8" s="154"/>
      <c r="KXY8" s="154"/>
      <c r="KXZ8" s="154"/>
      <c r="KYA8" s="154"/>
      <c r="KYB8" s="154"/>
      <c r="KYC8" s="154"/>
      <c r="KYD8" s="154"/>
      <c r="KYE8" s="154"/>
      <c r="KYF8" s="154"/>
      <c r="KYG8" s="154"/>
      <c r="KYH8" s="154"/>
      <c r="KYI8" s="154"/>
      <c r="KYJ8" s="154"/>
      <c r="KYK8" s="154"/>
      <c r="KYL8" s="154"/>
      <c r="KYM8" s="154"/>
      <c r="KYN8" s="154"/>
      <c r="KYO8" s="154"/>
      <c r="KYP8" s="154"/>
      <c r="KYQ8" s="154"/>
      <c r="KYR8" s="154"/>
      <c r="KYS8" s="154"/>
      <c r="KYT8" s="154"/>
      <c r="KYU8" s="154"/>
      <c r="KYV8" s="154"/>
      <c r="KYW8" s="154"/>
      <c r="KYX8" s="154"/>
      <c r="KYY8" s="154"/>
      <c r="KYZ8" s="154"/>
      <c r="KZA8" s="154"/>
      <c r="KZB8" s="154"/>
      <c r="KZC8" s="154"/>
      <c r="KZD8" s="154"/>
      <c r="KZE8" s="154"/>
      <c r="KZF8" s="154"/>
      <c r="KZG8" s="154"/>
      <c r="KZH8" s="154"/>
      <c r="KZI8" s="154"/>
      <c r="KZJ8" s="154"/>
      <c r="KZK8" s="154"/>
      <c r="KZL8" s="154"/>
      <c r="KZM8" s="154"/>
      <c r="KZN8" s="154"/>
      <c r="KZO8" s="154"/>
      <c r="KZP8" s="154"/>
      <c r="KZQ8" s="154"/>
      <c r="KZR8" s="154"/>
      <c r="KZS8" s="154"/>
      <c r="KZT8" s="154"/>
      <c r="KZU8" s="154"/>
      <c r="KZV8" s="154"/>
      <c r="KZW8" s="154"/>
      <c r="KZX8" s="154"/>
      <c r="KZY8" s="154"/>
      <c r="KZZ8" s="154"/>
      <c r="LAA8" s="154"/>
      <c r="LAB8" s="154"/>
      <c r="LAC8" s="154"/>
      <c r="LAD8" s="154"/>
      <c r="LAE8" s="154"/>
      <c r="LAF8" s="154"/>
      <c r="LAG8" s="154"/>
      <c r="LAH8" s="154"/>
      <c r="LAI8" s="154"/>
      <c r="LAJ8" s="154"/>
      <c r="LAK8" s="154"/>
      <c r="LAL8" s="154"/>
      <c r="LAM8" s="154"/>
      <c r="LAN8" s="154"/>
      <c r="LAO8" s="154"/>
      <c r="LAP8" s="154"/>
      <c r="LAQ8" s="154"/>
      <c r="LAR8" s="154"/>
      <c r="LAS8" s="154"/>
      <c r="LAT8" s="154"/>
      <c r="LAU8" s="154"/>
      <c r="LAV8" s="154"/>
      <c r="LAW8" s="154"/>
      <c r="LAX8" s="154"/>
      <c r="LAY8" s="154"/>
      <c r="LAZ8" s="154"/>
      <c r="LBA8" s="154"/>
      <c r="LBB8" s="154"/>
      <c r="LBC8" s="154"/>
      <c r="LBD8" s="154"/>
      <c r="LBE8" s="154"/>
      <c r="LBF8" s="154"/>
      <c r="LBG8" s="154"/>
      <c r="LBH8" s="154"/>
      <c r="LBI8" s="154"/>
      <c r="LBJ8" s="154"/>
      <c r="LBK8" s="154"/>
      <c r="LBL8" s="154"/>
      <c r="LBM8" s="154"/>
      <c r="LBN8" s="154"/>
      <c r="LBO8" s="154"/>
      <c r="LBP8" s="154"/>
      <c r="LBQ8" s="154"/>
      <c r="LBR8" s="154"/>
      <c r="LBS8" s="154"/>
      <c r="LBT8" s="154"/>
      <c r="LBU8" s="154"/>
      <c r="LBV8" s="154"/>
      <c r="LBW8" s="154"/>
      <c r="LBX8" s="154"/>
      <c r="LBY8" s="154"/>
      <c r="LBZ8" s="154"/>
      <c r="LCA8" s="154"/>
      <c r="LCB8" s="154"/>
      <c r="LCC8" s="154"/>
      <c r="LCD8" s="154"/>
      <c r="LCE8" s="154"/>
      <c r="LCF8" s="154"/>
      <c r="LCG8" s="154"/>
      <c r="LCH8" s="154"/>
      <c r="LCI8" s="154"/>
      <c r="LCJ8" s="154"/>
      <c r="LCK8" s="154"/>
      <c r="LCL8" s="154"/>
      <c r="LCM8" s="154"/>
      <c r="LCN8" s="154"/>
      <c r="LCO8" s="154"/>
      <c r="LCP8" s="154"/>
      <c r="LCQ8" s="154"/>
      <c r="LCR8" s="154"/>
      <c r="LCS8" s="154"/>
      <c r="LCT8" s="154"/>
      <c r="LCU8" s="154"/>
      <c r="LCV8" s="154"/>
      <c r="LCW8" s="154"/>
      <c r="LCX8" s="154"/>
      <c r="LCY8" s="154"/>
      <c r="LCZ8" s="154"/>
      <c r="LDA8" s="154"/>
      <c r="LDB8" s="154"/>
      <c r="LDC8" s="154"/>
      <c r="LDD8" s="154"/>
      <c r="LDE8" s="154"/>
      <c r="LDF8" s="154"/>
      <c r="LDG8" s="154"/>
      <c r="LDH8" s="154"/>
      <c r="LDI8" s="154"/>
      <c r="LDJ8" s="154"/>
      <c r="LDK8" s="154"/>
      <c r="LDL8" s="154"/>
      <c r="LDM8" s="154"/>
      <c r="LDN8" s="154"/>
      <c r="LDO8" s="154"/>
      <c r="LDP8" s="154"/>
      <c r="LDQ8" s="154"/>
      <c r="LDR8" s="154"/>
      <c r="LDS8" s="154"/>
      <c r="LDT8" s="154"/>
      <c r="LDU8" s="154"/>
      <c r="LDV8" s="154"/>
      <c r="LDW8" s="154"/>
      <c r="LDX8" s="154"/>
      <c r="LDY8" s="154"/>
      <c r="LDZ8" s="154"/>
      <c r="LEA8" s="154"/>
      <c r="LEB8" s="154"/>
      <c r="LEC8" s="154"/>
      <c r="LED8" s="154"/>
      <c r="LEE8" s="154"/>
      <c r="LEF8" s="154"/>
      <c r="LEG8" s="154"/>
      <c r="LEH8" s="154"/>
      <c r="LEI8" s="154"/>
      <c r="LEJ8" s="154"/>
      <c r="LEK8" s="154"/>
      <c r="LEL8" s="154"/>
      <c r="LEM8" s="154"/>
      <c r="LEN8" s="154"/>
      <c r="LEO8" s="154"/>
      <c r="LEP8" s="154"/>
      <c r="LEQ8" s="154"/>
      <c r="LER8" s="154"/>
      <c r="LES8" s="154"/>
      <c r="LET8" s="154"/>
      <c r="LEU8" s="154"/>
      <c r="LEV8" s="154"/>
      <c r="LEW8" s="154"/>
      <c r="LEX8" s="154"/>
      <c r="LEY8" s="154"/>
      <c r="LEZ8" s="154"/>
      <c r="LFA8" s="154"/>
      <c r="LFB8" s="154"/>
      <c r="LFC8" s="154"/>
      <c r="LFD8" s="154"/>
      <c r="LFE8" s="154"/>
      <c r="LFF8" s="154"/>
      <c r="LFG8" s="154"/>
      <c r="LFH8" s="154"/>
      <c r="LFI8" s="154"/>
      <c r="LFJ8" s="154"/>
      <c r="LFK8" s="154"/>
      <c r="LFL8" s="154"/>
      <c r="LFM8" s="154"/>
      <c r="LFN8" s="154"/>
      <c r="LFO8" s="154"/>
      <c r="LFP8" s="154"/>
      <c r="LFQ8" s="154"/>
      <c r="LFR8" s="154"/>
      <c r="LFS8" s="154"/>
      <c r="LFT8" s="154"/>
      <c r="LFU8" s="154"/>
      <c r="LFV8" s="154"/>
      <c r="LFW8" s="154"/>
      <c r="LFX8" s="154"/>
      <c r="LFY8" s="154"/>
      <c r="LFZ8" s="154"/>
      <c r="LGA8" s="154"/>
      <c r="LGB8" s="154"/>
      <c r="LGC8" s="154"/>
      <c r="LGD8" s="154"/>
      <c r="LGE8" s="154"/>
      <c r="LGF8" s="154"/>
      <c r="LGG8" s="154"/>
      <c r="LGH8" s="154"/>
      <c r="LGI8" s="154"/>
      <c r="LGJ8" s="154"/>
      <c r="LGK8" s="154"/>
      <c r="LGL8" s="154"/>
      <c r="LGM8" s="154"/>
      <c r="LGN8" s="154"/>
      <c r="LGO8" s="154"/>
      <c r="LGP8" s="154"/>
      <c r="LGQ8" s="154"/>
      <c r="LGR8" s="154"/>
      <c r="LGS8" s="154"/>
      <c r="LGT8" s="154"/>
      <c r="LGU8" s="154"/>
      <c r="LGV8" s="154"/>
      <c r="LGW8" s="154"/>
      <c r="LGX8" s="154"/>
      <c r="LGY8" s="154"/>
      <c r="LGZ8" s="154"/>
      <c r="LHA8" s="154"/>
      <c r="LHB8" s="154"/>
      <c r="LHC8" s="154"/>
      <c r="LHD8" s="154"/>
      <c r="LHE8" s="154"/>
      <c r="LHF8" s="154"/>
      <c r="LHG8" s="154"/>
      <c r="LHH8" s="154"/>
      <c r="LHI8" s="154"/>
      <c r="LHJ8" s="154"/>
      <c r="LHK8" s="154"/>
      <c r="LHL8" s="154"/>
      <c r="LHM8" s="154"/>
      <c r="LHN8" s="154"/>
      <c r="LHO8" s="154"/>
      <c r="LHP8" s="154"/>
      <c r="LHQ8" s="154"/>
      <c r="LHR8" s="154"/>
      <c r="LHS8" s="154"/>
      <c r="LHT8" s="154"/>
      <c r="LHU8" s="154"/>
      <c r="LHV8" s="154"/>
      <c r="LHW8" s="154"/>
      <c r="LHX8" s="154"/>
      <c r="LHY8" s="154"/>
      <c r="LHZ8" s="154"/>
      <c r="LIA8" s="154"/>
      <c r="LIB8" s="154"/>
      <c r="LIC8" s="154"/>
      <c r="LID8" s="154"/>
      <c r="LIE8" s="154"/>
      <c r="LIF8" s="154"/>
      <c r="LIG8" s="154"/>
      <c r="LIH8" s="154"/>
      <c r="LII8" s="154"/>
      <c r="LIJ8" s="154"/>
      <c r="LIK8" s="154"/>
      <c r="LIL8" s="154"/>
      <c r="LIM8" s="154"/>
      <c r="LIN8" s="154"/>
      <c r="LIO8" s="154"/>
      <c r="LIP8" s="154"/>
      <c r="LIQ8" s="154"/>
      <c r="LIR8" s="154"/>
      <c r="LIS8" s="154"/>
      <c r="LIT8" s="154"/>
      <c r="LIU8" s="154"/>
      <c r="LIV8" s="154"/>
      <c r="LIW8" s="154"/>
      <c r="LIX8" s="154"/>
      <c r="LIY8" s="154"/>
      <c r="LIZ8" s="154"/>
      <c r="LJA8" s="154"/>
      <c r="LJB8" s="154"/>
      <c r="LJC8" s="154"/>
      <c r="LJD8" s="154"/>
      <c r="LJE8" s="154"/>
      <c r="LJF8" s="154"/>
      <c r="LJG8" s="154"/>
      <c r="LJH8" s="154"/>
      <c r="LJI8" s="154"/>
      <c r="LJJ8" s="154"/>
      <c r="LJK8" s="154"/>
      <c r="LJL8" s="154"/>
      <c r="LJM8" s="154"/>
      <c r="LJN8" s="154"/>
      <c r="LJO8" s="154"/>
      <c r="LJP8" s="154"/>
      <c r="LJQ8" s="154"/>
      <c r="LJR8" s="154"/>
      <c r="LJS8" s="154"/>
      <c r="LJT8" s="154"/>
      <c r="LJU8" s="154"/>
      <c r="LJV8" s="154"/>
      <c r="LJW8" s="154"/>
      <c r="LJX8" s="154"/>
      <c r="LJY8" s="154"/>
      <c r="LJZ8" s="154"/>
      <c r="LKA8" s="154"/>
      <c r="LKB8" s="154"/>
      <c r="LKC8" s="154"/>
      <c r="LKD8" s="154"/>
      <c r="LKE8" s="154"/>
      <c r="LKF8" s="154"/>
      <c r="LKG8" s="154"/>
      <c r="LKH8" s="154"/>
      <c r="LKI8" s="154"/>
      <c r="LKJ8" s="154"/>
      <c r="LKK8" s="154"/>
      <c r="LKL8" s="154"/>
      <c r="LKM8" s="154"/>
      <c r="LKN8" s="154"/>
      <c r="LKO8" s="154"/>
      <c r="LKP8" s="154"/>
      <c r="LKQ8" s="154"/>
      <c r="LKR8" s="154"/>
      <c r="LKS8" s="154"/>
      <c r="LKT8" s="154"/>
      <c r="LKU8" s="154"/>
      <c r="LKV8" s="154"/>
      <c r="LKW8" s="154"/>
      <c r="LKX8" s="154"/>
      <c r="LKY8" s="154"/>
      <c r="LKZ8" s="154"/>
      <c r="LLA8" s="154"/>
      <c r="LLB8" s="154"/>
      <c r="LLC8" s="154"/>
      <c r="LLD8" s="154"/>
      <c r="LLE8" s="154"/>
      <c r="LLF8" s="154"/>
      <c r="LLG8" s="154"/>
      <c r="LLH8" s="154"/>
      <c r="LLI8" s="154"/>
      <c r="LLJ8" s="154"/>
      <c r="LLK8" s="154"/>
      <c r="LLL8" s="154"/>
      <c r="LLM8" s="154"/>
      <c r="LLN8" s="154"/>
      <c r="LLO8" s="154"/>
      <c r="LLP8" s="154"/>
      <c r="LLQ8" s="154"/>
      <c r="LLR8" s="154"/>
      <c r="LLS8" s="154"/>
      <c r="LLT8" s="154"/>
      <c r="LLU8" s="154"/>
      <c r="LLV8" s="154"/>
      <c r="LLW8" s="154"/>
      <c r="LLX8" s="154"/>
      <c r="LLY8" s="154"/>
      <c r="LLZ8" s="154"/>
      <c r="LMA8" s="154"/>
      <c r="LMB8" s="154"/>
      <c r="LMC8" s="154"/>
      <c r="LMD8" s="154"/>
      <c r="LME8" s="154"/>
      <c r="LMF8" s="154"/>
      <c r="LMG8" s="154"/>
      <c r="LMH8" s="154"/>
      <c r="LMI8" s="154"/>
      <c r="LMJ8" s="154"/>
      <c r="LMK8" s="154"/>
      <c r="LML8" s="154"/>
      <c r="LMM8" s="154"/>
      <c r="LMN8" s="154"/>
      <c r="LMO8" s="154"/>
      <c r="LMP8" s="154"/>
      <c r="LMQ8" s="154"/>
      <c r="LMR8" s="154"/>
      <c r="LMS8" s="154"/>
      <c r="LMT8" s="154"/>
      <c r="LMU8" s="154"/>
      <c r="LMV8" s="154"/>
      <c r="LMW8" s="154"/>
      <c r="LMX8" s="154"/>
      <c r="LMY8" s="154"/>
      <c r="LMZ8" s="154"/>
      <c r="LNA8" s="154"/>
      <c r="LNB8" s="154"/>
      <c r="LNC8" s="154"/>
      <c r="LND8" s="154"/>
      <c r="LNE8" s="154"/>
      <c r="LNF8" s="154"/>
      <c r="LNG8" s="154"/>
      <c r="LNH8" s="154"/>
      <c r="LNI8" s="154"/>
      <c r="LNJ8" s="154"/>
      <c r="LNK8" s="154"/>
      <c r="LNL8" s="154"/>
      <c r="LNM8" s="154"/>
      <c r="LNN8" s="154"/>
      <c r="LNO8" s="154"/>
      <c r="LNP8" s="154"/>
      <c r="LNQ8" s="154"/>
      <c r="LNR8" s="154"/>
      <c r="LNS8" s="154"/>
      <c r="LNT8" s="154"/>
      <c r="LNU8" s="154"/>
      <c r="LNV8" s="154"/>
      <c r="LNW8" s="154"/>
      <c r="LNX8" s="154"/>
      <c r="LNY8" s="154"/>
      <c r="LNZ8" s="154"/>
      <c r="LOA8" s="154"/>
      <c r="LOB8" s="154"/>
      <c r="LOC8" s="154"/>
      <c r="LOD8" s="154"/>
      <c r="LOE8" s="154"/>
      <c r="LOF8" s="154"/>
      <c r="LOG8" s="154"/>
      <c r="LOH8" s="154"/>
      <c r="LOI8" s="154"/>
      <c r="LOJ8" s="154"/>
      <c r="LOK8" s="154"/>
      <c r="LOL8" s="154"/>
      <c r="LOM8" s="154"/>
      <c r="LON8" s="154"/>
      <c r="LOO8" s="154"/>
      <c r="LOP8" s="154"/>
      <c r="LOQ8" s="154"/>
      <c r="LOR8" s="154"/>
      <c r="LOS8" s="154"/>
      <c r="LOT8" s="154"/>
      <c r="LOU8" s="154"/>
      <c r="LOV8" s="154"/>
      <c r="LOW8" s="154"/>
      <c r="LOX8" s="154"/>
      <c r="LOY8" s="154"/>
      <c r="LOZ8" s="154"/>
      <c r="LPA8" s="154"/>
      <c r="LPB8" s="154"/>
      <c r="LPC8" s="154"/>
      <c r="LPD8" s="154"/>
      <c r="LPE8" s="154"/>
      <c r="LPF8" s="154"/>
      <c r="LPG8" s="154"/>
      <c r="LPH8" s="154"/>
      <c r="LPI8" s="154"/>
      <c r="LPJ8" s="154"/>
      <c r="LPK8" s="154"/>
      <c r="LPL8" s="154"/>
      <c r="LPM8" s="154"/>
      <c r="LPN8" s="154"/>
      <c r="LPO8" s="154"/>
      <c r="LPP8" s="154"/>
      <c r="LPQ8" s="154"/>
      <c r="LPR8" s="154"/>
      <c r="LPS8" s="154"/>
      <c r="LPT8" s="154"/>
      <c r="LPU8" s="154"/>
      <c r="LPV8" s="154"/>
      <c r="LPW8" s="154"/>
      <c r="LPX8" s="154"/>
      <c r="LPY8" s="154"/>
      <c r="LPZ8" s="154"/>
      <c r="LQA8" s="154"/>
      <c r="LQB8" s="154"/>
      <c r="LQC8" s="154"/>
      <c r="LQD8" s="154"/>
      <c r="LQE8" s="154"/>
      <c r="LQF8" s="154"/>
      <c r="LQG8" s="154"/>
      <c r="LQH8" s="154"/>
      <c r="LQI8" s="154"/>
      <c r="LQJ8" s="154"/>
      <c r="LQK8" s="154"/>
      <c r="LQL8" s="154"/>
      <c r="LQM8" s="154"/>
      <c r="LQN8" s="154"/>
      <c r="LQO8" s="154"/>
      <c r="LQP8" s="154"/>
      <c r="LQQ8" s="154"/>
      <c r="LQR8" s="154"/>
      <c r="LQS8" s="154"/>
      <c r="LQT8" s="154"/>
      <c r="LQU8" s="154"/>
      <c r="LQV8" s="154"/>
      <c r="LQW8" s="154"/>
      <c r="LQX8" s="154"/>
      <c r="LQY8" s="154"/>
      <c r="LQZ8" s="154"/>
      <c r="LRA8" s="154"/>
      <c r="LRB8" s="154"/>
      <c r="LRC8" s="154"/>
      <c r="LRD8" s="154"/>
      <c r="LRE8" s="154"/>
      <c r="LRF8" s="154"/>
      <c r="LRG8" s="154"/>
      <c r="LRH8" s="154"/>
      <c r="LRI8" s="154"/>
      <c r="LRJ8" s="154"/>
      <c r="LRK8" s="154"/>
      <c r="LRL8" s="154"/>
      <c r="LRM8" s="154"/>
      <c r="LRN8" s="154"/>
      <c r="LRO8" s="154"/>
      <c r="LRP8" s="154"/>
      <c r="LRQ8" s="154"/>
      <c r="LRR8" s="154"/>
      <c r="LRS8" s="154"/>
      <c r="LRT8" s="154"/>
      <c r="LRU8" s="154"/>
      <c r="LRV8" s="154"/>
      <c r="LRW8" s="154"/>
      <c r="LRX8" s="154"/>
      <c r="LRY8" s="154"/>
      <c r="LRZ8" s="154"/>
      <c r="LSA8" s="154"/>
      <c r="LSB8" s="154"/>
      <c r="LSC8" s="154"/>
      <c r="LSD8" s="154"/>
      <c r="LSE8" s="154"/>
      <c r="LSF8" s="154"/>
      <c r="LSG8" s="154"/>
      <c r="LSH8" s="154"/>
      <c r="LSI8" s="154"/>
      <c r="LSJ8" s="154"/>
      <c r="LSK8" s="154"/>
      <c r="LSL8" s="154"/>
      <c r="LSM8" s="154"/>
      <c r="LSN8" s="154"/>
      <c r="LSO8" s="154"/>
      <c r="LSP8" s="154"/>
      <c r="LSQ8" s="154"/>
      <c r="LSR8" s="154"/>
      <c r="LSS8" s="154"/>
      <c r="LST8" s="154"/>
      <c r="LSU8" s="154"/>
      <c r="LSV8" s="154"/>
      <c r="LSW8" s="154"/>
      <c r="LSX8" s="154"/>
      <c r="LSY8" s="154"/>
      <c r="LSZ8" s="154"/>
      <c r="LTA8" s="154"/>
      <c r="LTB8" s="154"/>
      <c r="LTC8" s="154"/>
      <c r="LTD8" s="154"/>
      <c r="LTE8" s="154"/>
      <c r="LTF8" s="154"/>
      <c r="LTG8" s="154"/>
      <c r="LTH8" s="154"/>
      <c r="LTI8" s="154"/>
      <c r="LTJ8" s="154"/>
      <c r="LTK8" s="154"/>
      <c r="LTL8" s="154"/>
      <c r="LTM8" s="154"/>
      <c r="LTN8" s="154"/>
      <c r="LTO8" s="154"/>
      <c r="LTP8" s="154"/>
      <c r="LTQ8" s="154"/>
      <c r="LTR8" s="154"/>
      <c r="LTS8" s="154"/>
      <c r="LTT8" s="154"/>
      <c r="LTU8" s="154"/>
      <c r="LTV8" s="154"/>
      <c r="LTW8" s="154"/>
      <c r="LTX8" s="154"/>
      <c r="LTY8" s="154"/>
      <c r="LTZ8" s="154"/>
      <c r="LUA8" s="154"/>
      <c r="LUB8" s="154"/>
      <c r="LUC8" s="154"/>
      <c r="LUD8" s="154"/>
      <c r="LUE8" s="154"/>
      <c r="LUF8" s="154"/>
      <c r="LUG8" s="154"/>
      <c r="LUH8" s="154"/>
      <c r="LUI8" s="154"/>
      <c r="LUJ8" s="154"/>
      <c r="LUK8" s="154"/>
      <c r="LUL8" s="154"/>
      <c r="LUM8" s="154"/>
      <c r="LUN8" s="154"/>
      <c r="LUO8" s="154"/>
      <c r="LUP8" s="154"/>
      <c r="LUQ8" s="154"/>
      <c r="LUR8" s="154"/>
      <c r="LUS8" s="154"/>
      <c r="LUT8" s="154"/>
      <c r="LUU8" s="154"/>
      <c r="LUV8" s="154"/>
      <c r="LUW8" s="154"/>
      <c r="LUX8" s="154"/>
      <c r="LUY8" s="154"/>
      <c r="LUZ8" s="154"/>
      <c r="LVA8" s="154"/>
      <c r="LVB8" s="154"/>
      <c r="LVC8" s="154"/>
      <c r="LVD8" s="154"/>
      <c r="LVE8" s="154"/>
      <c r="LVF8" s="154"/>
      <c r="LVG8" s="154"/>
      <c r="LVH8" s="154"/>
      <c r="LVI8" s="154"/>
      <c r="LVJ8" s="154"/>
      <c r="LVK8" s="154"/>
      <c r="LVL8" s="154"/>
      <c r="LVM8" s="154"/>
      <c r="LVN8" s="154"/>
      <c r="LVO8" s="154"/>
      <c r="LVP8" s="154"/>
      <c r="LVQ8" s="154"/>
      <c r="LVR8" s="154"/>
      <c r="LVS8" s="154"/>
      <c r="LVT8" s="154"/>
      <c r="LVU8" s="154"/>
      <c r="LVV8" s="154"/>
      <c r="LVW8" s="154"/>
      <c r="LVX8" s="154"/>
      <c r="LVY8" s="154"/>
      <c r="LVZ8" s="154"/>
      <c r="LWA8" s="154"/>
      <c r="LWB8" s="154"/>
      <c r="LWC8" s="154"/>
      <c r="LWD8" s="154"/>
      <c r="LWE8" s="154"/>
      <c r="LWF8" s="154"/>
      <c r="LWG8" s="154"/>
      <c r="LWH8" s="154"/>
      <c r="LWI8" s="154"/>
      <c r="LWJ8" s="154"/>
      <c r="LWK8" s="154"/>
      <c r="LWL8" s="154"/>
      <c r="LWM8" s="154"/>
      <c r="LWN8" s="154"/>
      <c r="LWO8" s="154"/>
      <c r="LWP8" s="154"/>
      <c r="LWQ8" s="154"/>
      <c r="LWR8" s="154"/>
      <c r="LWS8" s="154"/>
      <c r="LWT8" s="154"/>
      <c r="LWU8" s="154"/>
      <c r="LWV8" s="154"/>
      <c r="LWW8" s="154"/>
      <c r="LWX8" s="154"/>
      <c r="LWY8" s="154"/>
      <c r="LWZ8" s="154"/>
      <c r="LXA8" s="154"/>
      <c r="LXB8" s="154"/>
      <c r="LXC8" s="154"/>
      <c r="LXD8" s="154"/>
      <c r="LXE8" s="154"/>
      <c r="LXF8" s="154"/>
      <c r="LXG8" s="154"/>
      <c r="LXH8" s="154"/>
      <c r="LXI8" s="154"/>
      <c r="LXJ8" s="154"/>
      <c r="LXK8" s="154"/>
      <c r="LXL8" s="154"/>
      <c r="LXM8" s="154"/>
      <c r="LXN8" s="154"/>
      <c r="LXO8" s="154"/>
      <c r="LXP8" s="154"/>
      <c r="LXQ8" s="154"/>
      <c r="LXR8" s="154"/>
      <c r="LXS8" s="154"/>
      <c r="LXT8" s="154"/>
      <c r="LXU8" s="154"/>
      <c r="LXV8" s="154"/>
      <c r="LXW8" s="154"/>
      <c r="LXX8" s="154"/>
      <c r="LXY8" s="154"/>
      <c r="LXZ8" s="154"/>
      <c r="LYA8" s="154"/>
      <c r="LYB8" s="154"/>
      <c r="LYC8" s="154"/>
      <c r="LYD8" s="154"/>
      <c r="LYE8" s="154"/>
      <c r="LYF8" s="154"/>
      <c r="LYG8" s="154"/>
      <c r="LYH8" s="154"/>
      <c r="LYI8" s="154"/>
      <c r="LYJ8" s="154"/>
      <c r="LYK8" s="154"/>
      <c r="LYL8" s="154"/>
      <c r="LYM8" s="154"/>
      <c r="LYN8" s="154"/>
      <c r="LYO8" s="154"/>
      <c r="LYP8" s="154"/>
      <c r="LYQ8" s="154"/>
      <c r="LYR8" s="154"/>
      <c r="LYS8" s="154"/>
      <c r="LYT8" s="154"/>
      <c r="LYU8" s="154"/>
      <c r="LYV8" s="154"/>
      <c r="LYW8" s="154"/>
      <c r="LYX8" s="154"/>
      <c r="LYY8" s="154"/>
      <c r="LYZ8" s="154"/>
      <c r="LZA8" s="154"/>
      <c r="LZB8" s="154"/>
      <c r="LZC8" s="154"/>
      <c r="LZD8" s="154"/>
      <c r="LZE8" s="154"/>
      <c r="LZF8" s="154"/>
      <c r="LZG8" s="154"/>
      <c r="LZH8" s="154"/>
      <c r="LZI8" s="154"/>
      <c r="LZJ8" s="154"/>
      <c r="LZK8" s="154"/>
      <c r="LZL8" s="154"/>
      <c r="LZM8" s="154"/>
      <c r="LZN8" s="154"/>
      <c r="LZO8" s="154"/>
      <c r="LZP8" s="154"/>
      <c r="LZQ8" s="154"/>
      <c r="LZR8" s="154"/>
      <c r="LZS8" s="154"/>
      <c r="LZT8" s="154"/>
      <c r="LZU8" s="154"/>
      <c r="LZV8" s="154"/>
      <c r="LZW8" s="154"/>
      <c r="LZX8" s="154"/>
      <c r="LZY8" s="154"/>
      <c r="LZZ8" s="154"/>
      <c r="MAA8" s="154"/>
      <c r="MAB8" s="154"/>
      <c r="MAC8" s="154"/>
      <c r="MAD8" s="154"/>
      <c r="MAE8" s="154"/>
      <c r="MAF8" s="154"/>
      <c r="MAG8" s="154"/>
      <c r="MAH8" s="154"/>
      <c r="MAI8" s="154"/>
      <c r="MAJ8" s="154"/>
      <c r="MAK8" s="154"/>
      <c r="MAL8" s="154"/>
      <c r="MAM8" s="154"/>
      <c r="MAN8" s="154"/>
      <c r="MAO8" s="154"/>
      <c r="MAP8" s="154"/>
      <c r="MAQ8" s="154"/>
      <c r="MAR8" s="154"/>
      <c r="MAS8" s="154"/>
      <c r="MAT8" s="154"/>
      <c r="MAU8" s="154"/>
      <c r="MAV8" s="154"/>
      <c r="MAW8" s="154"/>
      <c r="MAX8" s="154"/>
      <c r="MAY8" s="154"/>
      <c r="MAZ8" s="154"/>
      <c r="MBA8" s="154"/>
      <c r="MBB8" s="154"/>
      <c r="MBC8" s="154"/>
      <c r="MBD8" s="154"/>
      <c r="MBE8" s="154"/>
      <c r="MBF8" s="154"/>
      <c r="MBG8" s="154"/>
      <c r="MBH8" s="154"/>
      <c r="MBI8" s="154"/>
      <c r="MBJ8" s="154"/>
      <c r="MBK8" s="154"/>
      <c r="MBL8" s="154"/>
      <c r="MBM8" s="154"/>
      <c r="MBN8" s="154"/>
      <c r="MBO8" s="154"/>
      <c r="MBP8" s="154"/>
      <c r="MBQ8" s="154"/>
      <c r="MBR8" s="154"/>
      <c r="MBS8" s="154"/>
      <c r="MBT8" s="154"/>
      <c r="MBU8" s="154"/>
      <c r="MBV8" s="154"/>
      <c r="MBW8" s="154"/>
      <c r="MBX8" s="154"/>
      <c r="MBY8" s="154"/>
      <c r="MBZ8" s="154"/>
      <c r="MCA8" s="154"/>
      <c r="MCB8" s="154"/>
      <c r="MCC8" s="154"/>
      <c r="MCD8" s="154"/>
      <c r="MCE8" s="154"/>
      <c r="MCF8" s="154"/>
      <c r="MCG8" s="154"/>
      <c r="MCH8" s="154"/>
      <c r="MCI8" s="154"/>
      <c r="MCJ8" s="154"/>
      <c r="MCK8" s="154"/>
      <c r="MCL8" s="154"/>
      <c r="MCM8" s="154"/>
      <c r="MCN8" s="154"/>
      <c r="MCO8" s="154"/>
      <c r="MCP8" s="154"/>
      <c r="MCQ8" s="154"/>
      <c r="MCR8" s="154"/>
      <c r="MCS8" s="154"/>
      <c r="MCT8" s="154"/>
      <c r="MCU8" s="154"/>
      <c r="MCV8" s="154"/>
      <c r="MCW8" s="154"/>
      <c r="MCX8" s="154"/>
      <c r="MCY8" s="154"/>
      <c r="MCZ8" s="154"/>
      <c r="MDA8" s="154"/>
      <c r="MDB8" s="154"/>
      <c r="MDC8" s="154"/>
      <c r="MDD8" s="154"/>
      <c r="MDE8" s="154"/>
      <c r="MDF8" s="154"/>
      <c r="MDG8" s="154"/>
      <c r="MDH8" s="154"/>
      <c r="MDI8" s="154"/>
      <c r="MDJ8" s="154"/>
      <c r="MDK8" s="154"/>
      <c r="MDL8" s="154"/>
      <c r="MDM8" s="154"/>
      <c r="MDN8" s="154"/>
      <c r="MDO8" s="154"/>
      <c r="MDP8" s="154"/>
      <c r="MDQ8" s="154"/>
      <c r="MDR8" s="154"/>
      <c r="MDS8" s="154"/>
      <c r="MDT8" s="154"/>
      <c r="MDU8" s="154"/>
      <c r="MDV8" s="154"/>
      <c r="MDW8" s="154"/>
      <c r="MDX8" s="154"/>
      <c r="MDY8" s="154"/>
      <c r="MDZ8" s="154"/>
      <c r="MEA8" s="154"/>
      <c r="MEB8" s="154"/>
      <c r="MEC8" s="154"/>
      <c r="MED8" s="154"/>
      <c r="MEE8" s="154"/>
      <c r="MEF8" s="154"/>
      <c r="MEG8" s="154"/>
      <c r="MEH8" s="154"/>
      <c r="MEI8" s="154"/>
      <c r="MEJ8" s="154"/>
      <c r="MEK8" s="154"/>
      <c r="MEL8" s="154"/>
      <c r="MEM8" s="154"/>
      <c r="MEN8" s="154"/>
      <c r="MEO8" s="154"/>
      <c r="MEP8" s="154"/>
      <c r="MEQ8" s="154"/>
      <c r="MER8" s="154"/>
      <c r="MES8" s="154"/>
      <c r="MET8" s="154"/>
      <c r="MEU8" s="154"/>
      <c r="MEV8" s="154"/>
      <c r="MEW8" s="154"/>
      <c r="MEX8" s="154"/>
      <c r="MEY8" s="154"/>
      <c r="MEZ8" s="154"/>
      <c r="MFA8" s="154"/>
      <c r="MFB8" s="154"/>
      <c r="MFC8" s="154"/>
      <c r="MFD8" s="154"/>
      <c r="MFE8" s="154"/>
      <c r="MFF8" s="154"/>
      <c r="MFG8" s="154"/>
      <c r="MFH8" s="154"/>
      <c r="MFI8" s="154"/>
      <c r="MFJ8" s="154"/>
      <c r="MFK8" s="154"/>
      <c r="MFL8" s="154"/>
      <c r="MFM8" s="154"/>
      <c r="MFN8" s="154"/>
      <c r="MFO8" s="154"/>
      <c r="MFP8" s="154"/>
      <c r="MFQ8" s="154"/>
      <c r="MFR8" s="154"/>
      <c r="MFS8" s="154"/>
      <c r="MFT8" s="154"/>
      <c r="MFU8" s="154"/>
      <c r="MFV8" s="154"/>
      <c r="MFW8" s="154"/>
      <c r="MFX8" s="154"/>
      <c r="MFY8" s="154"/>
      <c r="MFZ8" s="154"/>
      <c r="MGA8" s="154"/>
      <c r="MGB8" s="154"/>
      <c r="MGC8" s="154"/>
      <c r="MGD8" s="154"/>
      <c r="MGE8" s="154"/>
      <c r="MGF8" s="154"/>
      <c r="MGG8" s="154"/>
      <c r="MGH8" s="154"/>
      <c r="MGI8" s="154"/>
      <c r="MGJ8" s="154"/>
      <c r="MGK8" s="154"/>
      <c r="MGL8" s="154"/>
      <c r="MGM8" s="154"/>
      <c r="MGN8" s="154"/>
      <c r="MGO8" s="154"/>
      <c r="MGP8" s="154"/>
      <c r="MGQ8" s="154"/>
      <c r="MGR8" s="154"/>
      <c r="MGS8" s="154"/>
      <c r="MGT8" s="154"/>
      <c r="MGU8" s="154"/>
      <c r="MGV8" s="154"/>
      <c r="MGW8" s="154"/>
      <c r="MGX8" s="154"/>
      <c r="MGY8" s="154"/>
      <c r="MGZ8" s="154"/>
      <c r="MHA8" s="154"/>
      <c r="MHB8" s="154"/>
      <c r="MHC8" s="154"/>
      <c r="MHD8" s="154"/>
      <c r="MHE8" s="154"/>
      <c r="MHF8" s="154"/>
      <c r="MHG8" s="154"/>
      <c r="MHH8" s="154"/>
      <c r="MHI8" s="154"/>
      <c r="MHJ8" s="154"/>
      <c r="MHK8" s="154"/>
      <c r="MHL8" s="154"/>
      <c r="MHM8" s="154"/>
      <c r="MHN8" s="154"/>
      <c r="MHO8" s="154"/>
      <c r="MHP8" s="154"/>
      <c r="MHQ8" s="154"/>
      <c r="MHR8" s="154"/>
      <c r="MHS8" s="154"/>
      <c r="MHT8" s="154"/>
      <c r="MHU8" s="154"/>
      <c r="MHV8" s="154"/>
      <c r="MHW8" s="154"/>
      <c r="MHX8" s="154"/>
      <c r="MHY8" s="154"/>
      <c r="MHZ8" s="154"/>
      <c r="MIA8" s="154"/>
      <c r="MIB8" s="154"/>
      <c r="MIC8" s="154"/>
      <c r="MID8" s="154"/>
      <c r="MIE8" s="154"/>
      <c r="MIF8" s="154"/>
      <c r="MIG8" s="154"/>
      <c r="MIH8" s="154"/>
      <c r="MII8" s="154"/>
      <c r="MIJ8" s="154"/>
      <c r="MIK8" s="154"/>
      <c r="MIL8" s="154"/>
      <c r="MIM8" s="154"/>
      <c r="MIN8" s="154"/>
      <c r="MIO8" s="154"/>
      <c r="MIP8" s="154"/>
      <c r="MIQ8" s="154"/>
      <c r="MIR8" s="154"/>
      <c r="MIS8" s="154"/>
      <c r="MIT8" s="154"/>
      <c r="MIU8" s="154"/>
      <c r="MIV8" s="154"/>
      <c r="MIW8" s="154"/>
      <c r="MIX8" s="154"/>
      <c r="MIY8" s="154"/>
      <c r="MIZ8" s="154"/>
      <c r="MJA8" s="154"/>
      <c r="MJB8" s="154"/>
      <c r="MJC8" s="154"/>
      <c r="MJD8" s="154"/>
      <c r="MJE8" s="154"/>
      <c r="MJF8" s="154"/>
      <c r="MJG8" s="154"/>
      <c r="MJH8" s="154"/>
      <c r="MJI8" s="154"/>
      <c r="MJJ8" s="154"/>
      <c r="MJK8" s="154"/>
      <c r="MJL8" s="154"/>
      <c r="MJM8" s="154"/>
      <c r="MJN8" s="154"/>
      <c r="MJO8" s="154"/>
      <c r="MJP8" s="154"/>
      <c r="MJQ8" s="154"/>
      <c r="MJR8" s="154"/>
      <c r="MJS8" s="154"/>
      <c r="MJT8" s="154"/>
      <c r="MJU8" s="154"/>
      <c r="MJV8" s="154"/>
      <c r="MJW8" s="154"/>
      <c r="MJX8" s="154"/>
      <c r="MJY8" s="154"/>
      <c r="MJZ8" s="154"/>
      <c r="MKA8" s="154"/>
      <c r="MKB8" s="154"/>
      <c r="MKC8" s="154"/>
      <c r="MKD8" s="154"/>
      <c r="MKE8" s="154"/>
      <c r="MKF8" s="154"/>
      <c r="MKG8" s="154"/>
      <c r="MKH8" s="154"/>
      <c r="MKI8" s="154"/>
      <c r="MKJ8" s="154"/>
      <c r="MKK8" s="154"/>
      <c r="MKL8" s="154"/>
      <c r="MKM8" s="154"/>
      <c r="MKN8" s="154"/>
      <c r="MKO8" s="154"/>
      <c r="MKP8" s="154"/>
      <c r="MKQ8" s="154"/>
      <c r="MKR8" s="154"/>
      <c r="MKS8" s="154"/>
      <c r="MKT8" s="154"/>
      <c r="MKU8" s="154"/>
      <c r="MKV8" s="154"/>
      <c r="MKW8" s="154"/>
      <c r="MKX8" s="154"/>
      <c r="MKY8" s="154"/>
      <c r="MKZ8" s="154"/>
      <c r="MLA8" s="154"/>
      <c r="MLB8" s="154"/>
      <c r="MLC8" s="154"/>
      <c r="MLD8" s="154"/>
      <c r="MLE8" s="154"/>
      <c r="MLF8" s="154"/>
      <c r="MLG8" s="154"/>
      <c r="MLH8" s="154"/>
      <c r="MLI8" s="154"/>
      <c r="MLJ8" s="154"/>
      <c r="MLK8" s="154"/>
      <c r="MLL8" s="154"/>
      <c r="MLM8" s="154"/>
      <c r="MLN8" s="154"/>
      <c r="MLO8" s="154"/>
      <c r="MLP8" s="154"/>
      <c r="MLQ8" s="154"/>
      <c r="MLR8" s="154"/>
      <c r="MLS8" s="154"/>
      <c r="MLT8" s="154"/>
      <c r="MLU8" s="154"/>
      <c r="MLV8" s="154"/>
      <c r="MLW8" s="154"/>
      <c r="MLX8" s="154"/>
      <c r="MLY8" s="154"/>
      <c r="MLZ8" s="154"/>
      <c r="MMA8" s="154"/>
      <c r="MMB8" s="154"/>
      <c r="MMC8" s="154"/>
      <c r="MMD8" s="154"/>
      <c r="MME8" s="154"/>
      <c r="MMF8" s="154"/>
      <c r="MMG8" s="154"/>
      <c r="MMH8" s="154"/>
      <c r="MMI8" s="154"/>
      <c r="MMJ8" s="154"/>
      <c r="MMK8" s="154"/>
      <c r="MML8" s="154"/>
      <c r="MMM8" s="154"/>
      <c r="MMN8" s="154"/>
      <c r="MMO8" s="154"/>
      <c r="MMP8" s="154"/>
      <c r="MMQ8" s="154"/>
      <c r="MMR8" s="154"/>
      <c r="MMS8" s="154"/>
      <c r="MMT8" s="154"/>
      <c r="MMU8" s="154"/>
      <c r="MMV8" s="154"/>
      <c r="MMW8" s="154"/>
      <c r="MMX8" s="154"/>
      <c r="MMY8" s="154"/>
      <c r="MMZ8" s="154"/>
      <c r="MNA8" s="154"/>
      <c r="MNB8" s="154"/>
      <c r="MNC8" s="154"/>
      <c r="MND8" s="154"/>
      <c r="MNE8" s="154"/>
      <c r="MNF8" s="154"/>
      <c r="MNG8" s="154"/>
      <c r="MNH8" s="154"/>
      <c r="MNI8" s="154"/>
      <c r="MNJ8" s="154"/>
      <c r="MNK8" s="154"/>
      <c r="MNL8" s="154"/>
      <c r="MNM8" s="154"/>
      <c r="MNN8" s="154"/>
      <c r="MNO8" s="154"/>
      <c r="MNP8" s="154"/>
      <c r="MNQ8" s="154"/>
      <c r="MNR8" s="154"/>
      <c r="MNS8" s="154"/>
      <c r="MNT8" s="154"/>
      <c r="MNU8" s="154"/>
      <c r="MNV8" s="154"/>
      <c r="MNW8" s="154"/>
      <c r="MNX8" s="154"/>
      <c r="MNY8" s="154"/>
      <c r="MNZ8" s="154"/>
      <c r="MOA8" s="154"/>
      <c r="MOB8" s="154"/>
      <c r="MOC8" s="154"/>
      <c r="MOD8" s="154"/>
      <c r="MOE8" s="154"/>
      <c r="MOF8" s="154"/>
      <c r="MOG8" s="154"/>
      <c r="MOH8" s="154"/>
      <c r="MOI8" s="154"/>
      <c r="MOJ8" s="154"/>
      <c r="MOK8" s="154"/>
      <c r="MOL8" s="154"/>
      <c r="MOM8" s="154"/>
      <c r="MON8" s="154"/>
      <c r="MOO8" s="154"/>
      <c r="MOP8" s="154"/>
      <c r="MOQ8" s="154"/>
      <c r="MOR8" s="154"/>
      <c r="MOS8" s="154"/>
      <c r="MOT8" s="154"/>
      <c r="MOU8" s="154"/>
      <c r="MOV8" s="154"/>
      <c r="MOW8" s="154"/>
      <c r="MOX8" s="154"/>
      <c r="MOY8" s="154"/>
      <c r="MOZ8" s="154"/>
      <c r="MPA8" s="154"/>
      <c r="MPB8" s="154"/>
      <c r="MPC8" s="154"/>
      <c r="MPD8" s="154"/>
      <c r="MPE8" s="154"/>
      <c r="MPF8" s="154"/>
      <c r="MPG8" s="154"/>
      <c r="MPH8" s="154"/>
      <c r="MPI8" s="154"/>
      <c r="MPJ8" s="154"/>
      <c r="MPK8" s="154"/>
      <c r="MPL8" s="154"/>
      <c r="MPM8" s="154"/>
      <c r="MPN8" s="154"/>
      <c r="MPO8" s="154"/>
      <c r="MPP8" s="154"/>
      <c r="MPQ8" s="154"/>
      <c r="MPR8" s="154"/>
      <c r="MPS8" s="154"/>
      <c r="MPT8" s="154"/>
      <c r="MPU8" s="154"/>
      <c r="MPV8" s="154"/>
      <c r="MPW8" s="154"/>
      <c r="MPX8" s="154"/>
      <c r="MPY8" s="154"/>
      <c r="MPZ8" s="154"/>
      <c r="MQA8" s="154"/>
      <c r="MQB8" s="154"/>
      <c r="MQC8" s="154"/>
      <c r="MQD8" s="154"/>
      <c r="MQE8" s="154"/>
      <c r="MQF8" s="154"/>
      <c r="MQG8" s="154"/>
      <c r="MQH8" s="154"/>
      <c r="MQI8" s="154"/>
      <c r="MQJ8" s="154"/>
      <c r="MQK8" s="154"/>
      <c r="MQL8" s="154"/>
      <c r="MQM8" s="154"/>
      <c r="MQN8" s="154"/>
      <c r="MQO8" s="154"/>
      <c r="MQP8" s="154"/>
      <c r="MQQ8" s="154"/>
      <c r="MQR8" s="154"/>
      <c r="MQS8" s="154"/>
      <c r="MQT8" s="154"/>
      <c r="MQU8" s="154"/>
      <c r="MQV8" s="154"/>
      <c r="MQW8" s="154"/>
      <c r="MQX8" s="154"/>
      <c r="MQY8" s="154"/>
      <c r="MQZ8" s="154"/>
      <c r="MRA8" s="154"/>
      <c r="MRB8" s="154"/>
      <c r="MRC8" s="154"/>
      <c r="MRD8" s="154"/>
      <c r="MRE8" s="154"/>
      <c r="MRF8" s="154"/>
      <c r="MRG8" s="154"/>
      <c r="MRH8" s="154"/>
      <c r="MRI8" s="154"/>
      <c r="MRJ8" s="154"/>
      <c r="MRK8" s="154"/>
      <c r="MRL8" s="154"/>
      <c r="MRM8" s="154"/>
      <c r="MRN8" s="154"/>
      <c r="MRO8" s="154"/>
      <c r="MRP8" s="154"/>
      <c r="MRQ8" s="154"/>
      <c r="MRR8" s="154"/>
      <c r="MRS8" s="154"/>
      <c r="MRT8" s="154"/>
      <c r="MRU8" s="154"/>
      <c r="MRV8" s="154"/>
      <c r="MRW8" s="154"/>
      <c r="MRX8" s="154"/>
      <c r="MRY8" s="154"/>
      <c r="MRZ8" s="154"/>
      <c r="MSA8" s="154"/>
      <c r="MSB8" s="154"/>
      <c r="MSC8" s="154"/>
      <c r="MSD8" s="154"/>
      <c r="MSE8" s="154"/>
      <c r="MSF8" s="154"/>
      <c r="MSG8" s="154"/>
      <c r="MSH8" s="154"/>
      <c r="MSI8" s="154"/>
      <c r="MSJ8" s="154"/>
      <c r="MSK8" s="154"/>
      <c r="MSL8" s="154"/>
      <c r="MSM8" s="154"/>
      <c r="MSN8" s="154"/>
      <c r="MSO8" s="154"/>
      <c r="MSP8" s="154"/>
      <c r="MSQ8" s="154"/>
      <c r="MSR8" s="154"/>
      <c r="MSS8" s="154"/>
      <c r="MST8" s="154"/>
      <c r="MSU8" s="154"/>
      <c r="MSV8" s="154"/>
      <c r="MSW8" s="154"/>
      <c r="MSX8" s="154"/>
      <c r="MSY8" s="154"/>
      <c r="MSZ8" s="154"/>
      <c r="MTA8" s="154"/>
      <c r="MTB8" s="154"/>
      <c r="MTC8" s="154"/>
      <c r="MTD8" s="154"/>
      <c r="MTE8" s="154"/>
      <c r="MTF8" s="154"/>
      <c r="MTG8" s="154"/>
      <c r="MTH8" s="154"/>
      <c r="MTI8" s="154"/>
      <c r="MTJ8" s="154"/>
      <c r="MTK8" s="154"/>
      <c r="MTL8" s="154"/>
      <c r="MTM8" s="154"/>
      <c r="MTN8" s="154"/>
      <c r="MTO8" s="154"/>
      <c r="MTP8" s="154"/>
      <c r="MTQ8" s="154"/>
      <c r="MTR8" s="154"/>
      <c r="MTS8" s="154"/>
      <c r="MTT8" s="154"/>
      <c r="MTU8" s="154"/>
      <c r="MTV8" s="154"/>
      <c r="MTW8" s="154"/>
      <c r="MTX8" s="154"/>
      <c r="MTY8" s="154"/>
      <c r="MTZ8" s="154"/>
      <c r="MUA8" s="154"/>
      <c r="MUB8" s="154"/>
      <c r="MUC8" s="154"/>
      <c r="MUD8" s="154"/>
      <c r="MUE8" s="154"/>
      <c r="MUF8" s="154"/>
      <c r="MUG8" s="154"/>
      <c r="MUH8" s="154"/>
      <c r="MUI8" s="154"/>
      <c r="MUJ8" s="154"/>
      <c r="MUK8" s="154"/>
      <c r="MUL8" s="154"/>
      <c r="MUM8" s="154"/>
      <c r="MUN8" s="154"/>
      <c r="MUO8" s="154"/>
      <c r="MUP8" s="154"/>
      <c r="MUQ8" s="154"/>
      <c r="MUR8" s="154"/>
      <c r="MUS8" s="154"/>
      <c r="MUT8" s="154"/>
      <c r="MUU8" s="154"/>
      <c r="MUV8" s="154"/>
      <c r="MUW8" s="154"/>
      <c r="MUX8" s="154"/>
      <c r="MUY8" s="154"/>
      <c r="MUZ8" s="154"/>
      <c r="MVA8" s="154"/>
      <c r="MVB8" s="154"/>
      <c r="MVC8" s="154"/>
      <c r="MVD8" s="154"/>
      <c r="MVE8" s="154"/>
      <c r="MVF8" s="154"/>
      <c r="MVG8" s="154"/>
      <c r="MVH8" s="154"/>
      <c r="MVI8" s="154"/>
      <c r="MVJ8" s="154"/>
      <c r="MVK8" s="154"/>
      <c r="MVL8" s="154"/>
      <c r="MVM8" s="154"/>
      <c r="MVN8" s="154"/>
      <c r="MVO8" s="154"/>
      <c r="MVP8" s="154"/>
      <c r="MVQ8" s="154"/>
      <c r="MVR8" s="154"/>
      <c r="MVS8" s="154"/>
      <c r="MVT8" s="154"/>
      <c r="MVU8" s="154"/>
      <c r="MVV8" s="154"/>
      <c r="MVW8" s="154"/>
      <c r="MVX8" s="154"/>
      <c r="MVY8" s="154"/>
      <c r="MVZ8" s="154"/>
      <c r="MWA8" s="154"/>
      <c r="MWB8" s="154"/>
      <c r="MWC8" s="154"/>
      <c r="MWD8" s="154"/>
      <c r="MWE8" s="154"/>
      <c r="MWF8" s="154"/>
      <c r="MWG8" s="154"/>
      <c r="MWH8" s="154"/>
      <c r="MWI8" s="154"/>
      <c r="MWJ8" s="154"/>
      <c r="MWK8" s="154"/>
      <c r="MWL8" s="154"/>
      <c r="MWM8" s="154"/>
      <c r="MWN8" s="154"/>
      <c r="MWO8" s="154"/>
      <c r="MWP8" s="154"/>
      <c r="MWQ8" s="154"/>
      <c r="MWR8" s="154"/>
      <c r="MWS8" s="154"/>
      <c r="MWT8" s="154"/>
      <c r="MWU8" s="154"/>
      <c r="MWV8" s="154"/>
      <c r="MWW8" s="154"/>
      <c r="MWX8" s="154"/>
      <c r="MWY8" s="154"/>
      <c r="MWZ8" s="154"/>
      <c r="MXA8" s="154"/>
      <c r="MXB8" s="154"/>
      <c r="MXC8" s="154"/>
      <c r="MXD8" s="154"/>
      <c r="MXE8" s="154"/>
      <c r="MXF8" s="154"/>
      <c r="MXG8" s="154"/>
      <c r="MXH8" s="154"/>
      <c r="MXI8" s="154"/>
      <c r="MXJ8" s="154"/>
      <c r="MXK8" s="154"/>
      <c r="MXL8" s="154"/>
      <c r="MXM8" s="154"/>
      <c r="MXN8" s="154"/>
      <c r="MXO8" s="154"/>
      <c r="MXP8" s="154"/>
      <c r="MXQ8" s="154"/>
      <c r="MXR8" s="154"/>
      <c r="MXS8" s="154"/>
      <c r="MXT8" s="154"/>
      <c r="MXU8" s="154"/>
      <c r="MXV8" s="154"/>
      <c r="MXW8" s="154"/>
      <c r="MXX8" s="154"/>
      <c r="MXY8" s="154"/>
      <c r="MXZ8" s="154"/>
      <c r="MYA8" s="154"/>
      <c r="MYB8" s="154"/>
      <c r="MYC8" s="154"/>
      <c r="MYD8" s="154"/>
      <c r="MYE8" s="154"/>
      <c r="MYF8" s="154"/>
      <c r="MYG8" s="154"/>
      <c r="MYH8" s="154"/>
      <c r="MYI8" s="154"/>
      <c r="MYJ8" s="154"/>
      <c r="MYK8" s="154"/>
      <c r="MYL8" s="154"/>
      <c r="MYM8" s="154"/>
      <c r="MYN8" s="154"/>
      <c r="MYO8" s="154"/>
      <c r="MYP8" s="154"/>
      <c r="MYQ8" s="154"/>
      <c r="MYR8" s="154"/>
      <c r="MYS8" s="154"/>
      <c r="MYT8" s="154"/>
      <c r="MYU8" s="154"/>
      <c r="MYV8" s="154"/>
      <c r="MYW8" s="154"/>
      <c r="MYX8" s="154"/>
      <c r="MYY8" s="154"/>
      <c r="MYZ8" s="154"/>
      <c r="MZA8" s="154"/>
      <c r="MZB8" s="154"/>
      <c r="MZC8" s="154"/>
      <c r="MZD8" s="154"/>
      <c r="MZE8" s="154"/>
      <c r="MZF8" s="154"/>
      <c r="MZG8" s="154"/>
      <c r="MZH8" s="154"/>
      <c r="MZI8" s="154"/>
      <c r="MZJ8" s="154"/>
      <c r="MZK8" s="154"/>
      <c r="MZL8" s="154"/>
      <c r="MZM8" s="154"/>
      <c r="MZN8" s="154"/>
      <c r="MZO8" s="154"/>
      <c r="MZP8" s="154"/>
      <c r="MZQ8" s="154"/>
      <c r="MZR8" s="154"/>
      <c r="MZS8" s="154"/>
      <c r="MZT8" s="154"/>
      <c r="MZU8" s="154"/>
      <c r="MZV8" s="154"/>
      <c r="MZW8" s="154"/>
      <c r="MZX8" s="154"/>
      <c r="MZY8" s="154"/>
      <c r="MZZ8" s="154"/>
      <c r="NAA8" s="154"/>
      <c r="NAB8" s="154"/>
      <c r="NAC8" s="154"/>
      <c r="NAD8" s="154"/>
      <c r="NAE8" s="154"/>
      <c r="NAF8" s="154"/>
      <c r="NAG8" s="154"/>
      <c r="NAH8" s="154"/>
      <c r="NAI8" s="154"/>
      <c r="NAJ8" s="154"/>
      <c r="NAK8" s="154"/>
      <c r="NAL8" s="154"/>
      <c r="NAM8" s="154"/>
      <c r="NAN8" s="154"/>
      <c r="NAO8" s="154"/>
      <c r="NAP8" s="154"/>
      <c r="NAQ8" s="154"/>
      <c r="NAR8" s="154"/>
      <c r="NAS8" s="154"/>
      <c r="NAT8" s="154"/>
      <c r="NAU8" s="154"/>
      <c r="NAV8" s="154"/>
      <c r="NAW8" s="154"/>
      <c r="NAX8" s="154"/>
      <c r="NAY8" s="154"/>
      <c r="NAZ8" s="154"/>
      <c r="NBA8" s="154"/>
      <c r="NBB8" s="154"/>
      <c r="NBC8" s="154"/>
      <c r="NBD8" s="154"/>
      <c r="NBE8" s="154"/>
      <c r="NBF8" s="154"/>
      <c r="NBG8" s="154"/>
      <c r="NBH8" s="154"/>
      <c r="NBI8" s="154"/>
      <c r="NBJ8" s="154"/>
      <c r="NBK8" s="154"/>
      <c r="NBL8" s="154"/>
      <c r="NBM8" s="154"/>
      <c r="NBN8" s="154"/>
      <c r="NBO8" s="154"/>
      <c r="NBP8" s="154"/>
      <c r="NBQ8" s="154"/>
      <c r="NBR8" s="154"/>
      <c r="NBS8" s="154"/>
      <c r="NBT8" s="154"/>
      <c r="NBU8" s="154"/>
      <c r="NBV8" s="154"/>
      <c r="NBW8" s="154"/>
      <c r="NBX8" s="154"/>
      <c r="NBY8" s="154"/>
      <c r="NBZ8" s="154"/>
      <c r="NCA8" s="154"/>
      <c r="NCB8" s="154"/>
      <c r="NCC8" s="154"/>
      <c r="NCD8" s="154"/>
      <c r="NCE8" s="154"/>
      <c r="NCF8" s="154"/>
      <c r="NCG8" s="154"/>
      <c r="NCH8" s="154"/>
      <c r="NCI8" s="154"/>
      <c r="NCJ8" s="154"/>
      <c r="NCK8" s="154"/>
      <c r="NCL8" s="154"/>
      <c r="NCM8" s="154"/>
      <c r="NCN8" s="154"/>
      <c r="NCO8" s="154"/>
      <c r="NCP8" s="154"/>
      <c r="NCQ8" s="154"/>
      <c r="NCR8" s="154"/>
      <c r="NCS8" s="154"/>
      <c r="NCT8" s="154"/>
      <c r="NCU8" s="154"/>
      <c r="NCV8" s="154"/>
      <c r="NCW8" s="154"/>
      <c r="NCX8" s="154"/>
      <c r="NCY8" s="154"/>
      <c r="NCZ8" s="154"/>
      <c r="NDA8" s="154"/>
      <c r="NDB8" s="154"/>
      <c r="NDC8" s="154"/>
      <c r="NDD8" s="154"/>
      <c r="NDE8" s="154"/>
      <c r="NDF8" s="154"/>
      <c r="NDG8" s="154"/>
      <c r="NDH8" s="154"/>
      <c r="NDI8" s="154"/>
      <c r="NDJ8" s="154"/>
      <c r="NDK8" s="154"/>
      <c r="NDL8" s="154"/>
      <c r="NDM8" s="154"/>
      <c r="NDN8" s="154"/>
      <c r="NDO8" s="154"/>
      <c r="NDP8" s="154"/>
      <c r="NDQ8" s="154"/>
      <c r="NDR8" s="154"/>
      <c r="NDS8" s="154"/>
      <c r="NDT8" s="154"/>
      <c r="NDU8" s="154"/>
      <c r="NDV8" s="154"/>
      <c r="NDW8" s="154"/>
      <c r="NDX8" s="154"/>
      <c r="NDY8" s="154"/>
      <c r="NDZ8" s="154"/>
      <c r="NEA8" s="154"/>
      <c r="NEB8" s="154"/>
      <c r="NEC8" s="154"/>
      <c r="NED8" s="154"/>
      <c r="NEE8" s="154"/>
      <c r="NEF8" s="154"/>
      <c r="NEG8" s="154"/>
      <c r="NEH8" s="154"/>
      <c r="NEI8" s="154"/>
      <c r="NEJ8" s="154"/>
      <c r="NEK8" s="154"/>
      <c r="NEL8" s="154"/>
      <c r="NEM8" s="154"/>
      <c r="NEN8" s="154"/>
      <c r="NEO8" s="154"/>
      <c r="NEP8" s="154"/>
      <c r="NEQ8" s="154"/>
      <c r="NER8" s="154"/>
      <c r="NES8" s="154"/>
      <c r="NET8" s="154"/>
      <c r="NEU8" s="154"/>
      <c r="NEV8" s="154"/>
      <c r="NEW8" s="154"/>
      <c r="NEX8" s="154"/>
      <c r="NEY8" s="154"/>
      <c r="NEZ8" s="154"/>
      <c r="NFA8" s="154"/>
      <c r="NFB8" s="154"/>
      <c r="NFC8" s="154"/>
      <c r="NFD8" s="154"/>
      <c r="NFE8" s="154"/>
      <c r="NFF8" s="154"/>
      <c r="NFG8" s="154"/>
      <c r="NFH8" s="154"/>
      <c r="NFI8" s="154"/>
      <c r="NFJ8" s="154"/>
      <c r="NFK8" s="154"/>
      <c r="NFL8" s="154"/>
      <c r="NFM8" s="154"/>
      <c r="NFN8" s="154"/>
      <c r="NFO8" s="154"/>
      <c r="NFP8" s="154"/>
      <c r="NFQ8" s="154"/>
      <c r="NFR8" s="154"/>
      <c r="NFS8" s="154"/>
      <c r="NFT8" s="154"/>
      <c r="NFU8" s="154"/>
      <c r="NFV8" s="154"/>
      <c r="NFW8" s="154"/>
      <c r="NFX8" s="154"/>
      <c r="NFY8" s="154"/>
      <c r="NFZ8" s="154"/>
      <c r="NGA8" s="154"/>
      <c r="NGB8" s="154"/>
      <c r="NGC8" s="154"/>
      <c r="NGD8" s="154"/>
      <c r="NGE8" s="154"/>
      <c r="NGF8" s="154"/>
      <c r="NGG8" s="154"/>
      <c r="NGH8" s="154"/>
      <c r="NGI8" s="154"/>
      <c r="NGJ8" s="154"/>
      <c r="NGK8" s="154"/>
      <c r="NGL8" s="154"/>
      <c r="NGM8" s="154"/>
      <c r="NGN8" s="154"/>
      <c r="NGO8" s="154"/>
      <c r="NGP8" s="154"/>
      <c r="NGQ8" s="154"/>
      <c r="NGR8" s="154"/>
      <c r="NGS8" s="154"/>
      <c r="NGT8" s="154"/>
      <c r="NGU8" s="154"/>
      <c r="NGV8" s="154"/>
      <c r="NGW8" s="154"/>
      <c r="NGX8" s="154"/>
      <c r="NGY8" s="154"/>
      <c r="NGZ8" s="154"/>
      <c r="NHA8" s="154"/>
      <c r="NHB8" s="154"/>
      <c r="NHC8" s="154"/>
      <c r="NHD8" s="154"/>
      <c r="NHE8" s="154"/>
      <c r="NHF8" s="154"/>
      <c r="NHG8" s="154"/>
      <c r="NHH8" s="154"/>
      <c r="NHI8" s="154"/>
      <c r="NHJ8" s="154"/>
      <c r="NHK8" s="154"/>
      <c r="NHL8" s="154"/>
      <c r="NHM8" s="154"/>
      <c r="NHN8" s="154"/>
      <c r="NHO8" s="154"/>
      <c r="NHP8" s="154"/>
      <c r="NHQ8" s="154"/>
      <c r="NHR8" s="154"/>
      <c r="NHS8" s="154"/>
      <c r="NHT8" s="154"/>
      <c r="NHU8" s="154"/>
      <c r="NHV8" s="154"/>
      <c r="NHW8" s="154"/>
      <c r="NHX8" s="154"/>
      <c r="NHY8" s="154"/>
      <c r="NHZ8" s="154"/>
      <c r="NIA8" s="154"/>
      <c r="NIB8" s="154"/>
      <c r="NIC8" s="154"/>
      <c r="NID8" s="154"/>
      <c r="NIE8" s="154"/>
      <c r="NIF8" s="154"/>
      <c r="NIG8" s="154"/>
      <c r="NIH8" s="154"/>
      <c r="NII8" s="154"/>
      <c r="NIJ8" s="154"/>
      <c r="NIK8" s="154"/>
      <c r="NIL8" s="154"/>
      <c r="NIM8" s="154"/>
      <c r="NIN8" s="154"/>
      <c r="NIO8" s="154"/>
      <c r="NIP8" s="154"/>
      <c r="NIQ8" s="154"/>
      <c r="NIR8" s="154"/>
      <c r="NIS8" s="154"/>
      <c r="NIT8" s="154"/>
      <c r="NIU8" s="154"/>
      <c r="NIV8" s="154"/>
      <c r="NIW8" s="154"/>
      <c r="NIX8" s="154"/>
      <c r="NIY8" s="154"/>
      <c r="NIZ8" s="154"/>
      <c r="NJA8" s="154"/>
      <c r="NJB8" s="154"/>
      <c r="NJC8" s="154"/>
      <c r="NJD8" s="154"/>
      <c r="NJE8" s="154"/>
      <c r="NJF8" s="154"/>
      <c r="NJG8" s="154"/>
      <c r="NJH8" s="154"/>
      <c r="NJI8" s="154"/>
      <c r="NJJ8" s="154"/>
      <c r="NJK8" s="154"/>
      <c r="NJL8" s="154"/>
      <c r="NJM8" s="154"/>
      <c r="NJN8" s="154"/>
      <c r="NJO8" s="154"/>
      <c r="NJP8" s="154"/>
      <c r="NJQ8" s="154"/>
      <c r="NJR8" s="154"/>
      <c r="NJS8" s="154"/>
      <c r="NJT8" s="154"/>
      <c r="NJU8" s="154"/>
      <c r="NJV8" s="154"/>
      <c r="NJW8" s="154"/>
      <c r="NJX8" s="154"/>
      <c r="NJY8" s="154"/>
      <c r="NJZ8" s="154"/>
      <c r="NKA8" s="154"/>
      <c r="NKB8" s="154"/>
      <c r="NKC8" s="154"/>
      <c r="NKD8" s="154"/>
      <c r="NKE8" s="154"/>
      <c r="NKF8" s="154"/>
      <c r="NKG8" s="154"/>
      <c r="NKH8" s="154"/>
      <c r="NKI8" s="154"/>
      <c r="NKJ8" s="154"/>
      <c r="NKK8" s="154"/>
      <c r="NKL8" s="154"/>
      <c r="NKM8" s="154"/>
      <c r="NKN8" s="154"/>
      <c r="NKO8" s="154"/>
      <c r="NKP8" s="154"/>
      <c r="NKQ8" s="154"/>
      <c r="NKR8" s="154"/>
      <c r="NKS8" s="154"/>
      <c r="NKT8" s="154"/>
      <c r="NKU8" s="154"/>
      <c r="NKV8" s="154"/>
      <c r="NKW8" s="154"/>
      <c r="NKX8" s="154"/>
      <c r="NKY8" s="154"/>
      <c r="NKZ8" s="154"/>
      <c r="NLA8" s="154"/>
      <c r="NLB8" s="154"/>
      <c r="NLC8" s="154"/>
      <c r="NLD8" s="154"/>
      <c r="NLE8" s="154"/>
      <c r="NLF8" s="154"/>
      <c r="NLG8" s="154"/>
      <c r="NLH8" s="154"/>
      <c r="NLI8" s="154"/>
      <c r="NLJ8" s="154"/>
      <c r="NLK8" s="154"/>
      <c r="NLL8" s="154"/>
      <c r="NLM8" s="154"/>
      <c r="NLN8" s="154"/>
      <c r="NLO8" s="154"/>
      <c r="NLP8" s="154"/>
      <c r="NLQ8" s="154"/>
      <c r="NLR8" s="154"/>
      <c r="NLS8" s="154"/>
      <c r="NLT8" s="154"/>
      <c r="NLU8" s="154"/>
      <c r="NLV8" s="154"/>
      <c r="NLW8" s="154"/>
      <c r="NLX8" s="154"/>
      <c r="NLY8" s="154"/>
      <c r="NLZ8" s="154"/>
      <c r="NMA8" s="154"/>
      <c r="NMB8" s="154"/>
      <c r="NMC8" s="154"/>
      <c r="NMD8" s="154"/>
      <c r="NME8" s="154"/>
      <c r="NMF8" s="154"/>
      <c r="NMG8" s="154"/>
      <c r="NMH8" s="154"/>
      <c r="NMI8" s="154"/>
      <c r="NMJ8" s="154"/>
      <c r="NMK8" s="154"/>
      <c r="NML8" s="154"/>
      <c r="NMM8" s="154"/>
      <c r="NMN8" s="154"/>
      <c r="NMO8" s="154"/>
      <c r="NMP8" s="154"/>
      <c r="NMQ8" s="154"/>
      <c r="NMR8" s="154"/>
      <c r="NMS8" s="154"/>
      <c r="NMT8" s="154"/>
      <c r="NMU8" s="154"/>
      <c r="NMV8" s="154"/>
      <c r="NMW8" s="154"/>
      <c r="NMX8" s="154"/>
      <c r="NMY8" s="154"/>
      <c r="NMZ8" s="154"/>
      <c r="NNA8" s="154"/>
      <c r="NNB8" s="154"/>
      <c r="NNC8" s="154"/>
      <c r="NND8" s="154"/>
      <c r="NNE8" s="154"/>
      <c r="NNF8" s="154"/>
      <c r="NNG8" s="154"/>
      <c r="NNH8" s="154"/>
      <c r="NNI8" s="154"/>
      <c r="NNJ8" s="154"/>
      <c r="NNK8" s="154"/>
      <c r="NNL8" s="154"/>
      <c r="NNM8" s="154"/>
      <c r="NNN8" s="154"/>
      <c r="NNO8" s="154"/>
      <c r="NNP8" s="154"/>
      <c r="NNQ8" s="154"/>
      <c r="NNR8" s="154"/>
      <c r="NNS8" s="154"/>
      <c r="NNT8" s="154"/>
      <c r="NNU8" s="154"/>
      <c r="NNV8" s="154"/>
      <c r="NNW8" s="154"/>
      <c r="NNX8" s="154"/>
      <c r="NNY8" s="154"/>
      <c r="NNZ8" s="154"/>
      <c r="NOA8" s="154"/>
      <c r="NOB8" s="154"/>
      <c r="NOC8" s="154"/>
      <c r="NOD8" s="154"/>
      <c r="NOE8" s="154"/>
      <c r="NOF8" s="154"/>
      <c r="NOG8" s="154"/>
      <c r="NOH8" s="154"/>
      <c r="NOI8" s="154"/>
      <c r="NOJ8" s="154"/>
      <c r="NOK8" s="154"/>
      <c r="NOL8" s="154"/>
      <c r="NOM8" s="154"/>
      <c r="NON8" s="154"/>
      <c r="NOO8" s="154"/>
      <c r="NOP8" s="154"/>
      <c r="NOQ8" s="154"/>
      <c r="NOR8" s="154"/>
      <c r="NOS8" s="154"/>
      <c r="NOT8" s="154"/>
      <c r="NOU8" s="154"/>
      <c r="NOV8" s="154"/>
      <c r="NOW8" s="154"/>
      <c r="NOX8" s="154"/>
      <c r="NOY8" s="154"/>
      <c r="NOZ8" s="154"/>
      <c r="NPA8" s="154"/>
      <c r="NPB8" s="154"/>
      <c r="NPC8" s="154"/>
      <c r="NPD8" s="154"/>
      <c r="NPE8" s="154"/>
      <c r="NPF8" s="154"/>
      <c r="NPG8" s="154"/>
      <c r="NPH8" s="154"/>
      <c r="NPI8" s="154"/>
      <c r="NPJ8" s="154"/>
      <c r="NPK8" s="154"/>
      <c r="NPL8" s="154"/>
      <c r="NPM8" s="154"/>
      <c r="NPN8" s="154"/>
      <c r="NPO8" s="154"/>
      <c r="NPP8" s="154"/>
      <c r="NPQ8" s="154"/>
      <c r="NPR8" s="154"/>
      <c r="NPS8" s="154"/>
      <c r="NPT8" s="154"/>
      <c r="NPU8" s="154"/>
      <c r="NPV8" s="154"/>
      <c r="NPW8" s="154"/>
      <c r="NPX8" s="154"/>
      <c r="NPY8" s="154"/>
      <c r="NPZ8" s="154"/>
      <c r="NQA8" s="154"/>
      <c r="NQB8" s="154"/>
      <c r="NQC8" s="154"/>
      <c r="NQD8" s="154"/>
      <c r="NQE8" s="154"/>
      <c r="NQF8" s="154"/>
      <c r="NQG8" s="154"/>
      <c r="NQH8" s="154"/>
      <c r="NQI8" s="154"/>
      <c r="NQJ8" s="154"/>
      <c r="NQK8" s="154"/>
      <c r="NQL8" s="154"/>
      <c r="NQM8" s="154"/>
      <c r="NQN8" s="154"/>
      <c r="NQO8" s="154"/>
      <c r="NQP8" s="154"/>
      <c r="NQQ8" s="154"/>
      <c r="NQR8" s="154"/>
      <c r="NQS8" s="154"/>
      <c r="NQT8" s="154"/>
      <c r="NQU8" s="154"/>
      <c r="NQV8" s="154"/>
      <c r="NQW8" s="154"/>
      <c r="NQX8" s="154"/>
      <c r="NQY8" s="154"/>
      <c r="NQZ8" s="154"/>
      <c r="NRA8" s="154"/>
      <c r="NRB8" s="154"/>
      <c r="NRC8" s="154"/>
      <c r="NRD8" s="154"/>
      <c r="NRE8" s="154"/>
      <c r="NRF8" s="154"/>
      <c r="NRG8" s="154"/>
      <c r="NRH8" s="154"/>
      <c r="NRI8" s="154"/>
      <c r="NRJ8" s="154"/>
      <c r="NRK8" s="154"/>
      <c r="NRL8" s="154"/>
      <c r="NRM8" s="154"/>
      <c r="NRN8" s="154"/>
      <c r="NRO8" s="154"/>
      <c r="NRP8" s="154"/>
      <c r="NRQ8" s="154"/>
      <c r="NRR8" s="154"/>
      <c r="NRS8" s="154"/>
      <c r="NRT8" s="154"/>
      <c r="NRU8" s="154"/>
      <c r="NRV8" s="154"/>
      <c r="NRW8" s="154"/>
      <c r="NRX8" s="154"/>
      <c r="NRY8" s="154"/>
      <c r="NRZ8" s="154"/>
      <c r="NSA8" s="154"/>
      <c r="NSB8" s="154"/>
      <c r="NSC8" s="154"/>
      <c r="NSD8" s="154"/>
      <c r="NSE8" s="154"/>
      <c r="NSF8" s="154"/>
      <c r="NSG8" s="154"/>
      <c r="NSH8" s="154"/>
      <c r="NSI8" s="154"/>
      <c r="NSJ8" s="154"/>
      <c r="NSK8" s="154"/>
      <c r="NSL8" s="154"/>
      <c r="NSM8" s="154"/>
      <c r="NSN8" s="154"/>
      <c r="NSO8" s="154"/>
      <c r="NSP8" s="154"/>
      <c r="NSQ8" s="154"/>
      <c r="NSR8" s="154"/>
      <c r="NSS8" s="154"/>
      <c r="NST8" s="154"/>
      <c r="NSU8" s="154"/>
      <c r="NSV8" s="154"/>
      <c r="NSW8" s="154"/>
      <c r="NSX8" s="154"/>
      <c r="NSY8" s="154"/>
      <c r="NSZ8" s="154"/>
      <c r="NTA8" s="154"/>
      <c r="NTB8" s="154"/>
      <c r="NTC8" s="154"/>
      <c r="NTD8" s="154"/>
      <c r="NTE8" s="154"/>
      <c r="NTF8" s="154"/>
      <c r="NTG8" s="154"/>
      <c r="NTH8" s="154"/>
      <c r="NTI8" s="154"/>
      <c r="NTJ8" s="154"/>
      <c r="NTK8" s="154"/>
      <c r="NTL8" s="154"/>
      <c r="NTM8" s="154"/>
      <c r="NTN8" s="154"/>
      <c r="NTO8" s="154"/>
      <c r="NTP8" s="154"/>
      <c r="NTQ8" s="154"/>
      <c r="NTR8" s="154"/>
      <c r="NTS8" s="154"/>
      <c r="NTT8" s="154"/>
      <c r="NTU8" s="154"/>
      <c r="NTV8" s="154"/>
      <c r="NTW8" s="154"/>
      <c r="NTX8" s="154"/>
      <c r="NTY8" s="154"/>
      <c r="NTZ8" s="154"/>
      <c r="NUA8" s="154"/>
      <c r="NUB8" s="154"/>
      <c r="NUC8" s="154"/>
      <c r="NUD8" s="154"/>
      <c r="NUE8" s="154"/>
      <c r="NUF8" s="154"/>
      <c r="NUG8" s="154"/>
      <c r="NUH8" s="154"/>
      <c r="NUI8" s="154"/>
      <c r="NUJ8" s="154"/>
      <c r="NUK8" s="154"/>
      <c r="NUL8" s="154"/>
      <c r="NUM8" s="154"/>
      <c r="NUN8" s="154"/>
      <c r="NUO8" s="154"/>
      <c r="NUP8" s="154"/>
      <c r="NUQ8" s="154"/>
      <c r="NUR8" s="154"/>
      <c r="NUS8" s="154"/>
      <c r="NUT8" s="154"/>
      <c r="NUU8" s="154"/>
      <c r="NUV8" s="154"/>
      <c r="NUW8" s="154"/>
      <c r="NUX8" s="154"/>
      <c r="NUY8" s="154"/>
      <c r="NUZ8" s="154"/>
      <c r="NVA8" s="154"/>
      <c r="NVB8" s="154"/>
      <c r="NVC8" s="154"/>
      <c r="NVD8" s="154"/>
      <c r="NVE8" s="154"/>
      <c r="NVF8" s="154"/>
      <c r="NVG8" s="154"/>
      <c r="NVH8" s="154"/>
      <c r="NVI8" s="154"/>
      <c r="NVJ8" s="154"/>
      <c r="NVK8" s="154"/>
      <c r="NVL8" s="154"/>
      <c r="NVM8" s="154"/>
      <c r="NVN8" s="154"/>
      <c r="NVO8" s="154"/>
      <c r="NVP8" s="154"/>
      <c r="NVQ8" s="154"/>
      <c r="NVR8" s="154"/>
      <c r="NVS8" s="154"/>
      <c r="NVT8" s="154"/>
      <c r="NVU8" s="154"/>
      <c r="NVV8" s="154"/>
      <c r="NVW8" s="154"/>
      <c r="NVX8" s="154"/>
      <c r="NVY8" s="154"/>
      <c r="NVZ8" s="154"/>
      <c r="NWA8" s="154"/>
      <c r="NWB8" s="154"/>
      <c r="NWC8" s="154"/>
      <c r="NWD8" s="154"/>
      <c r="NWE8" s="154"/>
      <c r="NWF8" s="154"/>
      <c r="NWG8" s="154"/>
      <c r="NWH8" s="154"/>
      <c r="NWI8" s="154"/>
      <c r="NWJ8" s="154"/>
      <c r="NWK8" s="154"/>
      <c r="NWL8" s="154"/>
      <c r="NWM8" s="154"/>
      <c r="NWN8" s="154"/>
      <c r="NWO8" s="154"/>
      <c r="NWP8" s="154"/>
      <c r="NWQ8" s="154"/>
      <c r="NWR8" s="154"/>
      <c r="NWS8" s="154"/>
      <c r="NWT8" s="154"/>
      <c r="NWU8" s="154"/>
      <c r="NWV8" s="154"/>
      <c r="NWW8" s="154"/>
      <c r="NWX8" s="154"/>
      <c r="NWY8" s="154"/>
      <c r="NWZ8" s="154"/>
      <c r="NXA8" s="154"/>
      <c r="NXB8" s="154"/>
      <c r="NXC8" s="154"/>
      <c r="NXD8" s="154"/>
      <c r="NXE8" s="154"/>
      <c r="NXF8" s="154"/>
      <c r="NXG8" s="154"/>
      <c r="NXH8" s="154"/>
      <c r="NXI8" s="154"/>
      <c r="NXJ8" s="154"/>
      <c r="NXK8" s="154"/>
      <c r="NXL8" s="154"/>
      <c r="NXM8" s="154"/>
      <c r="NXN8" s="154"/>
      <c r="NXO8" s="154"/>
      <c r="NXP8" s="154"/>
      <c r="NXQ8" s="154"/>
      <c r="NXR8" s="154"/>
      <c r="NXS8" s="154"/>
      <c r="NXT8" s="154"/>
      <c r="NXU8" s="154"/>
      <c r="NXV8" s="154"/>
      <c r="NXW8" s="154"/>
      <c r="NXX8" s="154"/>
      <c r="NXY8" s="154"/>
      <c r="NXZ8" s="154"/>
      <c r="NYA8" s="154"/>
      <c r="NYB8" s="154"/>
      <c r="NYC8" s="154"/>
      <c r="NYD8" s="154"/>
      <c r="NYE8" s="154"/>
      <c r="NYF8" s="154"/>
      <c r="NYG8" s="154"/>
      <c r="NYH8" s="154"/>
      <c r="NYI8" s="154"/>
      <c r="NYJ8" s="154"/>
      <c r="NYK8" s="154"/>
      <c r="NYL8" s="154"/>
      <c r="NYM8" s="154"/>
      <c r="NYN8" s="154"/>
      <c r="NYO8" s="154"/>
      <c r="NYP8" s="154"/>
      <c r="NYQ8" s="154"/>
      <c r="NYR8" s="154"/>
      <c r="NYS8" s="154"/>
      <c r="NYT8" s="154"/>
      <c r="NYU8" s="154"/>
      <c r="NYV8" s="154"/>
      <c r="NYW8" s="154"/>
      <c r="NYX8" s="154"/>
      <c r="NYY8" s="154"/>
      <c r="NYZ8" s="154"/>
      <c r="NZA8" s="154"/>
      <c r="NZB8" s="154"/>
      <c r="NZC8" s="154"/>
      <c r="NZD8" s="154"/>
      <c r="NZE8" s="154"/>
      <c r="NZF8" s="154"/>
      <c r="NZG8" s="154"/>
      <c r="NZH8" s="154"/>
      <c r="NZI8" s="154"/>
      <c r="NZJ8" s="154"/>
      <c r="NZK8" s="154"/>
      <c r="NZL8" s="154"/>
      <c r="NZM8" s="154"/>
      <c r="NZN8" s="154"/>
      <c r="NZO8" s="154"/>
      <c r="NZP8" s="154"/>
      <c r="NZQ8" s="154"/>
      <c r="NZR8" s="154"/>
      <c r="NZS8" s="154"/>
      <c r="NZT8" s="154"/>
      <c r="NZU8" s="154"/>
      <c r="NZV8" s="154"/>
      <c r="NZW8" s="154"/>
      <c r="NZX8" s="154"/>
      <c r="NZY8" s="154"/>
      <c r="NZZ8" s="154"/>
      <c r="OAA8" s="154"/>
      <c r="OAB8" s="154"/>
      <c r="OAC8" s="154"/>
      <c r="OAD8" s="154"/>
      <c r="OAE8" s="154"/>
      <c r="OAF8" s="154"/>
      <c r="OAG8" s="154"/>
      <c r="OAH8" s="154"/>
      <c r="OAI8" s="154"/>
      <c r="OAJ8" s="154"/>
      <c r="OAK8" s="154"/>
      <c r="OAL8" s="154"/>
      <c r="OAM8" s="154"/>
      <c r="OAN8" s="154"/>
      <c r="OAO8" s="154"/>
      <c r="OAP8" s="154"/>
      <c r="OAQ8" s="154"/>
      <c r="OAR8" s="154"/>
      <c r="OAS8" s="154"/>
      <c r="OAT8" s="154"/>
      <c r="OAU8" s="154"/>
      <c r="OAV8" s="154"/>
      <c r="OAW8" s="154"/>
      <c r="OAX8" s="154"/>
      <c r="OAY8" s="154"/>
      <c r="OAZ8" s="154"/>
      <c r="OBA8" s="154"/>
      <c r="OBB8" s="154"/>
      <c r="OBC8" s="154"/>
      <c r="OBD8" s="154"/>
      <c r="OBE8" s="154"/>
      <c r="OBF8" s="154"/>
      <c r="OBG8" s="154"/>
      <c r="OBH8" s="154"/>
      <c r="OBI8" s="154"/>
      <c r="OBJ8" s="154"/>
      <c r="OBK8" s="154"/>
      <c r="OBL8" s="154"/>
      <c r="OBM8" s="154"/>
      <c r="OBN8" s="154"/>
      <c r="OBO8" s="154"/>
      <c r="OBP8" s="154"/>
      <c r="OBQ8" s="154"/>
      <c r="OBR8" s="154"/>
      <c r="OBS8" s="154"/>
      <c r="OBT8" s="154"/>
      <c r="OBU8" s="154"/>
      <c r="OBV8" s="154"/>
      <c r="OBW8" s="154"/>
      <c r="OBX8" s="154"/>
      <c r="OBY8" s="154"/>
      <c r="OBZ8" s="154"/>
      <c r="OCA8" s="154"/>
      <c r="OCB8" s="154"/>
      <c r="OCC8" s="154"/>
      <c r="OCD8" s="154"/>
      <c r="OCE8" s="154"/>
      <c r="OCF8" s="154"/>
      <c r="OCG8" s="154"/>
      <c r="OCH8" s="154"/>
      <c r="OCI8" s="154"/>
      <c r="OCJ8" s="154"/>
      <c r="OCK8" s="154"/>
      <c r="OCL8" s="154"/>
      <c r="OCM8" s="154"/>
      <c r="OCN8" s="154"/>
      <c r="OCO8" s="154"/>
      <c r="OCP8" s="154"/>
      <c r="OCQ8" s="154"/>
      <c r="OCR8" s="154"/>
      <c r="OCS8" s="154"/>
      <c r="OCT8" s="154"/>
      <c r="OCU8" s="154"/>
      <c r="OCV8" s="154"/>
      <c r="OCW8" s="154"/>
      <c r="OCX8" s="154"/>
      <c r="OCY8" s="154"/>
      <c r="OCZ8" s="154"/>
      <c r="ODA8" s="154"/>
      <c r="ODB8" s="154"/>
      <c r="ODC8" s="154"/>
      <c r="ODD8" s="154"/>
      <c r="ODE8" s="154"/>
      <c r="ODF8" s="154"/>
      <c r="ODG8" s="154"/>
      <c r="ODH8" s="154"/>
      <c r="ODI8" s="154"/>
      <c r="ODJ8" s="154"/>
      <c r="ODK8" s="154"/>
      <c r="ODL8" s="154"/>
      <c r="ODM8" s="154"/>
      <c r="ODN8" s="154"/>
      <c r="ODO8" s="154"/>
      <c r="ODP8" s="154"/>
      <c r="ODQ8" s="154"/>
      <c r="ODR8" s="154"/>
      <c r="ODS8" s="154"/>
      <c r="ODT8" s="154"/>
      <c r="ODU8" s="154"/>
      <c r="ODV8" s="154"/>
      <c r="ODW8" s="154"/>
      <c r="ODX8" s="154"/>
      <c r="ODY8" s="154"/>
      <c r="ODZ8" s="154"/>
      <c r="OEA8" s="154"/>
      <c r="OEB8" s="154"/>
      <c r="OEC8" s="154"/>
      <c r="OED8" s="154"/>
      <c r="OEE8" s="154"/>
      <c r="OEF8" s="154"/>
      <c r="OEG8" s="154"/>
      <c r="OEH8" s="154"/>
      <c r="OEI8" s="154"/>
      <c r="OEJ8" s="154"/>
      <c r="OEK8" s="154"/>
      <c r="OEL8" s="154"/>
      <c r="OEM8" s="154"/>
      <c r="OEN8" s="154"/>
      <c r="OEO8" s="154"/>
      <c r="OEP8" s="154"/>
      <c r="OEQ8" s="154"/>
      <c r="OER8" s="154"/>
      <c r="OES8" s="154"/>
      <c r="OET8" s="154"/>
      <c r="OEU8" s="154"/>
      <c r="OEV8" s="154"/>
      <c r="OEW8" s="154"/>
      <c r="OEX8" s="154"/>
      <c r="OEY8" s="154"/>
      <c r="OEZ8" s="154"/>
      <c r="OFA8" s="154"/>
      <c r="OFB8" s="154"/>
      <c r="OFC8" s="154"/>
      <c r="OFD8" s="154"/>
      <c r="OFE8" s="154"/>
      <c r="OFF8" s="154"/>
      <c r="OFG8" s="154"/>
      <c r="OFH8" s="154"/>
      <c r="OFI8" s="154"/>
      <c r="OFJ8" s="154"/>
      <c r="OFK8" s="154"/>
      <c r="OFL8" s="154"/>
      <c r="OFM8" s="154"/>
      <c r="OFN8" s="154"/>
      <c r="OFO8" s="154"/>
      <c r="OFP8" s="154"/>
      <c r="OFQ8" s="154"/>
      <c r="OFR8" s="154"/>
      <c r="OFS8" s="154"/>
      <c r="OFT8" s="154"/>
      <c r="OFU8" s="154"/>
      <c r="OFV8" s="154"/>
      <c r="OFW8" s="154"/>
      <c r="OFX8" s="154"/>
      <c r="OFY8" s="154"/>
      <c r="OFZ8" s="154"/>
      <c r="OGA8" s="154"/>
      <c r="OGB8" s="154"/>
      <c r="OGC8" s="154"/>
      <c r="OGD8" s="154"/>
      <c r="OGE8" s="154"/>
      <c r="OGF8" s="154"/>
      <c r="OGG8" s="154"/>
      <c r="OGH8" s="154"/>
      <c r="OGI8" s="154"/>
      <c r="OGJ8" s="154"/>
      <c r="OGK8" s="154"/>
      <c r="OGL8" s="154"/>
      <c r="OGM8" s="154"/>
      <c r="OGN8" s="154"/>
      <c r="OGO8" s="154"/>
      <c r="OGP8" s="154"/>
      <c r="OGQ8" s="154"/>
      <c r="OGR8" s="154"/>
      <c r="OGS8" s="154"/>
      <c r="OGT8" s="154"/>
      <c r="OGU8" s="154"/>
      <c r="OGV8" s="154"/>
      <c r="OGW8" s="154"/>
      <c r="OGX8" s="154"/>
      <c r="OGY8" s="154"/>
      <c r="OGZ8" s="154"/>
      <c r="OHA8" s="154"/>
      <c r="OHB8" s="154"/>
      <c r="OHC8" s="154"/>
      <c r="OHD8" s="154"/>
      <c r="OHE8" s="154"/>
      <c r="OHF8" s="154"/>
      <c r="OHG8" s="154"/>
      <c r="OHH8" s="154"/>
      <c r="OHI8" s="154"/>
      <c r="OHJ8" s="154"/>
      <c r="OHK8" s="154"/>
      <c r="OHL8" s="154"/>
      <c r="OHM8" s="154"/>
      <c r="OHN8" s="154"/>
      <c r="OHO8" s="154"/>
      <c r="OHP8" s="154"/>
      <c r="OHQ8" s="154"/>
      <c r="OHR8" s="154"/>
      <c r="OHS8" s="154"/>
      <c r="OHT8" s="154"/>
      <c r="OHU8" s="154"/>
      <c r="OHV8" s="154"/>
      <c r="OHW8" s="154"/>
      <c r="OHX8" s="154"/>
      <c r="OHY8" s="154"/>
      <c r="OHZ8" s="154"/>
      <c r="OIA8" s="154"/>
      <c r="OIB8" s="154"/>
      <c r="OIC8" s="154"/>
      <c r="OID8" s="154"/>
      <c r="OIE8" s="154"/>
      <c r="OIF8" s="154"/>
      <c r="OIG8" s="154"/>
      <c r="OIH8" s="154"/>
      <c r="OII8" s="154"/>
      <c r="OIJ8" s="154"/>
      <c r="OIK8" s="154"/>
      <c r="OIL8" s="154"/>
      <c r="OIM8" s="154"/>
      <c r="OIN8" s="154"/>
      <c r="OIO8" s="154"/>
      <c r="OIP8" s="154"/>
      <c r="OIQ8" s="154"/>
      <c r="OIR8" s="154"/>
      <c r="OIS8" s="154"/>
      <c r="OIT8" s="154"/>
      <c r="OIU8" s="154"/>
      <c r="OIV8" s="154"/>
      <c r="OIW8" s="154"/>
      <c r="OIX8" s="154"/>
      <c r="OIY8" s="154"/>
      <c r="OIZ8" s="154"/>
      <c r="OJA8" s="154"/>
      <c r="OJB8" s="154"/>
      <c r="OJC8" s="154"/>
      <c r="OJD8" s="154"/>
      <c r="OJE8" s="154"/>
      <c r="OJF8" s="154"/>
      <c r="OJG8" s="154"/>
      <c r="OJH8" s="154"/>
      <c r="OJI8" s="154"/>
      <c r="OJJ8" s="154"/>
      <c r="OJK8" s="154"/>
      <c r="OJL8" s="154"/>
      <c r="OJM8" s="154"/>
      <c r="OJN8" s="154"/>
      <c r="OJO8" s="154"/>
      <c r="OJP8" s="154"/>
      <c r="OJQ8" s="154"/>
      <c r="OJR8" s="154"/>
      <c r="OJS8" s="154"/>
      <c r="OJT8" s="154"/>
      <c r="OJU8" s="154"/>
      <c r="OJV8" s="154"/>
      <c r="OJW8" s="154"/>
      <c r="OJX8" s="154"/>
      <c r="OJY8" s="154"/>
      <c r="OJZ8" s="154"/>
      <c r="OKA8" s="154"/>
      <c r="OKB8" s="154"/>
      <c r="OKC8" s="154"/>
      <c r="OKD8" s="154"/>
      <c r="OKE8" s="154"/>
      <c r="OKF8" s="154"/>
      <c r="OKG8" s="154"/>
      <c r="OKH8" s="154"/>
      <c r="OKI8" s="154"/>
      <c r="OKJ8" s="154"/>
      <c r="OKK8" s="154"/>
      <c r="OKL8" s="154"/>
      <c r="OKM8" s="154"/>
      <c r="OKN8" s="154"/>
      <c r="OKO8" s="154"/>
      <c r="OKP8" s="154"/>
      <c r="OKQ8" s="154"/>
      <c r="OKR8" s="154"/>
      <c r="OKS8" s="154"/>
      <c r="OKT8" s="154"/>
      <c r="OKU8" s="154"/>
      <c r="OKV8" s="154"/>
      <c r="OKW8" s="154"/>
      <c r="OKX8" s="154"/>
      <c r="OKY8" s="154"/>
      <c r="OKZ8" s="154"/>
      <c r="OLA8" s="154"/>
      <c r="OLB8" s="154"/>
      <c r="OLC8" s="154"/>
      <c r="OLD8" s="154"/>
      <c r="OLE8" s="154"/>
      <c r="OLF8" s="154"/>
      <c r="OLG8" s="154"/>
      <c r="OLH8" s="154"/>
      <c r="OLI8" s="154"/>
      <c r="OLJ8" s="154"/>
      <c r="OLK8" s="154"/>
      <c r="OLL8" s="154"/>
      <c r="OLM8" s="154"/>
      <c r="OLN8" s="154"/>
      <c r="OLO8" s="154"/>
      <c r="OLP8" s="154"/>
      <c r="OLQ8" s="154"/>
      <c r="OLR8" s="154"/>
      <c r="OLS8" s="154"/>
      <c r="OLT8" s="154"/>
      <c r="OLU8" s="154"/>
      <c r="OLV8" s="154"/>
      <c r="OLW8" s="154"/>
      <c r="OLX8" s="154"/>
      <c r="OLY8" s="154"/>
      <c r="OLZ8" s="154"/>
      <c r="OMA8" s="154"/>
      <c r="OMB8" s="154"/>
      <c r="OMC8" s="154"/>
      <c r="OMD8" s="154"/>
      <c r="OME8" s="154"/>
      <c r="OMF8" s="154"/>
      <c r="OMG8" s="154"/>
      <c r="OMH8" s="154"/>
      <c r="OMI8" s="154"/>
      <c r="OMJ8" s="154"/>
      <c r="OMK8" s="154"/>
      <c r="OML8" s="154"/>
      <c r="OMM8" s="154"/>
      <c r="OMN8" s="154"/>
      <c r="OMO8" s="154"/>
      <c r="OMP8" s="154"/>
      <c r="OMQ8" s="154"/>
      <c r="OMR8" s="154"/>
      <c r="OMS8" s="154"/>
      <c r="OMT8" s="154"/>
      <c r="OMU8" s="154"/>
      <c r="OMV8" s="154"/>
      <c r="OMW8" s="154"/>
      <c r="OMX8" s="154"/>
      <c r="OMY8" s="154"/>
      <c r="OMZ8" s="154"/>
      <c r="ONA8" s="154"/>
      <c r="ONB8" s="154"/>
      <c r="ONC8" s="154"/>
      <c r="OND8" s="154"/>
      <c r="ONE8" s="154"/>
      <c r="ONF8" s="154"/>
      <c r="ONG8" s="154"/>
      <c r="ONH8" s="154"/>
      <c r="ONI8" s="154"/>
      <c r="ONJ8" s="154"/>
      <c r="ONK8" s="154"/>
      <c r="ONL8" s="154"/>
      <c r="ONM8" s="154"/>
      <c r="ONN8" s="154"/>
      <c r="ONO8" s="154"/>
      <c r="ONP8" s="154"/>
      <c r="ONQ8" s="154"/>
      <c r="ONR8" s="154"/>
      <c r="ONS8" s="154"/>
      <c r="ONT8" s="154"/>
      <c r="ONU8" s="154"/>
      <c r="ONV8" s="154"/>
      <c r="ONW8" s="154"/>
      <c r="ONX8" s="154"/>
      <c r="ONY8" s="154"/>
      <c r="ONZ8" s="154"/>
      <c r="OOA8" s="154"/>
      <c r="OOB8" s="154"/>
      <c r="OOC8" s="154"/>
      <c r="OOD8" s="154"/>
      <c r="OOE8" s="154"/>
      <c r="OOF8" s="154"/>
      <c r="OOG8" s="154"/>
      <c r="OOH8" s="154"/>
      <c r="OOI8" s="154"/>
      <c r="OOJ8" s="154"/>
      <c r="OOK8" s="154"/>
      <c r="OOL8" s="154"/>
      <c r="OOM8" s="154"/>
      <c r="OON8" s="154"/>
      <c r="OOO8" s="154"/>
      <c r="OOP8" s="154"/>
      <c r="OOQ8" s="154"/>
      <c r="OOR8" s="154"/>
      <c r="OOS8" s="154"/>
      <c r="OOT8" s="154"/>
      <c r="OOU8" s="154"/>
      <c r="OOV8" s="154"/>
      <c r="OOW8" s="154"/>
      <c r="OOX8" s="154"/>
      <c r="OOY8" s="154"/>
      <c r="OOZ8" s="154"/>
      <c r="OPA8" s="154"/>
      <c r="OPB8" s="154"/>
      <c r="OPC8" s="154"/>
      <c r="OPD8" s="154"/>
      <c r="OPE8" s="154"/>
      <c r="OPF8" s="154"/>
      <c r="OPG8" s="154"/>
      <c r="OPH8" s="154"/>
      <c r="OPI8" s="154"/>
      <c r="OPJ8" s="154"/>
      <c r="OPK8" s="154"/>
      <c r="OPL8" s="154"/>
      <c r="OPM8" s="154"/>
      <c r="OPN8" s="154"/>
      <c r="OPO8" s="154"/>
      <c r="OPP8" s="154"/>
      <c r="OPQ8" s="154"/>
      <c r="OPR8" s="154"/>
      <c r="OPS8" s="154"/>
      <c r="OPT8" s="154"/>
      <c r="OPU8" s="154"/>
      <c r="OPV8" s="154"/>
      <c r="OPW8" s="154"/>
      <c r="OPX8" s="154"/>
      <c r="OPY8" s="154"/>
      <c r="OPZ8" s="154"/>
      <c r="OQA8" s="154"/>
      <c r="OQB8" s="154"/>
      <c r="OQC8" s="154"/>
      <c r="OQD8" s="154"/>
      <c r="OQE8" s="154"/>
      <c r="OQF8" s="154"/>
      <c r="OQG8" s="154"/>
      <c r="OQH8" s="154"/>
      <c r="OQI8" s="154"/>
      <c r="OQJ8" s="154"/>
      <c r="OQK8" s="154"/>
      <c r="OQL8" s="154"/>
      <c r="OQM8" s="154"/>
      <c r="OQN8" s="154"/>
      <c r="OQO8" s="154"/>
      <c r="OQP8" s="154"/>
      <c r="OQQ8" s="154"/>
      <c r="OQR8" s="154"/>
      <c r="OQS8" s="154"/>
      <c r="OQT8" s="154"/>
      <c r="OQU8" s="154"/>
      <c r="OQV8" s="154"/>
      <c r="OQW8" s="154"/>
      <c r="OQX8" s="154"/>
      <c r="OQY8" s="154"/>
      <c r="OQZ8" s="154"/>
      <c r="ORA8" s="154"/>
      <c r="ORB8" s="154"/>
      <c r="ORC8" s="154"/>
      <c r="ORD8" s="154"/>
      <c r="ORE8" s="154"/>
      <c r="ORF8" s="154"/>
      <c r="ORG8" s="154"/>
      <c r="ORH8" s="154"/>
      <c r="ORI8" s="154"/>
      <c r="ORJ8" s="154"/>
      <c r="ORK8" s="154"/>
      <c r="ORL8" s="154"/>
      <c r="ORM8" s="154"/>
      <c r="ORN8" s="154"/>
      <c r="ORO8" s="154"/>
      <c r="ORP8" s="154"/>
      <c r="ORQ8" s="154"/>
      <c r="ORR8" s="154"/>
      <c r="ORS8" s="154"/>
      <c r="ORT8" s="154"/>
      <c r="ORU8" s="154"/>
      <c r="ORV8" s="154"/>
      <c r="ORW8" s="154"/>
      <c r="ORX8" s="154"/>
      <c r="ORY8" s="154"/>
      <c r="ORZ8" s="154"/>
      <c r="OSA8" s="154"/>
      <c r="OSB8" s="154"/>
      <c r="OSC8" s="154"/>
      <c r="OSD8" s="154"/>
      <c r="OSE8" s="154"/>
      <c r="OSF8" s="154"/>
      <c r="OSG8" s="154"/>
      <c r="OSH8" s="154"/>
      <c r="OSI8" s="154"/>
      <c r="OSJ8" s="154"/>
      <c r="OSK8" s="154"/>
      <c r="OSL8" s="154"/>
      <c r="OSM8" s="154"/>
      <c r="OSN8" s="154"/>
      <c r="OSO8" s="154"/>
      <c r="OSP8" s="154"/>
      <c r="OSQ8" s="154"/>
      <c r="OSR8" s="154"/>
      <c r="OSS8" s="154"/>
      <c r="OST8" s="154"/>
      <c r="OSU8" s="154"/>
      <c r="OSV8" s="154"/>
      <c r="OSW8" s="154"/>
      <c r="OSX8" s="154"/>
      <c r="OSY8" s="154"/>
      <c r="OSZ8" s="154"/>
      <c r="OTA8" s="154"/>
      <c r="OTB8" s="154"/>
      <c r="OTC8" s="154"/>
      <c r="OTD8" s="154"/>
      <c r="OTE8" s="154"/>
      <c r="OTF8" s="154"/>
      <c r="OTG8" s="154"/>
      <c r="OTH8" s="154"/>
      <c r="OTI8" s="154"/>
      <c r="OTJ8" s="154"/>
      <c r="OTK8" s="154"/>
      <c r="OTL8" s="154"/>
      <c r="OTM8" s="154"/>
      <c r="OTN8" s="154"/>
      <c r="OTO8" s="154"/>
      <c r="OTP8" s="154"/>
      <c r="OTQ8" s="154"/>
      <c r="OTR8" s="154"/>
      <c r="OTS8" s="154"/>
      <c r="OTT8" s="154"/>
      <c r="OTU8" s="154"/>
      <c r="OTV8" s="154"/>
      <c r="OTW8" s="154"/>
      <c r="OTX8" s="154"/>
      <c r="OTY8" s="154"/>
      <c r="OTZ8" s="154"/>
      <c r="OUA8" s="154"/>
      <c r="OUB8" s="154"/>
      <c r="OUC8" s="154"/>
      <c r="OUD8" s="154"/>
      <c r="OUE8" s="154"/>
      <c r="OUF8" s="154"/>
      <c r="OUG8" s="154"/>
      <c r="OUH8" s="154"/>
      <c r="OUI8" s="154"/>
      <c r="OUJ8" s="154"/>
      <c r="OUK8" s="154"/>
      <c r="OUL8" s="154"/>
      <c r="OUM8" s="154"/>
      <c r="OUN8" s="154"/>
      <c r="OUO8" s="154"/>
      <c r="OUP8" s="154"/>
      <c r="OUQ8" s="154"/>
      <c r="OUR8" s="154"/>
      <c r="OUS8" s="154"/>
      <c r="OUT8" s="154"/>
      <c r="OUU8" s="154"/>
      <c r="OUV8" s="154"/>
      <c r="OUW8" s="154"/>
      <c r="OUX8" s="154"/>
      <c r="OUY8" s="154"/>
      <c r="OUZ8" s="154"/>
      <c r="OVA8" s="154"/>
      <c r="OVB8" s="154"/>
      <c r="OVC8" s="154"/>
      <c r="OVD8" s="154"/>
      <c r="OVE8" s="154"/>
      <c r="OVF8" s="154"/>
      <c r="OVG8" s="154"/>
      <c r="OVH8" s="154"/>
      <c r="OVI8" s="154"/>
      <c r="OVJ8" s="154"/>
      <c r="OVK8" s="154"/>
      <c r="OVL8" s="154"/>
      <c r="OVM8" s="154"/>
      <c r="OVN8" s="154"/>
      <c r="OVO8" s="154"/>
      <c r="OVP8" s="154"/>
      <c r="OVQ8" s="154"/>
      <c r="OVR8" s="154"/>
      <c r="OVS8" s="154"/>
      <c r="OVT8" s="154"/>
      <c r="OVU8" s="154"/>
      <c r="OVV8" s="154"/>
      <c r="OVW8" s="154"/>
      <c r="OVX8" s="154"/>
      <c r="OVY8" s="154"/>
      <c r="OVZ8" s="154"/>
      <c r="OWA8" s="154"/>
      <c r="OWB8" s="154"/>
      <c r="OWC8" s="154"/>
      <c r="OWD8" s="154"/>
      <c r="OWE8" s="154"/>
      <c r="OWF8" s="154"/>
      <c r="OWG8" s="154"/>
      <c r="OWH8" s="154"/>
      <c r="OWI8" s="154"/>
      <c r="OWJ8" s="154"/>
      <c r="OWK8" s="154"/>
      <c r="OWL8" s="154"/>
      <c r="OWM8" s="154"/>
      <c r="OWN8" s="154"/>
      <c r="OWO8" s="154"/>
      <c r="OWP8" s="154"/>
      <c r="OWQ8" s="154"/>
      <c r="OWR8" s="154"/>
      <c r="OWS8" s="154"/>
      <c r="OWT8" s="154"/>
      <c r="OWU8" s="154"/>
      <c r="OWV8" s="154"/>
      <c r="OWW8" s="154"/>
      <c r="OWX8" s="154"/>
      <c r="OWY8" s="154"/>
      <c r="OWZ8" s="154"/>
      <c r="OXA8" s="154"/>
      <c r="OXB8" s="154"/>
      <c r="OXC8" s="154"/>
      <c r="OXD8" s="154"/>
      <c r="OXE8" s="154"/>
      <c r="OXF8" s="154"/>
      <c r="OXG8" s="154"/>
      <c r="OXH8" s="154"/>
      <c r="OXI8" s="154"/>
      <c r="OXJ8" s="154"/>
      <c r="OXK8" s="154"/>
      <c r="OXL8" s="154"/>
      <c r="OXM8" s="154"/>
      <c r="OXN8" s="154"/>
      <c r="OXO8" s="154"/>
      <c r="OXP8" s="154"/>
      <c r="OXQ8" s="154"/>
      <c r="OXR8" s="154"/>
      <c r="OXS8" s="154"/>
      <c r="OXT8" s="154"/>
      <c r="OXU8" s="154"/>
      <c r="OXV8" s="154"/>
      <c r="OXW8" s="154"/>
      <c r="OXX8" s="154"/>
      <c r="OXY8" s="154"/>
      <c r="OXZ8" s="154"/>
      <c r="OYA8" s="154"/>
      <c r="OYB8" s="154"/>
      <c r="OYC8" s="154"/>
      <c r="OYD8" s="154"/>
      <c r="OYE8" s="154"/>
      <c r="OYF8" s="154"/>
      <c r="OYG8" s="154"/>
      <c r="OYH8" s="154"/>
      <c r="OYI8" s="154"/>
      <c r="OYJ8" s="154"/>
      <c r="OYK8" s="154"/>
      <c r="OYL8" s="154"/>
      <c r="OYM8" s="154"/>
      <c r="OYN8" s="154"/>
      <c r="OYO8" s="154"/>
      <c r="OYP8" s="154"/>
      <c r="OYQ8" s="154"/>
      <c r="OYR8" s="154"/>
      <c r="OYS8" s="154"/>
      <c r="OYT8" s="154"/>
      <c r="OYU8" s="154"/>
      <c r="OYV8" s="154"/>
      <c r="OYW8" s="154"/>
      <c r="OYX8" s="154"/>
      <c r="OYY8" s="154"/>
      <c r="OYZ8" s="154"/>
      <c r="OZA8" s="154"/>
      <c r="OZB8" s="154"/>
      <c r="OZC8" s="154"/>
      <c r="OZD8" s="154"/>
      <c r="OZE8" s="154"/>
      <c r="OZF8" s="154"/>
      <c r="OZG8" s="154"/>
      <c r="OZH8" s="154"/>
      <c r="OZI8" s="154"/>
      <c r="OZJ8" s="154"/>
      <c r="OZK8" s="154"/>
      <c r="OZL8" s="154"/>
      <c r="OZM8" s="154"/>
      <c r="OZN8" s="154"/>
      <c r="OZO8" s="154"/>
      <c r="OZP8" s="154"/>
      <c r="OZQ8" s="154"/>
      <c r="OZR8" s="154"/>
      <c r="OZS8" s="154"/>
      <c r="OZT8" s="154"/>
      <c r="OZU8" s="154"/>
      <c r="OZV8" s="154"/>
      <c r="OZW8" s="154"/>
      <c r="OZX8" s="154"/>
      <c r="OZY8" s="154"/>
      <c r="OZZ8" s="154"/>
      <c r="PAA8" s="154"/>
      <c r="PAB8" s="154"/>
      <c r="PAC8" s="154"/>
      <c r="PAD8" s="154"/>
      <c r="PAE8" s="154"/>
      <c r="PAF8" s="154"/>
      <c r="PAG8" s="154"/>
      <c r="PAH8" s="154"/>
      <c r="PAI8" s="154"/>
      <c r="PAJ8" s="154"/>
      <c r="PAK8" s="154"/>
      <c r="PAL8" s="154"/>
      <c r="PAM8" s="154"/>
      <c r="PAN8" s="154"/>
      <c r="PAO8" s="154"/>
      <c r="PAP8" s="154"/>
      <c r="PAQ8" s="154"/>
      <c r="PAR8" s="154"/>
      <c r="PAS8" s="154"/>
      <c r="PAT8" s="154"/>
      <c r="PAU8" s="154"/>
      <c r="PAV8" s="154"/>
      <c r="PAW8" s="154"/>
      <c r="PAX8" s="154"/>
      <c r="PAY8" s="154"/>
      <c r="PAZ8" s="154"/>
      <c r="PBA8" s="154"/>
      <c r="PBB8" s="154"/>
      <c r="PBC8" s="154"/>
      <c r="PBD8" s="154"/>
      <c r="PBE8" s="154"/>
      <c r="PBF8" s="154"/>
      <c r="PBG8" s="154"/>
      <c r="PBH8" s="154"/>
      <c r="PBI8" s="154"/>
      <c r="PBJ8" s="154"/>
      <c r="PBK8" s="154"/>
      <c r="PBL8" s="154"/>
      <c r="PBM8" s="154"/>
      <c r="PBN8" s="154"/>
      <c r="PBO8" s="154"/>
      <c r="PBP8" s="154"/>
      <c r="PBQ8" s="154"/>
      <c r="PBR8" s="154"/>
      <c r="PBS8" s="154"/>
      <c r="PBT8" s="154"/>
      <c r="PBU8" s="154"/>
      <c r="PBV8" s="154"/>
      <c r="PBW8" s="154"/>
      <c r="PBX8" s="154"/>
      <c r="PBY8" s="154"/>
      <c r="PBZ8" s="154"/>
      <c r="PCA8" s="154"/>
      <c r="PCB8" s="154"/>
      <c r="PCC8" s="154"/>
      <c r="PCD8" s="154"/>
      <c r="PCE8" s="154"/>
      <c r="PCF8" s="154"/>
      <c r="PCG8" s="154"/>
      <c r="PCH8" s="154"/>
      <c r="PCI8" s="154"/>
      <c r="PCJ8" s="154"/>
      <c r="PCK8" s="154"/>
      <c r="PCL8" s="154"/>
      <c r="PCM8" s="154"/>
      <c r="PCN8" s="154"/>
      <c r="PCO8" s="154"/>
      <c r="PCP8" s="154"/>
      <c r="PCQ8" s="154"/>
      <c r="PCR8" s="154"/>
      <c r="PCS8" s="154"/>
      <c r="PCT8" s="154"/>
      <c r="PCU8" s="154"/>
      <c r="PCV8" s="154"/>
      <c r="PCW8" s="154"/>
      <c r="PCX8" s="154"/>
      <c r="PCY8" s="154"/>
      <c r="PCZ8" s="154"/>
      <c r="PDA8" s="154"/>
      <c r="PDB8" s="154"/>
      <c r="PDC8" s="154"/>
      <c r="PDD8" s="154"/>
      <c r="PDE8" s="154"/>
      <c r="PDF8" s="154"/>
      <c r="PDG8" s="154"/>
      <c r="PDH8" s="154"/>
      <c r="PDI8" s="154"/>
      <c r="PDJ8" s="154"/>
      <c r="PDK8" s="154"/>
      <c r="PDL8" s="154"/>
      <c r="PDM8" s="154"/>
      <c r="PDN8" s="154"/>
      <c r="PDO8" s="154"/>
      <c r="PDP8" s="154"/>
      <c r="PDQ8" s="154"/>
      <c r="PDR8" s="154"/>
      <c r="PDS8" s="154"/>
      <c r="PDT8" s="154"/>
      <c r="PDU8" s="154"/>
      <c r="PDV8" s="154"/>
      <c r="PDW8" s="154"/>
      <c r="PDX8" s="154"/>
      <c r="PDY8" s="154"/>
      <c r="PDZ8" s="154"/>
      <c r="PEA8" s="154"/>
      <c r="PEB8" s="154"/>
      <c r="PEC8" s="154"/>
      <c r="PED8" s="154"/>
      <c r="PEE8" s="154"/>
      <c r="PEF8" s="154"/>
      <c r="PEG8" s="154"/>
      <c r="PEH8" s="154"/>
      <c r="PEI8" s="154"/>
      <c r="PEJ8" s="154"/>
      <c r="PEK8" s="154"/>
      <c r="PEL8" s="154"/>
      <c r="PEM8" s="154"/>
      <c r="PEN8" s="154"/>
      <c r="PEO8" s="154"/>
      <c r="PEP8" s="154"/>
      <c r="PEQ8" s="154"/>
      <c r="PER8" s="154"/>
      <c r="PES8" s="154"/>
      <c r="PET8" s="154"/>
      <c r="PEU8" s="154"/>
      <c r="PEV8" s="154"/>
      <c r="PEW8" s="154"/>
      <c r="PEX8" s="154"/>
      <c r="PEY8" s="154"/>
      <c r="PEZ8" s="154"/>
      <c r="PFA8" s="154"/>
      <c r="PFB8" s="154"/>
      <c r="PFC8" s="154"/>
      <c r="PFD8" s="154"/>
      <c r="PFE8" s="154"/>
      <c r="PFF8" s="154"/>
      <c r="PFG8" s="154"/>
      <c r="PFH8" s="154"/>
      <c r="PFI8" s="154"/>
      <c r="PFJ8" s="154"/>
      <c r="PFK8" s="154"/>
      <c r="PFL8" s="154"/>
      <c r="PFM8" s="154"/>
      <c r="PFN8" s="154"/>
      <c r="PFO8" s="154"/>
      <c r="PFP8" s="154"/>
      <c r="PFQ8" s="154"/>
      <c r="PFR8" s="154"/>
      <c r="PFS8" s="154"/>
      <c r="PFT8" s="154"/>
      <c r="PFU8" s="154"/>
      <c r="PFV8" s="154"/>
      <c r="PFW8" s="154"/>
      <c r="PFX8" s="154"/>
      <c r="PFY8" s="154"/>
      <c r="PFZ8" s="154"/>
      <c r="PGA8" s="154"/>
      <c r="PGB8" s="154"/>
      <c r="PGC8" s="154"/>
      <c r="PGD8" s="154"/>
      <c r="PGE8" s="154"/>
      <c r="PGF8" s="154"/>
      <c r="PGG8" s="154"/>
      <c r="PGH8" s="154"/>
      <c r="PGI8" s="154"/>
      <c r="PGJ8" s="154"/>
      <c r="PGK8" s="154"/>
      <c r="PGL8" s="154"/>
      <c r="PGM8" s="154"/>
      <c r="PGN8" s="154"/>
      <c r="PGO8" s="154"/>
      <c r="PGP8" s="154"/>
      <c r="PGQ8" s="154"/>
      <c r="PGR8" s="154"/>
      <c r="PGS8" s="154"/>
      <c r="PGT8" s="154"/>
      <c r="PGU8" s="154"/>
      <c r="PGV8" s="154"/>
      <c r="PGW8" s="154"/>
      <c r="PGX8" s="154"/>
      <c r="PGY8" s="154"/>
      <c r="PGZ8" s="154"/>
      <c r="PHA8" s="154"/>
      <c r="PHB8" s="154"/>
      <c r="PHC8" s="154"/>
      <c r="PHD8" s="154"/>
      <c r="PHE8" s="154"/>
      <c r="PHF8" s="154"/>
      <c r="PHG8" s="154"/>
      <c r="PHH8" s="154"/>
      <c r="PHI8" s="154"/>
      <c r="PHJ8" s="154"/>
      <c r="PHK8" s="154"/>
      <c r="PHL8" s="154"/>
      <c r="PHM8" s="154"/>
      <c r="PHN8" s="154"/>
      <c r="PHO8" s="154"/>
      <c r="PHP8" s="154"/>
      <c r="PHQ8" s="154"/>
      <c r="PHR8" s="154"/>
      <c r="PHS8" s="154"/>
      <c r="PHT8" s="154"/>
      <c r="PHU8" s="154"/>
      <c r="PHV8" s="154"/>
      <c r="PHW8" s="154"/>
      <c r="PHX8" s="154"/>
      <c r="PHY8" s="154"/>
      <c r="PHZ8" s="154"/>
      <c r="PIA8" s="154"/>
      <c r="PIB8" s="154"/>
      <c r="PIC8" s="154"/>
      <c r="PID8" s="154"/>
      <c r="PIE8" s="154"/>
      <c r="PIF8" s="154"/>
      <c r="PIG8" s="154"/>
      <c r="PIH8" s="154"/>
      <c r="PII8" s="154"/>
      <c r="PIJ8" s="154"/>
      <c r="PIK8" s="154"/>
      <c r="PIL8" s="154"/>
      <c r="PIM8" s="154"/>
      <c r="PIN8" s="154"/>
      <c r="PIO8" s="154"/>
      <c r="PIP8" s="154"/>
      <c r="PIQ8" s="154"/>
      <c r="PIR8" s="154"/>
      <c r="PIS8" s="154"/>
      <c r="PIT8" s="154"/>
      <c r="PIU8" s="154"/>
      <c r="PIV8" s="154"/>
      <c r="PIW8" s="154"/>
      <c r="PIX8" s="154"/>
      <c r="PIY8" s="154"/>
      <c r="PIZ8" s="154"/>
      <c r="PJA8" s="154"/>
      <c r="PJB8" s="154"/>
      <c r="PJC8" s="154"/>
      <c r="PJD8" s="154"/>
      <c r="PJE8" s="154"/>
      <c r="PJF8" s="154"/>
      <c r="PJG8" s="154"/>
      <c r="PJH8" s="154"/>
      <c r="PJI8" s="154"/>
      <c r="PJJ8" s="154"/>
      <c r="PJK8" s="154"/>
      <c r="PJL8" s="154"/>
      <c r="PJM8" s="154"/>
      <c r="PJN8" s="154"/>
      <c r="PJO8" s="154"/>
      <c r="PJP8" s="154"/>
      <c r="PJQ8" s="154"/>
      <c r="PJR8" s="154"/>
      <c r="PJS8" s="154"/>
      <c r="PJT8" s="154"/>
      <c r="PJU8" s="154"/>
      <c r="PJV8" s="154"/>
      <c r="PJW8" s="154"/>
      <c r="PJX8" s="154"/>
      <c r="PJY8" s="154"/>
      <c r="PJZ8" s="154"/>
      <c r="PKA8" s="154"/>
      <c r="PKB8" s="154"/>
      <c r="PKC8" s="154"/>
      <c r="PKD8" s="154"/>
      <c r="PKE8" s="154"/>
      <c r="PKF8" s="154"/>
      <c r="PKG8" s="154"/>
      <c r="PKH8" s="154"/>
      <c r="PKI8" s="154"/>
      <c r="PKJ8" s="154"/>
      <c r="PKK8" s="154"/>
      <c r="PKL8" s="154"/>
      <c r="PKM8" s="154"/>
      <c r="PKN8" s="154"/>
      <c r="PKO8" s="154"/>
      <c r="PKP8" s="154"/>
      <c r="PKQ8" s="154"/>
      <c r="PKR8" s="154"/>
      <c r="PKS8" s="154"/>
      <c r="PKT8" s="154"/>
      <c r="PKU8" s="154"/>
      <c r="PKV8" s="154"/>
      <c r="PKW8" s="154"/>
      <c r="PKX8" s="154"/>
      <c r="PKY8" s="154"/>
      <c r="PKZ8" s="154"/>
      <c r="PLA8" s="154"/>
      <c r="PLB8" s="154"/>
      <c r="PLC8" s="154"/>
      <c r="PLD8" s="154"/>
      <c r="PLE8" s="154"/>
      <c r="PLF8" s="154"/>
      <c r="PLG8" s="154"/>
      <c r="PLH8" s="154"/>
      <c r="PLI8" s="154"/>
      <c r="PLJ8" s="154"/>
      <c r="PLK8" s="154"/>
      <c r="PLL8" s="154"/>
      <c r="PLM8" s="154"/>
      <c r="PLN8" s="154"/>
      <c r="PLO8" s="154"/>
      <c r="PLP8" s="154"/>
      <c r="PLQ8" s="154"/>
      <c r="PLR8" s="154"/>
      <c r="PLS8" s="154"/>
      <c r="PLT8" s="154"/>
      <c r="PLU8" s="154"/>
      <c r="PLV8" s="154"/>
      <c r="PLW8" s="154"/>
      <c r="PLX8" s="154"/>
      <c r="PLY8" s="154"/>
      <c r="PLZ8" s="154"/>
      <c r="PMA8" s="154"/>
      <c r="PMB8" s="154"/>
      <c r="PMC8" s="154"/>
      <c r="PMD8" s="154"/>
      <c r="PME8" s="154"/>
      <c r="PMF8" s="154"/>
      <c r="PMG8" s="154"/>
      <c r="PMH8" s="154"/>
      <c r="PMI8" s="154"/>
      <c r="PMJ8" s="154"/>
      <c r="PMK8" s="154"/>
      <c r="PML8" s="154"/>
      <c r="PMM8" s="154"/>
      <c r="PMN8" s="154"/>
      <c r="PMO8" s="154"/>
      <c r="PMP8" s="154"/>
      <c r="PMQ8" s="154"/>
      <c r="PMR8" s="154"/>
      <c r="PMS8" s="154"/>
      <c r="PMT8" s="154"/>
      <c r="PMU8" s="154"/>
      <c r="PMV8" s="154"/>
      <c r="PMW8" s="154"/>
      <c r="PMX8" s="154"/>
      <c r="PMY8" s="154"/>
      <c r="PMZ8" s="154"/>
      <c r="PNA8" s="154"/>
      <c r="PNB8" s="154"/>
      <c r="PNC8" s="154"/>
      <c r="PND8" s="154"/>
      <c r="PNE8" s="154"/>
      <c r="PNF8" s="154"/>
      <c r="PNG8" s="154"/>
      <c r="PNH8" s="154"/>
      <c r="PNI8" s="154"/>
      <c r="PNJ8" s="154"/>
      <c r="PNK8" s="154"/>
      <c r="PNL8" s="154"/>
      <c r="PNM8" s="154"/>
      <c r="PNN8" s="154"/>
      <c r="PNO8" s="154"/>
      <c r="PNP8" s="154"/>
      <c r="PNQ8" s="154"/>
      <c r="PNR8" s="154"/>
      <c r="PNS8" s="154"/>
      <c r="PNT8" s="154"/>
      <c r="PNU8" s="154"/>
      <c r="PNV8" s="154"/>
      <c r="PNW8" s="154"/>
      <c r="PNX8" s="154"/>
      <c r="PNY8" s="154"/>
      <c r="PNZ8" s="154"/>
      <c r="POA8" s="154"/>
      <c r="POB8" s="154"/>
      <c r="POC8" s="154"/>
      <c r="POD8" s="154"/>
      <c r="POE8" s="154"/>
      <c r="POF8" s="154"/>
      <c r="POG8" s="154"/>
      <c r="POH8" s="154"/>
      <c r="POI8" s="154"/>
      <c r="POJ8" s="154"/>
      <c r="POK8" s="154"/>
      <c r="POL8" s="154"/>
      <c r="POM8" s="154"/>
      <c r="PON8" s="154"/>
      <c r="POO8" s="154"/>
      <c r="POP8" s="154"/>
      <c r="POQ8" s="154"/>
      <c r="POR8" s="154"/>
      <c r="POS8" s="154"/>
      <c r="POT8" s="154"/>
      <c r="POU8" s="154"/>
      <c r="POV8" s="154"/>
      <c r="POW8" s="154"/>
      <c r="POX8" s="154"/>
      <c r="POY8" s="154"/>
      <c r="POZ8" s="154"/>
      <c r="PPA8" s="154"/>
      <c r="PPB8" s="154"/>
      <c r="PPC8" s="154"/>
      <c r="PPD8" s="154"/>
      <c r="PPE8" s="154"/>
      <c r="PPF8" s="154"/>
      <c r="PPG8" s="154"/>
      <c r="PPH8" s="154"/>
      <c r="PPI8" s="154"/>
      <c r="PPJ8" s="154"/>
      <c r="PPK8" s="154"/>
      <c r="PPL8" s="154"/>
      <c r="PPM8" s="154"/>
      <c r="PPN8" s="154"/>
      <c r="PPO8" s="154"/>
      <c r="PPP8" s="154"/>
      <c r="PPQ8" s="154"/>
      <c r="PPR8" s="154"/>
      <c r="PPS8" s="154"/>
      <c r="PPT8" s="154"/>
      <c r="PPU8" s="154"/>
      <c r="PPV8" s="154"/>
      <c r="PPW8" s="154"/>
      <c r="PPX8" s="154"/>
      <c r="PPY8" s="154"/>
      <c r="PPZ8" s="154"/>
      <c r="PQA8" s="154"/>
      <c r="PQB8" s="154"/>
      <c r="PQC8" s="154"/>
      <c r="PQD8" s="154"/>
      <c r="PQE8" s="154"/>
      <c r="PQF8" s="154"/>
      <c r="PQG8" s="154"/>
      <c r="PQH8" s="154"/>
      <c r="PQI8" s="154"/>
      <c r="PQJ8" s="154"/>
      <c r="PQK8" s="154"/>
      <c r="PQL8" s="154"/>
      <c r="PQM8" s="154"/>
      <c r="PQN8" s="154"/>
      <c r="PQO8" s="154"/>
      <c r="PQP8" s="154"/>
      <c r="PQQ8" s="154"/>
      <c r="PQR8" s="154"/>
      <c r="PQS8" s="154"/>
      <c r="PQT8" s="154"/>
      <c r="PQU8" s="154"/>
      <c r="PQV8" s="154"/>
      <c r="PQW8" s="154"/>
      <c r="PQX8" s="154"/>
      <c r="PQY8" s="154"/>
      <c r="PQZ8" s="154"/>
      <c r="PRA8" s="154"/>
      <c r="PRB8" s="154"/>
      <c r="PRC8" s="154"/>
      <c r="PRD8" s="154"/>
      <c r="PRE8" s="154"/>
      <c r="PRF8" s="154"/>
      <c r="PRG8" s="154"/>
      <c r="PRH8" s="154"/>
      <c r="PRI8" s="154"/>
      <c r="PRJ8" s="154"/>
      <c r="PRK8" s="154"/>
      <c r="PRL8" s="154"/>
      <c r="PRM8" s="154"/>
      <c r="PRN8" s="154"/>
      <c r="PRO8" s="154"/>
      <c r="PRP8" s="154"/>
      <c r="PRQ8" s="154"/>
      <c r="PRR8" s="154"/>
      <c r="PRS8" s="154"/>
      <c r="PRT8" s="154"/>
      <c r="PRU8" s="154"/>
      <c r="PRV8" s="154"/>
      <c r="PRW8" s="154"/>
      <c r="PRX8" s="154"/>
      <c r="PRY8" s="154"/>
      <c r="PRZ8" s="154"/>
      <c r="PSA8" s="154"/>
      <c r="PSB8" s="154"/>
      <c r="PSC8" s="154"/>
      <c r="PSD8" s="154"/>
      <c r="PSE8" s="154"/>
      <c r="PSF8" s="154"/>
      <c r="PSG8" s="154"/>
      <c r="PSH8" s="154"/>
      <c r="PSI8" s="154"/>
      <c r="PSJ8" s="154"/>
      <c r="PSK8" s="154"/>
      <c r="PSL8" s="154"/>
      <c r="PSM8" s="154"/>
      <c r="PSN8" s="154"/>
      <c r="PSO8" s="154"/>
      <c r="PSP8" s="154"/>
      <c r="PSQ8" s="154"/>
      <c r="PSR8" s="154"/>
      <c r="PSS8" s="154"/>
      <c r="PST8" s="154"/>
      <c r="PSU8" s="154"/>
      <c r="PSV8" s="154"/>
      <c r="PSW8" s="154"/>
      <c r="PSX8" s="154"/>
      <c r="PSY8" s="154"/>
      <c r="PSZ8" s="154"/>
      <c r="PTA8" s="154"/>
      <c r="PTB8" s="154"/>
      <c r="PTC8" s="154"/>
      <c r="PTD8" s="154"/>
      <c r="PTE8" s="154"/>
      <c r="PTF8" s="154"/>
      <c r="PTG8" s="154"/>
      <c r="PTH8" s="154"/>
      <c r="PTI8" s="154"/>
      <c r="PTJ8" s="154"/>
      <c r="PTK8" s="154"/>
      <c r="PTL8" s="154"/>
      <c r="PTM8" s="154"/>
      <c r="PTN8" s="154"/>
      <c r="PTO8" s="154"/>
      <c r="PTP8" s="154"/>
      <c r="PTQ8" s="154"/>
      <c r="PTR8" s="154"/>
      <c r="PTS8" s="154"/>
      <c r="PTT8" s="154"/>
      <c r="PTU8" s="154"/>
      <c r="PTV8" s="154"/>
      <c r="PTW8" s="154"/>
      <c r="PTX8" s="154"/>
      <c r="PTY8" s="154"/>
      <c r="PTZ8" s="154"/>
      <c r="PUA8" s="154"/>
      <c r="PUB8" s="154"/>
      <c r="PUC8" s="154"/>
      <c r="PUD8" s="154"/>
      <c r="PUE8" s="154"/>
      <c r="PUF8" s="154"/>
      <c r="PUG8" s="154"/>
      <c r="PUH8" s="154"/>
      <c r="PUI8" s="154"/>
      <c r="PUJ8" s="154"/>
      <c r="PUK8" s="154"/>
      <c r="PUL8" s="154"/>
      <c r="PUM8" s="154"/>
      <c r="PUN8" s="154"/>
      <c r="PUO8" s="154"/>
      <c r="PUP8" s="154"/>
      <c r="PUQ8" s="154"/>
      <c r="PUR8" s="154"/>
      <c r="PUS8" s="154"/>
      <c r="PUT8" s="154"/>
      <c r="PUU8" s="154"/>
      <c r="PUV8" s="154"/>
      <c r="PUW8" s="154"/>
      <c r="PUX8" s="154"/>
      <c r="PUY8" s="154"/>
      <c r="PUZ8" s="154"/>
      <c r="PVA8" s="154"/>
      <c r="PVB8" s="154"/>
      <c r="PVC8" s="154"/>
      <c r="PVD8" s="154"/>
      <c r="PVE8" s="154"/>
      <c r="PVF8" s="154"/>
      <c r="PVG8" s="154"/>
      <c r="PVH8" s="154"/>
      <c r="PVI8" s="154"/>
      <c r="PVJ8" s="154"/>
      <c r="PVK8" s="154"/>
      <c r="PVL8" s="154"/>
      <c r="PVM8" s="154"/>
      <c r="PVN8" s="154"/>
      <c r="PVO8" s="154"/>
      <c r="PVP8" s="154"/>
      <c r="PVQ8" s="154"/>
      <c r="PVR8" s="154"/>
      <c r="PVS8" s="154"/>
      <c r="PVT8" s="154"/>
      <c r="PVU8" s="154"/>
      <c r="PVV8" s="154"/>
      <c r="PVW8" s="154"/>
      <c r="PVX8" s="154"/>
      <c r="PVY8" s="154"/>
      <c r="PVZ8" s="154"/>
      <c r="PWA8" s="154"/>
      <c r="PWB8" s="154"/>
      <c r="PWC8" s="154"/>
      <c r="PWD8" s="154"/>
      <c r="PWE8" s="154"/>
      <c r="PWF8" s="154"/>
      <c r="PWG8" s="154"/>
      <c r="PWH8" s="154"/>
      <c r="PWI8" s="154"/>
      <c r="PWJ8" s="154"/>
      <c r="PWK8" s="154"/>
      <c r="PWL8" s="154"/>
      <c r="PWM8" s="154"/>
      <c r="PWN8" s="154"/>
      <c r="PWO8" s="154"/>
      <c r="PWP8" s="154"/>
      <c r="PWQ8" s="154"/>
      <c r="PWR8" s="154"/>
      <c r="PWS8" s="154"/>
      <c r="PWT8" s="154"/>
      <c r="PWU8" s="154"/>
      <c r="PWV8" s="154"/>
      <c r="PWW8" s="154"/>
      <c r="PWX8" s="154"/>
      <c r="PWY8" s="154"/>
      <c r="PWZ8" s="154"/>
      <c r="PXA8" s="154"/>
      <c r="PXB8" s="154"/>
      <c r="PXC8" s="154"/>
      <c r="PXD8" s="154"/>
      <c r="PXE8" s="154"/>
      <c r="PXF8" s="154"/>
      <c r="PXG8" s="154"/>
      <c r="PXH8" s="154"/>
      <c r="PXI8" s="154"/>
      <c r="PXJ8" s="154"/>
      <c r="PXK8" s="154"/>
      <c r="PXL8" s="154"/>
      <c r="PXM8" s="154"/>
      <c r="PXN8" s="154"/>
      <c r="PXO8" s="154"/>
      <c r="PXP8" s="154"/>
      <c r="PXQ8" s="154"/>
      <c r="PXR8" s="154"/>
      <c r="PXS8" s="154"/>
      <c r="PXT8" s="154"/>
      <c r="PXU8" s="154"/>
      <c r="PXV8" s="154"/>
      <c r="PXW8" s="154"/>
      <c r="PXX8" s="154"/>
      <c r="PXY8" s="154"/>
      <c r="PXZ8" s="154"/>
      <c r="PYA8" s="154"/>
      <c r="PYB8" s="154"/>
      <c r="PYC8" s="154"/>
      <c r="PYD8" s="154"/>
      <c r="PYE8" s="154"/>
      <c r="PYF8" s="154"/>
      <c r="PYG8" s="154"/>
      <c r="PYH8" s="154"/>
      <c r="PYI8" s="154"/>
      <c r="PYJ8" s="154"/>
      <c r="PYK8" s="154"/>
      <c r="PYL8" s="154"/>
      <c r="PYM8" s="154"/>
      <c r="PYN8" s="154"/>
      <c r="PYO8" s="154"/>
      <c r="PYP8" s="154"/>
      <c r="PYQ8" s="154"/>
      <c r="PYR8" s="154"/>
      <c r="PYS8" s="154"/>
      <c r="PYT8" s="154"/>
      <c r="PYU8" s="154"/>
      <c r="PYV8" s="154"/>
      <c r="PYW8" s="154"/>
      <c r="PYX8" s="154"/>
      <c r="PYY8" s="154"/>
      <c r="PYZ8" s="154"/>
      <c r="PZA8" s="154"/>
      <c r="PZB8" s="154"/>
      <c r="PZC8" s="154"/>
      <c r="PZD8" s="154"/>
      <c r="PZE8" s="154"/>
      <c r="PZF8" s="154"/>
      <c r="PZG8" s="154"/>
      <c r="PZH8" s="154"/>
      <c r="PZI8" s="154"/>
      <c r="PZJ8" s="154"/>
      <c r="PZK8" s="154"/>
      <c r="PZL8" s="154"/>
      <c r="PZM8" s="154"/>
      <c r="PZN8" s="154"/>
      <c r="PZO8" s="154"/>
      <c r="PZP8" s="154"/>
      <c r="PZQ8" s="154"/>
      <c r="PZR8" s="154"/>
      <c r="PZS8" s="154"/>
      <c r="PZT8" s="154"/>
      <c r="PZU8" s="154"/>
      <c r="PZV8" s="154"/>
      <c r="PZW8" s="154"/>
      <c r="PZX8" s="154"/>
      <c r="PZY8" s="154"/>
      <c r="PZZ8" s="154"/>
      <c r="QAA8" s="154"/>
      <c r="QAB8" s="154"/>
      <c r="QAC8" s="154"/>
      <c r="QAD8" s="154"/>
      <c r="QAE8" s="154"/>
      <c r="QAF8" s="154"/>
      <c r="QAG8" s="154"/>
      <c r="QAH8" s="154"/>
      <c r="QAI8" s="154"/>
      <c r="QAJ8" s="154"/>
      <c r="QAK8" s="154"/>
      <c r="QAL8" s="154"/>
      <c r="QAM8" s="154"/>
      <c r="QAN8" s="154"/>
      <c r="QAO8" s="154"/>
      <c r="QAP8" s="154"/>
      <c r="QAQ8" s="154"/>
      <c r="QAR8" s="154"/>
      <c r="QAS8" s="154"/>
      <c r="QAT8" s="154"/>
      <c r="QAU8" s="154"/>
      <c r="QAV8" s="154"/>
      <c r="QAW8" s="154"/>
      <c r="QAX8" s="154"/>
      <c r="QAY8" s="154"/>
      <c r="QAZ8" s="154"/>
      <c r="QBA8" s="154"/>
      <c r="QBB8" s="154"/>
      <c r="QBC8" s="154"/>
      <c r="QBD8" s="154"/>
      <c r="QBE8" s="154"/>
      <c r="QBF8" s="154"/>
      <c r="QBG8" s="154"/>
      <c r="QBH8" s="154"/>
      <c r="QBI8" s="154"/>
      <c r="QBJ8" s="154"/>
      <c r="QBK8" s="154"/>
      <c r="QBL8" s="154"/>
      <c r="QBM8" s="154"/>
      <c r="QBN8" s="154"/>
      <c r="QBO8" s="154"/>
      <c r="QBP8" s="154"/>
      <c r="QBQ8" s="154"/>
      <c r="QBR8" s="154"/>
      <c r="QBS8" s="154"/>
      <c r="QBT8" s="154"/>
      <c r="QBU8" s="154"/>
      <c r="QBV8" s="154"/>
      <c r="QBW8" s="154"/>
      <c r="QBX8" s="154"/>
      <c r="QBY8" s="154"/>
      <c r="QBZ8" s="154"/>
      <c r="QCA8" s="154"/>
      <c r="QCB8" s="154"/>
      <c r="QCC8" s="154"/>
      <c r="QCD8" s="154"/>
      <c r="QCE8" s="154"/>
      <c r="QCF8" s="154"/>
      <c r="QCG8" s="154"/>
      <c r="QCH8" s="154"/>
      <c r="QCI8" s="154"/>
      <c r="QCJ8" s="154"/>
      <c r="QCK8" s="154"/>
      <c r="QCL8" s="154"/>
      <c r="QCM8" s="154"/>
      <c r="QCN8" s="154"/>
      <c r="QCO8" s="154"/>
      <c r="QCP8" s="154"/>
      <c r="QCQ8" s="154"/>
      <c r="QCR8" s="154"/>
      <c r="QCS8" s="154"/>
      <c r="QCT8" s="154"/>
      <c r="QCU8" s="154"/>
      <c r="QCV8" s="154"/>
      <c r="QCW8" s="154"/>
      <c r="QCX8" s="154"/>
      <c r="QCY8" s="154"/>
      <c r="QCZ8" s="154"/>
      <c r="QDA8" s="154"/>
      <c r="QDB8" s="154"/>
      <c r="QDC8" s="154"/>
      <c r="QDD8" s="154"/>
      <c r="QDE8" s="154"/>
      <c r="QDF8" s="154"/>
      <c r="QDG8" s="154"/>
      <c r="QDH8" s="154"/>
      <c r="QDI8" s="154"/>
      <c r="QDJ8" s="154"/>
      <c r="QDK8" s="154"/>
      <c r="QDL8" s="154"/>
      <c r="QDM8" s="154"/>
      <c r="QDN8" s="154"/>
      <c r="QDO8" s="154"/>
      <c r="QDP8" s="154"/>
      <c r="QDQ8" s="154"/>
      <c r="QDR8" s="154"/>
      <c r="QDS8" s="154"/>
      <c r="QDT8" s="154"/>
      <c r="QDU8" s="154"/>
      <c r="QDV8" s="154"/>
      <c r="QDW8" s="154"/>
      <c r="QDX8" s="154"/>
      <c r="QDY8" s="154"/>
      <c r="QDZ8" s="154"/>
      <c r="QEA8" s="154"/>
      <c r="QEB8" s="154"/>
      <c r="QEC8" s="154"/>
      <c r="QED8" s="154"/>
      <c r="QEE8" s="154"/>
      <c r="QEF8" s="154"/>
      <c r="QEG8" s="154"/>
      <c r="QEH8" s="154"/>
      <c r="QEI8" s="154"/>
      <c r="QEJ8" s="154"/>
      <c r="QEK8" s="154"/>
      <c r="QEL8" s="154"/>
      <c r="QEM8" s="154"/>
      <c r="QEN8" s="154"/>
      <c r="QEO8" s="154"/>
      <c r="QEP8" s="154"/>
      <c r="QEQ8" s="154"/>
      <c r="QER8" s="154"/>
      <c r="QES8" s="154"/>
      <c r="QET8" s="154"/>
      <c r="QEU8" s="154"/>
      <c r="QEV8" s="154"/>
      <c r="QEW8" s="154"/>
      <c r="QEX8" s="154"/>
      <c r="QEY8" s="154"/>
      <c r="QEZ8" s="154"/>
      <c r="QFA8" s="154"/>
      <c r="QFB8" s="154"/>
      <c r="QFC8" s="154"/>
      <c r="QFD8" s="154"/>
      <c r="QFE8" s="154"/>
      <c r="QFF8" s="154"/>
      <c r="QFG8" s="154"/>
      <c r="QFH8" s="154"/>
      <c r="QFI8" s="154"/>
      <c r="QFJ8" s="154"/>
      <c r="QFK8" s="154"/>
      <c r="QFL8" s="154"/>
      <c r="QFM8" s="154"/>
      <c r="QFN8" s="154"/>
      <c r="QFO8" s="154"/>
      <c r="QFP8" s="154"/>
      <c r="QFQ8" s="154"/>
      <c r="QFR8" s="154"/>
      <c r="QFS8" s="154"/>
      <c r="QFT8" s="154"/>
      <c r="QFU8" s="154"/>
      <c r="QFV8" s="154"/>
      <c r="QFW8" s="154"/>
      <c r="QFX8" s="154"/>
      <c r="QFY8" s="154"/>
      <c r="QFZ8" s="154"/>
      <c r="QGA8" s="154"/>
      <c r="QGB8" s="154"/>
      <c r="QGC8" s="154"/>
      <c r="QGD8" s="154"/>
      <c r="QGE8" s="154"/>
      <c r="QGF8" s="154"/>
      <c r="QGG8" s="154"/>
      <c r="QGH8" s="154"/>
      <c r="QGI8" s="154"/>
      <c r="QGJ8" s="154"/>
      <c r="QGK8" s="154"/>
      <c r="QGL8" s="154"/>
      <c r="QGM8" s="154"/>
      <c r="QGN8" s="154"/>
      <c r="QGO8" s="154"/>
      <c r="QGP8" s="154"/>
      <c r="QGQ8" s="154"/>
      <c r="QGR8" s="154"/>
      <c r="QGS8" s="154"/>
      <c r="QGT8" s="154"/>
      <c r="QGU8" s="154"/>
      <c r="QGV8" s="154"/>
      <c r="QGW8" s="154"/>
      <c r="QGX8" s="154"/>
      <c r="QGY8" s="154"/>
      <c r="QGZ8" s="154"/>
      <c r="QHA8" s="154"/>
      <c r="QHB8" s="154"/>
      <c r="QHC8" s="154"/>
      <c r="QHD8" s="154"/>
      <c r="QHE8" s="154"/>
      <c r="QHF8" s="154"/>
      <c r="QHG8" s="154"/>
      <c r="QHH8" s="154"/>
      <c r="QHI8" s="154"/>
      <c r="QHJ8" s="154"/>
      <c r="QHK8" s="154"/>
      <c r="QHL8" s="154"/>
      <c r="QHM8" s="154"/>
      <c r="QHN8" s="154"/>
      <c r="QHO8" s="154"/>
      <c r="QHP8" s="154"/>
      <c r="QHQ8" s="154"/>
      <c r="QHR8" s="154"/>
      <c r="QHS8" s="154"/>
      <c r="QHT8" s="154"/>
      <c r="QHU8" s="154"/>
      <c r="QHV8" s="154"/>
      <c r="QHW8" s="154"/>
      <c r="QHX8" s="154"/>
      <c r="QHY8" s="154"/>
      <c r="QHZ8" s="154"/>
      <c r="QIA8" s="154"/>
      <c r="QIB8" s="154"/>
      <c r="QIC8" s="154"/>
      <c r="QID8" s="154"/>
      <c r="QIE8" s="154"/>
      <c r="QIF8" s="154"/>
      <c r="QIG8" s="154"/>
      <c r="QIH8" s="154"/>
      <c r="QII8" s="154"/>
      <c r="QIJ8" s="154"/>
      <c r="QIK8" s="154"/>
      <c r="QIL8" s="154"/>
      <c r="QIM8" s="154"/>
      <c r="QIN8" s="154"/>
      <c r="QIO8" s="154"/>
      <c r="QIP8" s="154"/>
      <c r="QIQ8" s="154"/>
      <c r="QIR8" s="154"/>
      <c r="QIS8" s="154"/>
      <c r="QIT8" s="154"/>
      <c r="QIU8" s="154"/>
      <c r="QIV8" s="154"/>
      <c r="QIW8" s="154"/>
      <c r="QIX8" s="154"/>
      <c r="QIY8" s="154"/>
      <c r="QIZ8" s="154"/>
      <c r="QJA8" s="154"/>
      <c r="QJB8" s="154"/>
      <c r="QJC8" s="154"/>
      <c r="QJD8" s="154"/>
      <c r="QJE8" s="154"/>
      <c r="QJF8" s="154"/>
      <c r="QJG8" s="154"/>
      <c r="QJH8" s="154"/>
      <c r="QJI8" s="154"/>
      <c r="QJJ8" s="154"/>
      <c r="QJK8" s="154"/>
      <c r="QJL8" s="154"/>
      <c r="QJM8" s="154"/>
      <c r="QJN8" s="154"/>
      <c r="QJO8" s="154"/>
      <c r="QJP8" s="154"/>
      <c r="QJQ8" s="154"/>
      <c r="QJR8" s="154"/>
      <c r="QJS8" s="154"/>
      <c r="QJT8" s="154"/>
      <c r="QJU8" s="154"/>
      <c r="QJV8" s="154"/>
      <c r="QJW8" s="154"/>
      <c r="QJX8" s="154"/>
      <c r="QJY8" s="154"/>
      <c r="QJZ8" s="154"/>
      <c r="QKA8" s="154"/>
      <c r="QKB8" s="154"/>
      <c r="QKC8" s="154"/>
      <c r="QKD8" s="154"/>
      <c r="QKE8" s="154"/>
      <c r="QKF8" s="154"/>
      <c r="QKG8" s="154"/>
      <c r="QKH8" s="154"/>
      <c r="QKI8" s="154"/>
      <c r="QKJ8" s="154"/>
      <c r="QKK8" s="154"/>
      <c r="QKL8" s="154"/>
      <c r="QKM8" s="154"/>
      <c r="QKN8" s="154"/>
      <c r="QKO8" s="154"/>
      <c r="QKP8" s="154"/>
      <c r="QKQ8" s="154"/>
      <c r="QKR8" s="154"/>
      <c r="QKS8" s="154"/>
      <c r="QKT8" s="154"/>
      <c r="QKU8" s="154"/>
      <c r="QKV8" s="154"/>
      <c r="QKW8" s="154"/>
      <c r="QKX8" s="154"/>
      <c r="QKY8" s="154"/>
      <c r="QKZ8" s="154"/>
      <c r="QLA8" s="154"/>
      <c r="QLB8" s="154"/>
      <c r="QLC8" s="154"/>
      <c r="QLD8" s="154"/>
      <c r="QLE8" s="154"/>
      <c r="QLF8" s="154"/>
      <c r="QLG8" s="154"/>
      <c r="QLH8" s="154"/>
      <c r="QLI8" s="154"/>
      <c r="QLJ8" s="154"/>
      <c r="QLK8" s="154"/>
      <c r="QLL8" s="154"/>
      <c r="QLM8" s="154"/>
      <c r="QLN8" s="154"/>
      <c r="QLO8" s="154"/>
      <c r="QLP8" s="154"/>
      <c r="QLQ8" s="154"/>
      <c r="QLR8" s="154"/>
      <c r="QLS8" s="154"/>
      <c r="QLT8" s="154"/>
      <c r="QLU8" s="154"/>
      <c r="QLV8" s="154"/>
      <c r="QLW8" s="154"/>
      <c r="QLX8" s="154"/>
      <c r="QLY8" s="154"/>
      <c r="QLZ8" s="154"/>
      <c r="QMA8" s="154"/>
      <c r="QMB8" s="154"/>
      <c r="QMC8" s="154"/>
      <c r="QMD8" s="154"/>
      <c r="QME8" s="154"/>
      <c r="QMF8" s="154"/>
      <c r="QMG8" s="154"/>
      <c r="QMH8" s="154"/>
      <c r="QMI8" s="154"/>
      <c r="QMJ8" s="154"/>
      <c r="QMK8" s="154"/>
      <c r="QML8" s="154"/>
      <c r="QMM8" s="154"/>
      <c r="QMN8" s="154"/>
      <c r="QMO8" s="154"/>
      <c r="QMP8" s="154"/>
      <c r="QMQ8" s="154"/>
      <c r="QMR8" s="154"/>
      <c r="QMS8" s="154"/>
      <c r="QMT8" s="154"/>
      <c r="QMU8" s="154"/>
      <c r="QMV8" s="154"/>
      <c r="QMW8" s="154"/>
      <c r="QMX8" s="154"/>
      <c r="QMY8" s="154"/>
      <c r="QMZ8" s="154"/>
      <c r="QNA8" s="154"/>
      <c r="QNB8" s="154"/>
      <c r="QNC8" s="154"/>
      <c r="QND8" s="154"/>
      <c r="QNE8" s="154"/>
      <c r="QNF8" s="154"/>
      <c r="QNG8" s="154"/>
      <c r="QNH8" s="154"/>
      <c r="QNI8" s="154"/>
      <c r="QNJ8" s="154"/>
      <c r="QNK8" s="154"/>
      <c r="QNL8" s="154"/>
      <c r="QNM8" s="154"/>
      <c r="QNN8" s="154"/>
      <c r="QNO8" s="154"/>
      <c r="QNP8" s="154"/>
      <c r="QNQ8" s="154"/>
      <c r="QNR8" s="154"/>
      <c r="QNS8" s="154"/>
      <c r="QNT8" s="154"/>
      <c r="QNU8" s="154"/>
      <c r="QNV8" s="154"/>
      <c r="QNW8" s="154"/>
      <c r="QNX8" s="154"/>
      <c r="QNY8" s="154"/>
      <c r="QNZ8" s="154"/>
      <c r="QOA8" s="154"/>
      <c r="QOB8" s="154"/>
      <c r="QOC8" s="154"/>
      <c r="QOD8" s="154"/>
      <c r="QOE8" s="154"/>
      <c r="QOF8" s="154"/>
      <c r="QOG8" s="154"/>
      <c r="QOH8" s="154"/>
      <c r="QOI8" s="154"/>
      <c r="QOJ8" s="154"/>
      <c r="QOK8" s="154"/>
      <c r="QOL8" s="154"/>
      <c r="QOM8" s="154"/>
      <c r="QON8" s="154"/>
      <c r="QOO8" s="154"/>
      <c r="QOP8" s="154"/>
      <c r="QOQ8" s="154"/>
      <c r="QOR8" s="154"/>
      <c r="QOS8" s="154"/>
      <c r="QOT8" s="154"/>
      <c r="QOU8" s="154"/>
      <c r="QOV8" s="154"/>
      <c r="QOW8" s="154"/>
      <c r="QOX8" s="154"/>
      <c r="QOY8" s="154"/>
      <c r="QOZ8" s="154"/>
      <c r="QPA8" s="154"/>
      <c r="QPB8" s="154"/>
      <c r="QPC8" s="154"/>
      <c r="QPD8" s="154"/>
      <c r="QPE8" s="154"/>
      <c r="QPF8" s="154"/>
      <c r="QPG8" s="154"/>
      <c r="QPH8" s="154"/>
      <c r="QPI8" s="154"/>
      <c r="QPJ8" s="154"/>
      <c r="QPK8" s="154"/>
      <c r="QPL8" s="154"/>
      <c r="QPM8" s="154"/>
      <c r="QPN8" s="154"/>
      <c r="QPO8" s="154"/>
      <c r="QPP8" s="154"/>
      <c r="QPQ8" s="154"/>
      <c r="QPR8" s="154"/>
      <c r="QPS8" s="154"/>
      <c r="QPT8" s="154"/>
      <c r="QPU8" s="154"/>
      <c r="QPV8" s="154"/>
      <c r="QPW8" s="154"/>
      <c r="QPX8" s="154"/>
      <c r="QPY8" s="154"/>
      <c r="QPZ8" s="154"/>
      <c r="QQA8" s="154"/>
      <c r="QQB8" s="154"/>
      <c r="QQC8" s="154"/>
      <c r="QQD8" s="154"/>
      <c r="QQE8" s="154"/>
      <c r="QQF8" s="154"/>
      <c r="QQG8" s="154"/>
      <c r="QQH8" s="154"/>
      <c r="QQI8" s="154"/>
      <c r="QQJ8" s="154"/>
      <c r="QQK8" s="154"/>
      <c r="QQL8" s="154"/>
      <c r="QQM8" s="154"/>
      <c r="QQN8" s="154"/>
      <c r="QQO8" s="154"/>
      <c r="QQP8" s="154"/>
      <c r="QQQ8" s="154"/>
      <c r="QQR8" s="154"/>
      <c r="QQS8" s="154"/>
      <c r="QQT8" s="154"/>
      <c r="QQU8" s="154"/>
      <c r="QQV8" s="154"/>
      <c r="QQW8" s="154"/>
      <c r="QQX8" s="154"/>
      <c r="QQY8" s="154"/>
      <c r="QQZ8" s="154"/>
      <c r="QRA8" s="154"/>
      <c r="QRB8" s="154"/>
      <c r="QRC8" s="154"/>
      <c r="QRD8" s="154"/>
      <c r="QRE8" s="154"/>
      <c r="QRF8" s="154"/>
      <c r="QRG8" s="154"/>
      <c r="QRH8" s="154"/>
      <c r="QRI8" s="154"/>
      <c r="QRJ8" s="154"/>
      <c r="QRK8" s="154"/>
      <c r="QRL8" s="154"/>
      <c r="QRM8" s="154"/>
      <c r="QRN8" s="154"/>
      <c r="QRO8" s="154"/>
      <c r="QRP8" s="154"/>
      <c r="QRQ8" s="154"/>
      <c r="QRR8" s="154"/>
      <c r="QRS8" s="154"/>
      <c r="QRT8" s="154"/>
      <c r="QRU8" s="154"/>
      <c r="QRV8" s="154"/>
      <c r="QRW8" s="154"/>
      <c r="QRX8" s="154"/>
      <c r="QRY8" s="154"/>
      <c r="QRZ8" s="154"/>
      <c r="QSA8" s="154"/>
      <c r="QSB8" s="154"/>
      <c r="QSC8" s="154"/>
      <c r="QSD8" s="154"/>
      <c r="QSE8" s="154"/>
      <c r="QSF8" s="154"/>
      <c r="QSG8" s="154"/>
      <c r="QSH8" s="154"/>
      <c r="QSI8" s="154"/>
      <c r="QSJ8" s="154"/>
      <c r="QSK8" s="154"/>
      <c r="QSL8" s="154"/>
      <c r="QSM8" s="154"/>
      <c r="QSN8" s="154"/>
      <c r="QSO8" s="154"/>
      <c r="QSP8" s="154"/>
      <c r="QSQ8" s="154"/>
      <c r="QSR8" s="154"/>
      <c r="QSS8" s="154"/>
      <c r="QST8" s="154"/>
      <c r="QSU8" s="154"/>
      <c r="QSV8" s="154"/>
      <c r="QSW8" s="154"/>
      <c r="QSX8" s="154"/>
      <c r="QSY8" s="154"/>
      <c r="QSZ8" s="154"/>
      <c r="QTA8" s="154"/>
      <c r="QTB8" s="154"/>
      <c r="QTC8" s="154"/>
      <c r="QTD8" s="154"/>
      <c r="QTE8" s="154"/>
      <c r="QTF8" s="154"/>
      <c r="QTG8" s="154"/>
      <c r="QTH8" s="154"/>
      <c r="QTI8" s="154"/>
      <c r="QTJ8" s="154"/>
      <c r="QTK8" s="154"/>
      <c r="QTL8" s="154"/>
      <c r="QTM8" s="154"/>
      <c r="QTN8" s="154"/>
      <c r="QTO8" s="154"/>
      <c r="QTP8" s="154"/>
      <c r="QTQ8" s="154"/>
      <c r="QTR8" s="154"/>
      <c r="QTS8" s="154"/>
      <c r="QTT8" s="154"/>
      <c r="QTU8" s="154"/>
      <c r="QTV8" s="154"/>
      <c r="QTW8" s="154"/>
      <c r="QTX8" s="154"/>
      <c r="QTY8" s="154"/>
      <c r="QTZ8" s="154"/>
      <c r="QUA8" s="154"/>
      <c r="QUB8" s="154"/>
      <c r="QUC8" s="154"/>
      <c r="QUD8" s="154"/>
      <c r="QUE8" s="154"/>
      <c r="QUF8" s="154"/>
      <c r="QUG8" s="154"/>
      <c r="QUH8" s="154"/>
      <c r="QUI8" s="154"/>
      <c r="QUJ8" s="154"/>
      <c r="QUK8" s="154"/>
      <c r="QUL8" s="154"/>
      <c r="QUM8" s="154"/>
      <c r="QUN8" s="154"/>
      <c r="QUO8" s="154"/>
      <c r="QUP8" s="154"/>
      <c r="QUQ8" s="154"/>
      <c r="QUR8" s="154"/>
      <c r="QUS8" s="154"/>
      <c r="QUT8" s="154"/>
      <c r="QUU8" s="154"/>
      <c r="QUV8" s="154"/>
      <c r="QUW8" s="154"/>
      <c r="QUX8" s="154"/>
      <c r="QUY8" s="154"/>
      <c r="QUZ8" s="154"/>
      <c r="QVA8" s="154"/>
      <c r="QVB8" s="154"/>
      <c r="QVC8" s="154"/>
      <c r="QVD8" s="154"/>
      <c r="QVE8" s="154"/>
      <c r="QVF8" s="154"/>
      <c r="QVG8" s="154"/>
      <c r="QVH8" s="154"/>
      <c r="QVI8" s="154"/>
      <c r="QVJ8" s="154"/>
      <c r="QVK8" s="154"/>
      <c r="QVL8" s="154"/>
      <c r="QVM8" s="154"/>
      <c r="QVN8" s="154"/>
      <c r="QVO8" s="154"/>
      <c r="QVP8" s="154"/>
      <c r="QVQ8" s="154"/>
      <c r="QVR8" s="154"/>
      <c r="QVS8" s="154"/>
      <c r="QVT8" s="154"/>
      <c r="QVU8" s="154"/>
      <c r="QVV8" s="154"/>
      <c r="QVW8" s="154"/>
      <c r="QVX8" s="154"/>
      <c r="QVY8" s="154"/>
      <c r="QVZ8" s="154"/>
      <c r="QWA8" s="154"/>
      <c r="QWB8" s="154"/>
      <c r="QWC8" s="154"/>
      <c r="QWD8" s="154"/>
      <c r="QWE8" s="154"/>
      <c r="QWF8" s="154"/>
      <c r="QWG8" s="154"/>
      <c r="QWH8" s="154"/>
      <c r="QWI8" s="154"/>
      <c r="QWJ8" s="154"/>
      <c r="QWK8" s="154"/>
      <c r="QWL8" s="154"/>
      <c r="QWM8" s="154"/>
      <c r="QWN8" s="154"/>
      <c r="QWO8" s="154"/>
      <c r="QWP8" s="154"/>
      <c r="QWQ8" s="154"/>
      <c r="QWR8" s="154"/>
      <c r="QWS8" s="154"/>
      <c r="QWT8" s="154"/>
      <c r="QWU8" s="154"/>
      <c r="QWV8" s="154"/>
      <c r="QWW8" s="154"/>
      <c r="QWX8" s="154"/>
      <c r="QWY8" s="154"/>
      <c r="QWZ8" s="154"/>
      <c r="QXA8" s="154"/>
      <c r="QXB8" s="154"/>
      <c r="QXC8" s="154"/>
      <c r="QXD8" s="154"/>
      <c r="QXE8" s="154"/>
      <c r="QXF8" s="154"/>
      <c r="QXG8" s="154"/>
      <c r="QXH8" s="154"/>
      <c r="QXI8" s="154"/>
      <c r="QXJ8" s="154"/>
      <c r="QXK8" s="154"/>
      <c r="QXL8" s="154"/>
      <c r="QXM8" s="154"/>
      <c r="QXN8" s="154"/>
      <c r="QXO8" s="154"/>
      <c r="QXP8" s="154"/>
      <c r="QXQ8" s="154"/>
      <c r="QXR8" s="154"/>
      <c r="QXS8" s="154"/>
      <c r="QXT8" s="154"/>
      <c r="QXU8" s="154"/>
      <c r="QXV8" s="154"/>
      <c r="QXW8" s="154"/>
      <c r="QXX8" s="154"/>
      <c r="QXY8" s="154"/>
      <c r="QXZ8" s="154"/>
      <c r="QYA8" s="154"/>
      <c r="QYB8" s="154"/>
      <c r="QYC8" s="154"/>
      <c r="QYD8" s="154"/>
      <c r="QYE8" s="154"/>
      <c r="QYF8" s="154"/>
      <c r="QYG8" s="154"/>
      <c r="QYH8" s="154"/>
      <c r="QYI8" s="154"/>
      <c r="QYJ8" s="154"/>
      <c r="QYK8" s="154"/>
      <c r="QYL8" s="154"/>
      <c r="QYM8" s="154"/>
      <c r="QYN8" s="154"/>
      <c r="QYO8" s="154"/>
      <c r="QYP8" s="154"/>
      <c r="QYQ8" s="154"/>
      <c r="QYR8" s="154"/>
      <c r="QYS8" s="154"/>
      <c r="QYT8" s="154"/>
      <c r="QYU8" s="154"/>
      <c r="QYV8" s="154"/>
      <c r="QYW8" s="154"/>
      <c r="QYX8" s="154"/>
      <c r="QYY8" s="154"/>
      <c r="QYZ8" s="154"/>
      <c r="QZA8" s="154"/>
      <c r="QZB8" s="154"/>
      <c r="QZC8" s="154"/>
      <c r="QZD8" s="154"/>
      <c r="QZE8" s="154"/>
      <c r="QZF8" s="154"/>
      <c r="QZG8" s="154"/>
      <c r="QZH8" s="154"/>
      <c r="QZI8" s="154"/>
      <c r="QZJ8" s="154"/>
      <c r="QZK8" s="154"/>
      <c r="QZL8" s="154"/>
      <c r="QZM8" s="154"/>
      <c r="QZN8" s="154"/>
      <c r="QZO8" s="154"/>
      <c r="QZP8" s="154"/>
      <c r="QZQ8" s="154"/>
      <c r="QZR8" s="154"/>
      <c r="QZS8" s="154"/>
      <c r="QZT8" s="154"/>
      <c r="QZU8" s="154"/>
      <c r="QZV8" s="154"/>
      <c r="QZW8" s="154"/>
      <c r="QZX8" s="154"/>
      <c r="QZY8" s="154"/>
      <c r="QZZ8" s="154"/>
      <c r="RAA8" s="154"/>
      <c r="RAB8" s="154"/>
      <c r="RAC8" s="154"/>
      <c r="RAD8" s="154"/>
      <c r="RAE8" s="154"/>
      <c r="RAF8" s="154"/>
      <c r="RAG8" s="154"/>
      <c r="RAH8" s="154"/>
      <c r="RAI8" s="154"/>
      <c r="RAJ8" s="154"/>
      <c r="RAK8" s="154"/>
      <c r="RAL8" s="154"/>
      <c r="RAM8" s="154"/>
      <c r="RAN8" s="154"/>
      <c r="RAO8" s="154"/>
      <c r="RAP8" s="154"/>
      <c r="RAQ8" s="154"/>
      <c r="RAR8" s="154"/>
      <c r="RAS8" s="154"/>
      <c r="RAT8" s="154"/>
      <c r="RAU8" s="154"/>
      <c r="RAV8" s="154"/>
      <c r="RAW8" s="154"/>
      <c r="RAX8" s="154"/>
      <c r="RAY8" s="154"/>
      <c r="RAZ8" s="154"/>
      <c r="RBA8" s="154"/>
      <c r="RBB8" s="154"/>
      <c r="RBC8" s="154"/>
      <c r="RBD8" s="154"/>
      <c r="RBE8" s="154"/>
      <c r="RBF8" s="154"/>
      <c r="RBG8" s="154"/>
      <c r="RBH8" s="154"/>
      <c r="RBI8" s="154"/>
      <c r="RBJ8" s="154"/>
      <c r="RBK8" s="154"/>
      <c r="RBL8" s="154"/>
      <c r="RBM8" s="154"/>
      <c r="RBN8" s="154"/>
      <c r="RBO8" s="154"/>
      <c r="RBP8" s="154"/>
      <c r="RBQ8" s="154"/>
      <c r="RBR8" s="154"/>
      <c r="RBS8" s="154"/>
      <c r="RBT8" s="154"/>
      <c r="RBU8" s="154"/>
      <c r="RBV8" s="154"/>
      <c r="RBW8" s="154"/>
      <c r="RBX8" s="154"/>
      <c r="RBY8" s="154"/>
      <c r="RBZ8" s="154"/>
      <c r="RCA8" s="154"/>
      <c r="RCB8" s="154"/>
      <c r="RCC8" s="154"/>
      <c r="RCD8" s="154"/>
      <c r="RCE8" s="154"/>
      <c r="RCF8" s="154"/>
      <c r="RCG8" s="154"/>
      <c r="RCH8" s="154"/>
      <c r="RCI8" s="154"/>
      <c r="RCJ8" s="154"/>
      <c r="RCK8" s="154"/>
      <c r="RCL8" s="154"/>
      <c r="RCM8" s="154"/>
      <c r="RCN8" s="154"/>
      <c r="RCO8" s="154"/>
      <c r="RCP8" s="154"/>
      <c r="RCQ8" s="154"/>
      <c r="RCR8" s="154"/>
      <c r="RCS8" s="154"/>
      <c r="RCT8" s="154"/>
      <c r="RCU8" s="154"/>
      <c r="RCV8" s="154"/>
      <c r="RCW8" s="154"/>
      <c r="RCX8" s="154"/>
      <c r="RCY8" s="154"/>
      <c r="RCZ8" s="154"/>
      <c r="RDA8" s="154"/>
      <c r="RDB8" s="154"/>
      <c r="RDC8" s="154"/>
      <c r="RDD8" s="154"/>
      <c r="RDE8" s="154"/>
      <c r="RDF8" s="154"/>
      <c r="RDG8" s="154"/>
      <c r="RDH8" s="154"/>
      <c r="RDI8" s="154"/>
      <c r="RDJ8" s="154"/>
      <c r="RDK8" s="154"/>
      <c r="RDL8" s="154"/>
      <c r="RDM8" s="154"/>
      <c r="RDN8" s="154"/>
      <c r="RDO8" s="154"/>
      <c r="RDP8" s="154"/>
      <c r="RDQ8" s="154"/>
      <c r="RDR8" s="154"/>
      <c r="RDS8" s="154"/>
      <c r="RDT8" s="154"/>
      <c r="RDU8" s="154"/>
      <c r="RDV8" s="154"/>
      <c r="RDW8" s="154"/>
      <c r="RDX8" s="154"/>
      <c r="RDY8" s="154"/>
      <c r="RDZ8" s="154"/>
      <c r="REA8" s="154"/>
      <c r="REB8" s="154"/>
      <c r="REC8" s="154"/>
      <c r="RED8" s="154"/>
      <c r="REE8" s="154"/>
      <c r="REF8" s="154"/>
      <c r="REG8" s="154"/>
      <c r="REH8" s="154"/>
      <c r="REI8" s="154"/>
      <c r="REJ8" s="154"/>
      <c r="REK8" s="154"/>
      <c r="REL8" s="154"/>
      <c r="REM8" s="154"/>
      <c r="REN8" s="154"/>
      <c r="REO8" s="154"/>
      <c r="REP8" s="154"/>
      <c r="REQ8" s="154"/>
      <c r="RER8" s="154"/>
      <c r="RES8" s="154"/>
      <c r="RET8" s="154"/>
      <c r="REU8" s="154"/>
      <c r="REV8" s="154"/>
      <c r="REW8" s="154"/>
      <c r="REX8" s="154"/>
      <c r="REY8" s="154"/>
      <c r="REZ8" s="154"/>
      <c r="RFA8" s="154"/>
      <c r="RFB8" s="154"/>
      <c r="RFC8" s="154"/>
      <c r="RFD8" s="154"/>
      <c r="RFE8" s="154"/>
      <c r="RFF8" s="154"/>
      <c r="RFG8" s="154"/>
      <c r="RFH8" s="154"/>
      <c r="RFI8" s="154"/>
      <c r="RFJ8" s="154"/>
      <c r="RFK8" s="154"/>
      <c r="RFL8" s="154"/>
      <c r="RFM8" s="154"/>
      <c r="RFN8" s="154"/>
      <c r="RFO8" s="154"/>
      <c r="RFP8" s="154"/>
      <c r="RFQ8" s="154"/>
      <c r="RFR8" s="154"/>
      <c r="RFS8" s="154"/>
      <c r="RFT8" s="154"/>
      <c r="RFU8" s="154"/>
      <c r="RFV8" s="154"/>
      <c r="RFW8" s="154"/>
      <c r="RFX8" s="154"/>
      <c r="RFY8" s="154"/>
      <c r="RFZ8" s="154"/>
      <c r="RGA8" s="154"/>
      <c r="RGB8" s="154"/>
      <c r="RGC8" s="154"/>
      <c r="RGD8" s="154"/>
      <c r="RGE8" s="154"/>
      <c r="RGF8" s="154"/>
      <c r="RGG8" s="154"/>
      <c r="RGH8" s="154"/>
      <c r="RGI8" s="154"/>
      <c r="RGJ8" s="154"/>
      <c r="RGK8" s="154"/>
      <c r="RGL8" s="154"/>
      <c r="RGM8" s="154"/>
      <c r="RGN8" s="154"/>
      <c r="RGO8" s="154"/>
      <c r="RGP8" s="154"/>
      <c r="RGQ8" s="154"/>
      <c r="RGR8" s="154"/>
      <c r="RGS8" s="154"/>
      <c r="RGT8" s="154"/>
      <c r="RGU8" s="154"/>
      <c r="RGV8" s="154"/>
      <c r="RGW8" s="154"/>
      <c r="RGX8" s="154"/>
      <c r="RGY8" s="154"/>
      <c r="RGZ8" s="154"/>
      <c r="RHA8" s="154"/>
      <c r="RHB8" s="154"/>
      <c r="RHC8" s="154"/>
      <c r="RHD8" s="154"/>
      <c r="RHE8" s="154"/>
      <c r="RHF8" s="154"/>
      <c r="RHG8" s="154"/>
      <c r="RHH8" s="154"/>
      <c r="RHI8" s="154"/>
      <c r="RHJ8" s="154"/>
      <c r="RHK8" s="154"/>
      <c r="RHL8" s="154"/>
      <c r="RHM8" s="154"/>
      <c r="RHN8" s="154"/>
      <c r="RHO8" s="154"/>
      <c r="RHP8" s="154"/>
      <c r="RHQ8" s="154"/>
      <c r="RHR8" s="154"/>
      <c r="RHS8" s="154"/>
      <c r="RHT8" s="154"/>
      <c r="RHU8" s="154"/>
      <c r="RHV8" s="154"/>
      <c r="RHW8" s="154"/>
      <c r="RHX8" s="154"/>
      <c r="RHY8" s="154"/>
      <c r="RHZ8" s="154"/>
      <c r="RIA8" s="154"/>
      <c r="RIB8" s="154"/>
      <c r="RIC8" s="154"/>
      <c r="RID8" s="154"/>
      <c r="RIE8" s="154"/>
      <c r="RIF8" s="154"/>
      <c r="RIG8" s="154"/>
      <c r="RIH8" s="154"/>
      <c r="RII8" s="154"/>
      <c r="RIJ8" s="154"/>
      <c r="RIK8" s="154"/>
      <c r="RIL8" s="154"/>
      <c r="RIM8" s="154"/>
      <c r="RIN8" s="154"/>
      <c r="RIO8" s="154"/>
      <c r="RIP8" s="154"/>
      <c r="RIQ8" s="154"/>
      <c r="RIR8" s="154"/>
      <c r="RIS8" s="154"/>
      <c r="RIT8" s="154"/>
      <c r="RIU8" s="154"/>
      <c r="RIV8" s="154"/>
      <c r="RIW8" s="154"/>
      <c r="RIX8" s="154"/>
      <c r="RIY8" s="154"/>
      <c r="RIZ8" s="154"/>
      <c r="RJA8" s="154"/>
      <c r="RJB8" s="154"/>
      <c r="RJC8" s="154"/>
      <c r="RJD8" s="154"/>
      <c r="RJE8" s="154"/>
      <c r="RJF8" s="154"/>
      <c r="RJG8" s="154"/>
      <c r="RJH8" s="154"/>
      <c r="RJI8" s="154"/>
      <c r="RJJ8" s="154"/>
      <c r="RJK8" s="154"/>
      <c r="RJL8" s="154"/>
      <c r="RJM8" s="154"/>
      <c r="RJN8" s="154"/>
      <c r="RJO8" s="154"/>
      <c r="RJP8" s="154"/>
      <c r="RJQ8" s="154"/>
      <c r="RJR8" s="154"/>
      <c r="RJS8" s="154"/>
      <c r="RJT8" s="154"/>
      <c r="RJU8" s="154"/>
      <c r="RJV8" s="154"/>
      <c r="RJW8" s="154"/>
      <c r="RJX8" s="154"/>
      <c r="RJY8" s="154"/>
      <c r="RJZ8" s="154"/>
      <c r="RKA8" s="154"/>
      <c r="RKB8" s="154"/>
      <c r="RKC8" s="154"/>
      <c r="RKD8" s="154"/>
      <c r="RKE8" s="154"/>
      <c r="RKF8" s="154"/>
      <c r="RKG8" s="154"/>
      <c r="RKH8" s="154"/>
      <c r="RKI8" s="154"/>
      <c r="RKJ8" s="154"/>
      <c r="RKK8" s="154"/>
      <c r="RKL8" s="154"/>
      <c r="RKM8" s="154"/>
      <c r="RKN8" s="154"/>
      <c r="RKO8" s="154"/>
      <c r="RKP8" s="154"/>
      <c r="RKQ8" s="154"/>
      <c r="RKR8" s="154"/>
      <c r="RKS8" s="154"/>
      <c r="RKT8" s="154"/>
      <c r="RKU8" s="154"/>
      <c r="RKV8" s="154"/>
      <c r="RKW8" s="154"/>
      <c r="RKX8" s="154"/>
      <c r="RKY8" s="154"/>
      <c r="RKZ8" s="154"/>
      <c r="RLA8" s="154"/>
      <c r="RLB8" s="154"/>
      <c r="RLC8" s="154"/>
      <c r="RLD8" s="154"/>
      <c r="RLE8" s="154"/>
      <c r="RLF8" s="154"/>
      <c r="RLG8" s="154"/>
      <c r="RLH8" s="154"/>
      <c r="RLI8" s="154"/>
      <c r="RLJ8" s="154"/>
      <c r="RLK8" s="154"/>
      <c r="RLL8" s="154"/>
      <c r="RLM8" s="154"/>
      <c r="RLN8" s="154"/>
      <c r="RLO8" s="154"/>
      <c r="RLP8" s="154"/>
      <c r="RLQ8" s="154"/>
      <c r="RLR8" s="154"/>
      <c r="RLS8" s="154"/>
      <c r="RLT8" s="154"/>
      <c r="RLU8" s="154"/>
      <c r="RLV8" s="154"/>
      <c r="RLW8" s="154"/>
      <c r="RLX8" s="154"/>
      <c r="RLY8" s="154"/>
      <c r="RLZ8" s="154"/>
      <c r="RMA8" s="154"/>
      <c r="RMB8" s="154"/>
      <c r="RMC8" s="154"/>
      <c r="RMD8" s="154"/>
      <c r="RME8" s="154"/>
      <c r="RMF8" s="154"/>
      <c r="RMG8" s="154"/>
      <c r="RMH8" s="154"/>
      <c r="RMI8" s="154"/>
      <c r="RMJ8" s="154"/>
      <c r="RMK8" s="154"/>
      <c r="RML8" s="154"/>
      <c r="RMM8" s="154"/>
      <c r="RMN8" s="154"/>
      <c r="RMO8" s="154"/>
      <c r="RMP8" s="154"/>
      <c r="RMQ8" s="154"/>
      <c r="RMR8" s="154"/>
      <c r="RMS8" s="154"/>
      <c r="RMT8" s="154"/>
      <c r="RMU8" s="154"/>
      <c r="RMV8" s="154"/>
      <c r="RMW8" s="154"/>
      <c r="RMX8" s="154"/>
      <c r="RMY8" s="154"/>
      <c r="RMZ8" s="154"/>
      <c r="RNA8" s="154"/>
      <c r="RNB8" s="154"/>
      <c r="RNC8" s="154"/>
      <c r="RND8" s="154"/>
      <c r="RNE8" s="154"/>
      <c r="RNF8" s="154"/>
      <c r="RNG8" s="154"/>
      <c r="RNH8" s="154"/>
      <c r="RNI8" s="154"/>
      <c r="RNJ8" s="154"/>
      <c r="RNK8" s="154"/>
      <c r="RNL8" s="154"/>
      <c r="RNM8" s="154"/>
      <c r="RNN8" s="154"/>
      <c r="RNO8" s="154"/>
      <c r="RNP8" s="154"/>
      <c r="RNQ8" s="154"/>
      <c r="RNR8" s="154"/>
      <c r="RNS8" s="154"/>
      <c r="RNT8" s="154"/>
      <c r="RNU8" s="154"/>
      <c r="RNV8" s="154"/>
      <c r="RNW8" s="154"/>
      <c r="RNX8" s="154"/>
      <c r="RNY8" s="154"/>
      <c r="RNZ8" s="154"/>
      <c r="ROA8" s="154"/>
      <c r="ROB8" s="154"/>
      <c r="ROC8" s="154"/>
      <c r="ROD8" s="154"/>
      <c r="ROE8" s="154"/>
      <c r="ROF8" s="154"/>
      <c r="ROG8" s="154"/>
      <c r="ROH8" s="154"/>
      <c r="ROI8" s="154"/>
      <c r="ROJ8" s="154"/>
      <c r="ROK8" s="154"/>
      <c r="ROL8" s="154"/>
      <c r="ROM8" s="154"/>
      <c r="RON8" s="154"/>
      <c r="ROO8" s="154"/>
      <c r="ROP8" s="154"/>
      <c r="ROQ8" s="154"/>
      <c r="ROR8" s="154"/>
      <c r="ROS8" s="154"/>
      <c r="ROT8" s="154"/>
      <c r="ROU8" s="154"/>
      <c r="ROV8" s="154"/>
      <c r="ROW8" s="154"/>
      <c r="ROX8" s="154"/>
      <c r="ROY8" s="154"/>
      <c r="ROZ8" s="154"/>
      <c r="RPA8" s="154"/>
      <c r="RPB8" s="154"/>
      <c r="RPC8" s="154"/>
      <c r="RPD8" s="154"/>
      <c r="RPE8" s="154"/>
      <c r="RPF8" s="154"/>
      <c r="RPG8" s="154"/>
      <c r="RPH8" s="154"/>
      <c r="RPI8" s="154"/>
      <c r="RPJ8" s="154"/>
      <c r="RPK8" s="154"/>
      <c r="RPL8" s="154"/>
      <c r="RPM8" s="154"/>
      <c r="RPN8" s="154"/>
      <c r="RPO8" s="154"/>
      <c r="RPP8" s="154"/>
      <c r="RPQ8" s="154"/>
      <c r="RPR8" s="154"/>
      <c r="RPS8" s="154"/>
      <c r="RPT8" s="154"/>
      <c r="RPU8" s="154"/>
      <c r="RPV8" s="154"/>
      <c r="RPW8" s="154"/>
      <c r="RPX8" s="154"/>
      <c r="RPY8" s="154"/>
      <c r="RPZ8" s="154"/>
      <c r="RQA8" s="154"/>
      <c r="RQB8" s="154"/>
      <c r="RQC8" s="154"/>
      <c r="RQD8" s="154"/>
      <c r="RQE8" s="154"/>
      <c r="RQF8" s="154"/>
      <c r="RQG8" s="154"/>
      <c r="RQH8" s="154"/>
      <c r="RQI8" s="154"/>
      <c r="RQJ8" s="154"/>
      <c r="RQK8" s="154"/>
      <c r="RQL8" s="154"/>
      <c r="RQM8" s="154"/>
      <c r="RQN8" s="154"/>
      <c r="RQO8" s="154"/>
      <c r="RQP8" s="154"/>
      <c r="RQQ8" s="154"/>
      <c r="RQR8" s="154"/>
      <c r="RQS8" s="154"/>
      <c r="RQT8" s="154"/>
      <c r="RQU8" s="154"/>
      <c r="RQV8" s="154"/>
      <c r="RQW8" s="154"/>
      <c r="RQX8" s="154"/>
      <c r="RQY8" s="154"/>
      <c r="RQZ8" s="154"/>
      <c r="RRA8" s="154"/>
      <c r="RRB8" s="154"/>
      <c r="RRC8" s="154"/>
      <c r="RRD8" s="154"/>
      <c r="RRE8" s="154"/>
      <c r="RRF8" s="154"/>
      <c r="RRG8" s="154"/>
      <c r="RRH8" s="154"/>
      <c r="RRI8" s="154"/>
      <c r="RRJ8" s="154"/>
      <c r="RRK8" s="154"/>
      <c r="RRL8" s="154"/>
      <c r="RRM8" s="154"/>
      <c r="RRN8" s="154"/>
      <c r="RRO8" s="154"/>
      <c r="RRP8" s="154"/>
      <c r="RRQ8" s="154"/>
      <c r="RRR8" s="154"/>
      <c r="RRS8" s="154"/>
      <c r="RRT8" s="154"/>
      <c r="RRU8" s="154"/>
      <c r="RRV8" s="154"/>
      <c r="RRW8" s="154"/>
      <c r="RRX8" s="154"/>
      <c r="RRY8" s="154"/>
      <c r="RRZ8" s="154"/>
      <c r="RSA8" s="154"/>
      <c r="RSB8" s="154"/>
      <c r="RSC8" s="154"/>
      <c r="RSD8" s="154"/>
      <c r="RSE8" s="154"/>
      <c r="RSF8" s="154"/>
      <c r="RSG8" s="154"/>
      <c r="RSH8" s="154"/>
      <c r="RSI8" s="154"/>
      <c r="RSJ8" s="154"/>
      <c r="RSK8" s="154"/>
      <c r="RSL8" s="154"/>
      <c r="RSM8" s="154"/>
      <c r="RSN8" s="154"/>
      <c r="RSO8" s="154"/>
      <c r="RSP8" s="154"/>
      <c r="RSQ8" s="154"/>
      <c r="RSR8" s="154"/>
      <c r="RSS8" s="154"/>
      <c r="RST8" s="154"/>
      <c r="RSU8" s="154"/>
      <c r="RSV8" s="154"/>
      <c r="RSW8" s="154"/>
      <c r="RSX8" s="154"/>
      <c r="RSY8" s="154"/>
      <c r="RSZ8" s="154"/>
      <c r="RTA8" s="154"/>
      <c r="RTB8" s="154"/>
      <c r="RTC8" s="154"/>
      <c r="RTD8" s="154"/>
      <c r="RTE8" s="154"/>
      <c r="RTF8" s="154"/>
      <c r="RTG8" s="154"/>
      <c r="RTH8" s="154"/>
      <c r="RTI8" s="154"/>
      <c r="RTJ8" s="154"/>
      <c r="RTK8" s="154"/>
      <c r="RTL8" s="154"/>
      <c r="RTM8" s="154"/>
      <c r="RTN8" s="154"/>
      <c r="RTO8" s="154"/>
      <c r="RTP8" s="154"/>
      <c r="RTQ8" s="154"/>
      <c r="RTR8" s="154"/>
      <c r="RTS8" s="154"/>
      <c r="RTT8" s="154"/>
      <c r="RTU8" s="154"/>
      <c r="RTV8" s="154"/>
      <c r="RTW8" s="154"/>
      <c r="RTX8" s="154"/>
      <c r="RTY8" s="154"/>
      <c r="RTZ8" s="154"/>
      <c r="RUA8" s="154"/>
      <c r="RUB8" s="154"/>
      <c r="RUC8" s="154"/>
      <c r="RUD8" s="154"/>
      <c r="RUE8" s="154"/>
      <c r="RUF8" s="154"/>
      <c r="RUG8" s="154"/>
      <c r="RUH8" s="154"/>
      <c r="RUI8" s="154"/>
      <c r="RUJ8" s="154"/>
      <c r="RUK8" s="154"/>
      <c r="RUL8" s="154"/>
      <c r="RUM8" s="154"/>
      <c r="RUN8" s="154"/>
      <c r="RUO8" s="154"/>
      <c r="RUP8" s="154"/>
      <c r="RUQ8" s="154"/>
      <c r="RUR8" s="154"/>
      <c r="RUS8" s="154"/>
      <c r="RUT8" s="154"/>
      <c r="RUU8" s="154"/>
      <c r="RUV8" s="154"/>
      <c r="RUW8" s="154"/>
      <c r="RUX8" s="154"/>
      <c r="RUY8" s="154"/>
      <c r="RUZ8" s="154"/>
      <c r="RVA8" s="154"/>
      <c r="RVB8" s="154"/>
      <c r="RVC8" s="154"/>
      <c r="RVD8" s="154"/>
      <c r="RVE8" s="154"/>
      <c r="RVF8" s="154"/>
      <c r="RVG8" s="154"/>
      <c r="RVH8" s="154"/>
      <c r="RVI8" s="154"/>
      <c r="RVJ8" s="154"/>
      <c r="RVK8" s="154"/>
      <c r="RVL8" s="154"/>
      <c r="RVM8" s="154"/>
      <c r="RVN8" s="154"/>
      <c r="RVO8" s="154"/>
      <c r="RVP8" s="154"/>
      <c r="RVQ8" s="154"/>
      <c r="RVR8" s="154"/>
      <c r="RVS8" s="154"/>
      <c r="RVT8" s="154"/>
      <c r="RVU8" s="154"/>
      <c r="RVV8" s="154"/>
      <c r="RVW8" s="154"/>
      <c r="RVX8" s="154"/>
      <c r="RVY8" s="154"/>
      <c r="RVZ8" s="154"/>
      <c r="RWA8" s="154"/>
      <c r="RWB8" s="154"/>
      <c r="RWC8" s="154"/>
      <c r="RWD8" s="154"/>
      <c r="RWE8" s="154"/>
      <c r="RWF8" s="154"/>
      <c r="RWG8" s="154"/>
      <c r="RWH8" s="154"/>
      <c r="RWI8" s="154"/>
      <c r="RWJ8" s="154"/>
      <c r="RWK8" s="154"/>
      <c r="RWL8" s="154"/>
      <c r="RWM8" s="154"/>
      <c r="RWN8" s="154"/>
      <c r="RWO8" s="154"/>
      <c r="RWP8" s="154"/>
      <c r="RWQ8" s="154"/>
      <c r="RWR8" s="154"/>
      <c r="RWS8" s="154"/>
      <c r="RWT8" s="154"/>
      <c r="RWU8" s="154"/>
      <c r="RWV8" s="154"/>
      <c r="RWW8" s="154"/>
      <c r="RWX8" s="154"/>
      <c r="RWY8" s="154"/>
      <c r="RWZ8" s="154"/>
      <c r="RXA8" s="154"/>
      <c r="RXB8" s="154"/>
      <c r="RXC8" s="154"/>
      <c r="RXD8" s="154"/>
      <c r="RXE8" s="154"/>
      <c r="RXF8" s="154"/>
      <c r="RXG8" s="154"/>
      <c r="RXH8" s="154"/>
      <c r="RXI8" s="154"/>
      <c r="RXJ8" s="154"/>
      <c r="RXK8" s="154"/>
      <c r="RXL8" s="154"/>
      <c r="RXM8" s="154"/>
      <c r="RXN8" s="154"/>
      <c r="RXO8" s="154"/>
      <c r="RXP8" s="154"/>
      <c r="RXQ8" s="154"/>
      <c r="RXR8" s="154"/>
      <c r="RXS8" s="154"/>
      <c r="RXT8" s="154"/>
      <c r="RXU8" s="154"/>
      <c r="RXV8" s="154"/>
      <c r="RXW8" s="154"/>
      <c r="RXX8" s="154"/>
      <c r="RXY8" s="154"/>
      <c r="RXZ8" s="154"/>
      <c r="RYA8" s="154"/>
      <c r="RYB8" s="154"/>
      <c r="RYC8" s="154"/>
      <c r="RYD8" s="154"/>
      <c r="RYE8" s="154"/>
      <c r="RYF8" s="154"/>
      <c r="RYG8" s="154"/>
      <c r="RYH8" s="154"/>
      <c r="RYI8" s="154"/>
      <c r="RYJ8" s="154"/>
      <c r="RYK8" s="154"/>
      <c r="RYL8" s="154"/>
      <c r="RYM8" s="154"/>
      <c r="RYN8" s="154"/>
      <c r="RYO8" s="154"/>
      <c r="RYP8" s="154"/>
      <c r="RYQ8" s="154"/>
      <c r="RYR8" s="154"/>
      <c r="RYS8" s="154"/>
      <c r="RYT8" s="154"/>
      <c r="RYU8" s="154"/>
      <c r="RYV8" s="154"/>
      <c r="RYW8" s="154"/>
      <c r="RYX8" s="154"/>
      <c r="RYY8" s="154"/>
      <c r="RYZ8" s="154"/>
      <c r="RZA8" s="154"/>
      <c r="RZB8" s="154"/>
      <c r="RZC8" s="154"/>
      <c r="RZD8" s="154"/>
      <c r="RZE8" s="154"/>
      <c r="RZF8" s="154"/>
      <c r="RZG8" s="154"/>
      <c r="RZH8" s="154"/>
      <c r="RZI8" s="154"/>
      <c r="RZJ8" s="154"/>
      <c r="RZK8" s="154"/>
      <c r="RZL8" s="154"/>
      <c r="RZM8" s="154"/>
      <c r="RZN8" s="154"/>
      <c r="RZO8" s="154"/>
      <c r="RZP8" s="154"/>
      <c r="RZQ8" s="154"/>
      <c r="RZR8" s="154"/>
      <c r="RZS8" s="154"/>
      <c r="RZT8" s="154"/>
      <c r="RZU8" s="154"/>
      <c r="RZV8" s="154"/>
      <c r="RZW8" s="154"/>
      <c r="RZX8" s="154"/>
      <c r="RZY8" s="154"/>
      <c r="RZZ8" s="154"/>
      <c r="SAA8" s="154"/>
      <c r="SAB8" s="154"/>
      <c r="SAC8" s="154"/>
      <c r="SAD8" s="154"/>
      <c r="SAE8" s="154"/>
      <c r="SAF8" s="154"/>
      <c r="SAG8" s="154"/>
      <c r="SAH8" s="154"/>
      <c r="SAI8" s="154"/>
      <c r="SAJ8" s="154"/>
      <c r="SAK8" s="154"/>
      <c r="SAL8" s="154"/>
      <c r="SAM8" s="154"/>
      <c r="SAN8" s="154"/>
      <c r="SAO8" s="154"/>
      <c r="SAP8" s="154"/>
      <c r="SAQ8" s="154"/>
      <c r="SAR8" s="154"/>
      <c r="SAS8" s="154"/>
      <c r="SAT8" s="154"/>
      <c r="SAU8" s="154"/>
      <c r="SAV8" s="154"/>
      <c r="SAW8" s="154"/>
      <c r="SAX8" s="154"/>
      <c r="SAY8" s="154"/>
      <c r="SAZ8" s="154"/>
      <c r="SBA8" s="154"/>
      <c r="SBB8" s="154"/>
      <c r="SBC8" s="154"/>
      <c r="SBD8" s="154"/>
      <c r="SBE8" s="154"/>
      <c r="SBF8" s="154"/>
      <c r="SBG8" s="154"/>
      <c r="SBH8" s="154"/>
      <c r="SBI8" s="154"/>
      <c r="SBJ8" s="154"/>
      <c r="SBK8" s="154"/>
      <c r="SBL8" s="154"/>
      <c r="SBM8" s="154"/>
      <c r="SBN8" s="154"/>
      <c r="SBO8" s="154"/>
      <c r="SBP8" s="154"/>
      <c r="SBQ8" s="154"/>
      <c r="SBR8" s="154"/>
      <c r="SBS8" s="154"/>
      <c r="SBT8" s="154"/>
      <c r="SBU8" s="154"/>
      <c r="SBV8" s="154"/>
      <c r="SBW8" s="154"/>
      <c r="SBX8" s="154"/>
      <c r="SBY8" s="154"/>
      <c r="SBZ8" s="154"/>
      <c r="SCA8" s="154"/>
      <c r="SCB8" s="154"/>
      <c r="SCC8" s="154"/>
      <c r="SCD8" s="154"/>
      <c r="SCE8" s="154"/>
      <c r="SCF8" s="154"/>
      <c r="SCG8" s="154"/>
      <c r="SCH8" s="154"/>
      <c r="SCI8" s="154"/>
      <c r="SCJ8" s="154"/>
      <c r="SCK8" s="154"/>
      <c r="SCL8" s="154"/>
      <c r="SCM8" s="154"/>
      <c r="SCN8" s="154"/>
      <c r="SCO8" s="154"/>
      <c r="SCP8" s="154"/>
      <c r="SCQ8" s="154"/>
      <c r="SCR8" s="154"/>
      <c r="SCS8" s="154"/>
      <c r="SCT8" s="154"/>
      <c r="SCU8" s="154"/>
      <c r="SCV8" s="154"/>
      <c r="SCW8" s="154"/>
      <c r="SCX8" s="154"/>
      <c r="SCY8" s="154"/>
      <c r="SCZ8" s="154"/>
      <c r="SDA8" s="154"/>
      <c r="SDB8" s="154"/>
      <c r="SDC8" s="154"/>
      <c r="SDD8" s="154"/>
      <c r="SDE8" s="154"/>
      <c r="SDF8" s="154"/>
      <c r="SDG8" s="154"/>
      <c r="SDH8" s="154"/>
      <c r="SDI8" s="154"/>
      <c r="SDJ8" s="154"/>
      <c r="SDK8" s="154"/>
      <c r="SDL8" s="154"/>
      <c r="SDM8" s="154"/>
      <c r="SDN8" s="154"/>
      <c r="SDO8" s="154"/>
      <c r="SDP8" s="154"/>
      <c r="SDQ8" s="154"/>
      <c r="SDR8" s="154"/>
      <c r="SDS8" s="154"/>
      <c r="SDT8" s="154"/>
      <c r="SDU8" s="154"/>
      <c r="SDV8" s="154"/>
      <c r="SDW8" s="154"/>
      <c r="SDX8" s="154"/>
      <c r="SDY8" s="154"/>
      <c r="SDZ8" s="154"/>
      <c r="SEA8" s="154"/>
      <c r="SEB8" s="154"/>
      <c r="SEC8" s="154"/>
      <c r="SED8" s="154"/>
      <c r="SEE8" s="154"/>
      <c r="SEF8" s="154"/>
      <c r="SEG8" s="154"/>
      <c r="SEH8" s="154"/>
      <c r="SEI8" s="154"/>
      <c r="SEJ8" s="154"/>
      <c r="SEK8" s="154"/>
      <c r="SEL8" s="154"/>
      <c r="SEM8" s="154"/>
      <c r="SEN8" s="154"/>
      <c r="SEO8" s="154"/>
      <c r="SEP8" s="154"/>
      <c r="SEQ8" s="154"/>
      <c r="SER8" s="154"/>
      <c r="SES8" s="154"/>
      <c r="SET8" s="154"/>
      <c r="SEU8" s="154"/>
      <c r="SEV8" s="154"/>
      <c r="SEW8" s="154"/>
      <c r="SEX8" s="154"/>
      <c r="SEY8" s="154"/>
      <c r="SEZ8" s="154"/>
      <c r="SFA8" s="154"/>
      <c r="SFB8" s="154"/>
      <c r="SFC8" s="154"/>
      <c r="SFD8" s="154"/>
      <c r="SFE8" s="154"/>
      <c r="SFF8" s="154"/>
      <c r="SFG8" s="154"/>
      <c r="SFH8" s="154"/>
      <c r="SFI8" s="154"/>
      <c r="SFJ8" s="154"/>
      <c r="SFK8" s="154"/>
      <c r="SFL8" s="154"/>
      <c r="SFM8" s="154"/>
      <c r="SFN8" s="154"/>
      <c r="SFO8" s="154"/>
      <c r="SFP8" s="154"/>
      <c r="SFQ8" s="154"/>
      <c r="SFR8" s="154"/>
      <c r="SFS8" s="154"/>
      <c r="SFT8" s="154"/>
      <c r="SFU8" s="154"/>
      <c r="SFV8" s="154"/>
      <c r="SFW8" s="154"/>
      <c r="SFX8" s="154"/>
      <c r="SFY8" s="154"/>
      <c r="SFZ8" s="154"/>
      <c r="SGA8" s="154"/>
      <c r="SGB8" s="154"/>
      <c r="SGC8" s="154"/>
      <c r="SGD8" s="154"/>
      <c r="SGE8" s="154"/>
      <c r="SGF8" s="154"/>
      <c r="SGG8" s="154"/>
      <c r="SGH8" s="154"/>
      <c r="SGI8" s="154"/>
      <c r="SGJ8" s="154"/>
      <c r="SGK8" s="154"/>
      <c r="SGL8" s="154"/>
      <c r="SGM8" s="154"/>
      <c r="SGN8" s="154"/>
      <c r="SGO8" s="154"/>
      <c r="SGP8" s="154"/>
      <c r="SGQ8" s="154"/>
      <c r="SGR8" s="154"/>
      <c r="SGS8" s="154"/>
      <c r="SGT8" s="154"/>
      <c r="SGU8" s="154"/>
      <c r="SGV8" s="154"/>
      <c r="SGW8" s="154"/>
      <c r="SGX8" s="154"/>
      <c r="SGY8" s="154"/>
      <c r="SGZ8" s="154"/>
      <c r="SHA8" s="154"/>
      <c r="SHB8" s="154"/>
      <c r="SHC8" s="154"/>
      <c r="SHD8" s="154"/>
      <c r="SHE8" s="154"/>
      <c r="SHF8" s="154"/>
      <c r="SHG8" s="154"/>
      <c r="SHH8" s="154"/>
      <c r="SHI8" s="154"/>
      <c r="SHJ8" s="154"/>
      <c r="SHK8" s="154"/>
      <c r="SHL8" s="154"/>
      <c r="SHM8" s="154"/>
      <c r="SHN8" s="154"/>
      <c r="SHO8" s="154"/>
      <c r="SHP8" s="154"/>
      <c r="SHQ8" s="154"/>
      <c r="SHR8" s="154"/>
      <c r="SHS8" s="154"/>
      <c r="SHT8" s="154"/>
      <c r="SHU8" s="154"/>
      <c r="SHV8" s="154"/>
      <c r="SHW8" s="154"/>
      <c r="SHX8" s="154"/>
      <c r="SHY8" s="154"/>
      <c r="SHZ8" s="154"/>
      <c r="SIA8" s="154"/>
      <c r="SIB8" s="154"/>
      <c r="SIC8" s="154"/>
      <c r="SID8" s="154"/>
      <c r="SIE8" s="154"/>
      <c r="SIF8" s="154"/>
      <c r="SIG8" s="154"/>
      <c r="SIH8" s="154"/>
      <c r="SII8" s="154"/>
      <c r="SIJ8" s="154"/>
      <c r="SIK8" s="154"/>
      <c r="SIL8" s="154"/>
      <c r="SIM8" s="154"/>
      <c r="SIN8" s="154"/>
      <c r="SIO8" s="154"/>
      <c r="SIP8" s="154"/>
      <c r="SIQ8" s="154"/>
      <c r="SIR8" s="154"/>
      <c r="SIS8" s="154"/>
      <c r="SIT8" s="154"/>
      <c r="SIU8" s="154"/>
      <c r="SIV8" s="154"/>
      <c r="SIW8" s="154"/>
      <c r="SIX8" s="154"/>
      <c r="SIY8" s="154"/>
      <c r="SIZ8" s="154"/>
      <c r="SJA8" s="154"/>
      <c r="SJB8" s="154"/>
      <c r="SJC8" s="154"/>
      <c r="SJD8" s="154"/>
      <c r="SJE8" s="154"/>
      <c r="SJF8" s="154"/>
      <c r="SJG8" s="154"/>
      <c r="SJH8" s="154"/>
      <c r="SJI8" s="154"/>
      <c r="SJJ8" s="154"/>
      <c r="SJK8" s="154"/>
      <c r="SJL8" s="154"/>
      <c r="SJM8" s="154"/>
      <c r="SJN8" s="154"/>
      <c r="SJO8" s="154"/>
      <c r="SJP8" s="154"/>
      <c r="SJQ8" s="154"/>
      <c r="SJR8" s="154"/>
      <c r="SJS8" s="154"/>
      <c r="SJT8" s="154"/>
      <c r="SJU8" s="154"/>
      <c r="SJV8" s="154"/>
      <c r="SJW8" s="154"/>
      <c r="SJX8" s="154"/>
      <c r="SJY8" s="154"/>
      <c r="SJZ8" s="154"/>
      <c r="SKA8" s="154"/>
      <c r="SKB8" s="154"/>
      <c r="SKC8" s="154"/>
      <c r="SKD8" s="154"/>
      <c r="SKE8" s="154"/>
      <c r="SKF8" s="154"/>
      <c r="SKG8" s="154"/>
      <c r="SKH8" s="154"/>
      <c r="SKI8" s="154"/>
      <c r="SKJ8" s="154"/>
      <c r="SKK8" s="154"/>
      <c r="SKL8" s="154"/>
      <c r="SKM8" s="154"/>
      <c r="SKN8" s="154"/>
      <c r="SKO8" s="154"/>
      <c r="SKP8" s="154"/>
      <c r="SKQ8" s="154"/>
      <c r="SKR8" s="154"/>
      <c r="SKS8" s="154"/>
      <c r="SKT8" s="154"/>
      <c r="SKU8" s="154"/>
      <c r="SKV8" s="154"/>
      <c r="SKW8" s="154"/>
      <c r="SKX8" s="154"/>
      <c r="SKY8" s="154"/>
      <c r="SKZ8" s="154"/>
      <c r="SLA8" s="154"/>
      <c r="SLB8" s="154"/>
      <c r="SLC8" s="154"/>
      <c r="SLD8" s="154"/>
      <c r="SLE8" s="154"/>
      <c r="SLF8" s="154"/>
      <c r="SLG8" s="154"/>
      <c r="SLH8" s="154"/>
      <c r="SLI8" s="154"/>
      <c r="SLJ8" s="154"/>
      <c r="SLK8" s="154"/>
      <c r="SLL8" s="154"/>
      <c r="SLM8" s="154"/>
      <c r="SLN8" s="154"/>
      <c r="SLO8" s="154"/>
      <c r="SLP8" s="154"/>
      <c r="SLQ8" s="154"/>
      <c r="SLR8" s="154"/>
      <c r="SLS8" s="154"/>
      <c r="SLT8" s="154"/>
      <c r="SLU8" s="154"/>
      <c r="SLV8" s="154"/>
      <c r="SLW8" s="154"/>
      <c r="SLX8" s="154"/>
      <c r="SLY8" s="154"/>
      <c r="SLZ8" s="154"/>
      <c r="SMA8" s="154"/>
      <c r="SMB8" s="154"/>
      <c r="SMC8" s="154"/>
      <c r="SMD8" s="154"/>
      <c r="SME8" s="154"/>
      <c r="SMF8" s="154"/>
      <c r="SMG8" s="154"/>
      <c r="SMH8" s="154"/>
      <c r="SMI8" s="154"/>
      <c r="SMJ8" s="154"/>
      <c r="SMK8" s="154"/>
      <c r="SML8" s="154"/>
      <c r="SMM8" s="154"/>
      <c r="SMN8" s="154"/>
      <c r="SMO8" s="154"/>
      <c r="SMP8" s="154"/>
      <c r="SMQ8" s="154"/>
      <c r="SMR8" s="154"/>
      <c r="SMS8" s="154"/>
      <c r="SMT8" s="154"/>
      <c r="SMU8" s="154"/>
      <c r="SMV8" s="154"/>
      <c r="SMW8" s="154"/>
      <c r="SMX8" s="154"/>
      <c r="SMY8" s="154"/>
      <c r="SMZ8" s="154"/>
      <c r="SNA8" s="154"/>
      <c r="SNB8" s="154"/>
      <c r="SNC8" s="154"/>
      <c r="SND8" s="154"/>
      <c r="SNE8" s="154"/>
      <c r="SNF8" s="154"/>
      <c r="SNG8" s="154"/>
      <c r="SNH8" s="154"/>
      <c r="SNI8" s="154"/>
      <c r="SNJ8" s="154"/>
      <c r="SNK8" s="154"/>
      <c r="SNL8" s="154"/>
      <c r="SNM8" s="154"/>
      <c r="SNN8" s="154"/>
      <c r="SNO8" s="154"/>
      <c r="SNP8" s="154"/>
      <c r="SNQ8" s="154"/>
      <c r="SNR8" s="154"/>
      <c r="SNS8" s="154"/>
      <c r="SNT8" s="154"/>
      <c r="SNU8" s="154"/>
      <c r="SNV8" s="154"/>
      <c r="SNW8" s="154"/>
      <c r="SNX8" s="154"/>
      <c r="SNY8" s="154"/>
      <c r="SNZ8" s="154"/>
      <c r="SOA8" s="154"/>
      <c r="SOB8" s="154"/>
      <c r="SOC8" s="154"/>
      <c r="SOD8" s="154"/>
      <c r="SOE8" s="154"/>
      <c r="SOF8" s="154"/>
      <c r="SOG8" s="154"/>
      <c r="SOH8" s="154"/>
      <c r="SOI8" s="154"/>
      <c r="SOJ8" s="154"/>
      <c r="SOK8" s="154"/>
      <c r="SOL8" s="154"/>
      <c r="SOM8" s="154"/>
      <c r="SON8" s="154"/>
      <c r="SOO8" s="154"/>
      <c r="SOP8" s="154"/>
      <c r="SOQ8" s="154"/>
      <c r="SOR8" s="154"/>
      <c r="SOS8" s="154"/>
      <c r="SOT8" s="154"/>
      <c r="SOU8" s="154"/>
      <c r="SOV8" s="154"/>
      <c r="SOW8" s="154"/>
      <c r="SOX8" s="154"/>
      <c r="SOY8" s="154"/>
      <c r="SOZ8" s="154"/>
      <c r="SPA8" s="154"/>
      <c r="SPB8" s="154"/>
      <c r="SPC8" s="154"/>
      <c r="SPD8" s="154"/>
      <c r="SPE8" s="154"/>
      <c r="SPF8" s="154"/>
      <c r="SPG8" s="154"/>
      <c r="SPH8" s="154"/>
      <c r="SPI8" s="154"/>
      <c r="SPJ8" s="154"/>
      <c r="SPK8" s="154"/>
      <c r="SPL8" s="154"/>
      <c r="SPM8" s="154"/>
      <c r="SPN8" s="154"/>
      <c r="SPO8" s="154"/>
      <c r="SPP8" s="154"/>
      <c r="SPQ8" s="154"/>
      <c r="SPR8" s="154"/>
      <c r="SPS8" s="154"/>
      <c r="SPT8" s="154"/>
      <c r="SPU8" s="154"/>
      <c r="SPV8" s="154"/>
      <c r="SPW8" s="154"/>
      <c r="SPX8" s="154"/>
      <c r="SPY8" s="154"/>
      <c r="SPZ8" s="154"/>
      <c r="SQA8" s="154"/>
      <c r="SQB8" s="154"/>
      <c r="SQC8" s="154"/>
      <c r="SQD8" s="154"/>
      <c r="SQE8" s="154"/>
      <c r="SQF8" s="154"/>
      <c r="SQG8" s="154"/>
      <c r="SQH8" s="154"/>
      <c r="SQI8" s="154"/>
      <c r="SQJ8" s="154"/>
      <c r="SQK8" s="154"/>
      <c r="SQL8" s="154"/>
      <c r="SQM8" s="154"/>
      <c r="SQN8" s="154"/>
      <c r="SQO8" s="154"/>
      <c r="SQP8" s="154"/>
      <c r="SQQ8" s="154"/>
      <c r="SQR8" s="154"/>
      <c r="SQS8" s="154"/>
      <c r="SQT8" s="154"/>
      <c r="SQU8" s="154"/>
      <c r="SQV8" s="154"/>
      <c r="SQW8" s="154"/>
      <c r="SQX8" s="154"/>
      <c r="SQY8" s="154"/>
      <c r="SQZ8" s="154"/>
      <c r="SRA8" s="154"/>
      <c r="SRB8" s="154"/>
      <c r="SRC8" s="154"/>
      <c r="SRD8" s="154"/>
      <c r="SRE8" s="154"/>
      <c r="SRF8" s="154"/>
      <c r="SRG8" s="154"/>
      <c r="SRH8" s="154"/>
      <c r="SRI8" s="154"/>
      <c r="SRJ8" s="154"/>
      <c r="SRK8" s="154"/>
      <c r="SRL8" s="154"/>
      <c r="SRM8" s="154"/>
      <c r="SRN8" s="154"/>
      <c r="SRO8" s="154"/>
      <c r="SRP8" s="154"/>
      <c r="SRQ8" s="154"/>
      <c r="SRR8" s="154"/>
      <c r="SRS8" s="154"/>
      <c r="SRT8" s="154"/>
      <c r="SRU8" s="154"/>
      <c r="SRV8" s="154"/>
      <c r="SRW8" s="154"/>
      <c r="SRX8" s="154"/>
      <c r="SRY8" s="154"/>
      <c r="SRZ8" s="154"/>
      <c r="SSA8" s="154"/>
      <c r="SSB8" s="154"/>
      <c r="SSC8" s="154"/>
      <c r="SSD8" s="154"/>
      <c r="SSE8" s="154"/>
      <c r="SSF8" s="154"/>
      <c r="SSG8" s="154"/>
      <c r="SSH8" s="154"/>
      <c r="SSI8" s="154"/>
      <c r="SSJ8" s="154"/>
      <c r="SSK8" s="154"/>
      <c r="SSL8" s="154"/>
      <c r="SSM8" s="154"/>
      <c r="SSN8" s="154"/>
      <c r="SSO8" s="154"/>
      <c r="SSP8" s="154"/>
      <c r="SSQ8" s="154"/>
      <c r="SSR8" s="154"/>
      <c r="SSS8" s="154"/>
      <c r="SST8" s="154"/>
      <c r="SSU8" s="154"/>
      <c r="SSV8" s="154"/>
      <c r="SSW8" s="154"/>
      <c r="SSX8" s="154"/>
      <c r="SSY8" s="154"/>
      <c r="SSZ8" s="154"/>
      <c r="STA8" s="154"/>
      <c r="STB8" s="154"/>
      <c r="STC8" s="154"/>
      <c r="STD8" s="154"/>
      <c r="STE8" s="154"/>
      <c r="STF8" s="154"/>
      <c r="STG8" s="154"/>
      <c r="STH8" s="154"/>
      <c r="STI8" s="154"/>
      <c r="STJ8" s="154"/>
      <c r="STK8" s="154"/>
      <c r="STL8" s="154"/>
      <c r="STM8" s="154"/>
      <c r="STN8" s="154"/>
      <c r="STO8" s="154"/>
      <c r="STP8" s="154"/>
      <c r="STQ8" s="154"/>
      <c r="STR8" s="154"/>
      <c r="STS8" s="154"/>
      <c r="STT8" s="154"/>
      <c r="STU8" s="154"/>
      <c r="STV8" s="154"/>
      <c r="STW8" s="154"/>
      <c r="STX8" s="154"/>
      <c r="STY8" s="154"/>
      <c r="STZ8" s="154"/>
      <c r="SUA8" s="154"/>
      <c r="SUB8" s="154"/>
      <c r="SUC8" s="154"/>
      <c r="SUD8" s="154"/>
      <c r="SUE8" s="154"/>
      <c r="SUF8" s="154"/>
      <c r="SUG8" s="154"/>
      <c r="SUH8" s="154"/>
      <c r="SUI8" s="154"/>
      <c r="SUJ8" s="154"/>
      <c r="SUK8" s="154"/>
      <c r="SUL8" s="154"/>
      <c r="SUM8" s="154"/>
      <c r="SUN8" s="154"/>
      <c r="SUO8" s="154"/>
      <c r="SUP8" s="154"/>
      <c r="SUQ8" s="154"/>
      <c r="SUR8" s="154"/>
      <c r="SUS8" s="154"/>
      <c r="SUT8" s="154"/>
      <c r="SUU8" s="154"/>
      <c r="SUV8" s="154"/>
      <c r="SUW8" s="154"/>
      <c r="SUX8" s="154"/>
      <c r="SUY8" s="154"/>
      <c r="SUZ8" s="154"/>
      <c r="SVA8" s="154"/>
      <c r="SVB8" s="154"/>
      <c r="SVC8" s="154"/>
      <c r="SVD8" s="154"/>
      <c r="SVE8" s="154"/>
      <c r="SVF8" s="154"/>
      <c r="SVG8" s="154"/>
      <c r="SVH8" s="154"/>
      <c r="SVI8" s="154"/>
      <c r="SVJ8" s="154"/>
      <c r="SVK8" s="154"/>
      <c r="SVL8" s="154"/>
      <c r="SVM8" s="154"/>
      <c r="SVN8" s="154"/>
      <c r="SVO8" s="154"/>
      <c r="SVP8" s="154"/>
      <c r="SVQ8" s="154"/>
      <c r="SVR8" s="154"/>
      <c r="SVS8" s="154"/>
      <c r="SVT8" s="154"/>
      <c r="SVU8" s="154"/>
      <c r="SVV8" s="154"/>
      <c r="SVW8" s="154"/>
      <c r="SVX8" s="154"/>
      <c r="SVY8" s="154"/>
      <c r="SVZ8" s="154"/>
      <c r="SWA8" s="154"/>
      <c r="SWB8" s="154"/>
      <c r="SWC8" s="154"/>
      <c r="SWD8" s="154"/>
      <c r="SWE8" s="154"/>
      <c r="SWF8" s="154"/>
      <c r="SWG8" s="154"/>
      <c r="SWH8" s="154"/>
      <c r="SWI8" s="154"/>
      <c r="SWJ8" s="154"/>
      <c r="SWK8" s="154"/>
      <c r="SWL8" s="154"/>
      <c r="SWM8" s="154"/>
      <c r="SWN8" s="154"/>
      <c r="SWO8" s="154"/>
      <c r="SWP8" s="154"/>
      <c r="SWQ8" s="154"/>
      <c r="SWR8" s="154"/>
      <c r="SWS8" s="154"/>
      <c r="SWT8" s="154"/>
      <c r="SWU8" s="154"/>
      <c r="SWV8" s="154"/>
      <c r="SWW8" s="154"/>
      <c r="SWX8" s="154"/>
      <c r="SWY8" s="154"/>
      <c r="SWZ8" s="154"/>
      <c r="SXA8" s="154"/>
      <c r="SXB8" s="154"/>
      <c r="SXC8" s="154"/>
      <c r="SXD8" s="154"/>
      <c r="SXE8" s="154"/>
      <c r="SXF8" s="154"/>
      <c r="SXG8" s="154"/>
      <c r="SXH8" s="154"/>
      <c r="SXI8" s="154"/>
      <c r="SXJ8" s="154"/>
      <c r="SXK8" s="154"/>
      <c r="SXL8" s="154"/>
      <c r="SXM8" s="154"/>
      <c r="SXN8" s="154"/>
      <c r="SXO8" s="154"/>
      <c r="SXP8" s="154"/>
      <c r="SXQ8" s="154"/>
      <c r="SXR8" s="154"/>
      <c r="SXS8" s="154"/>
      <c r="SXT8" s="154"/>
      <c r="SXU8" s="154"/>
      <c r="SXV8" s="154"/>
      <c r="SXW8" s="154"/>
      <c r="SXX8" s="154"/>
      <c r="SXY8" s="154"/>
      <c r="SXZ8" s="154"/>
      <c r="SYA8" s="154"/>
      <c r="SYB8" s="154"/>
      <c r="SYC8" s="154"/>
      <c r="SYD8" s="154"/>
      <c r="SYE8" s="154"/>
      <c r="SYF8" s="154"/>
      <c r="SYG8" s="154"/>
      <c r="SYH8" s="154"/>
      <c r="SYI8" s="154"/>
      <c r="SYJ8" s="154"/>
      <c r="SYK8" s="154"/>
      <c r="SYL8" s="154"/>
      <c r="SYM8" s="154"/>
      <c r="SYN8" s="154"/>
      <c r="SYO8" s="154"/>
      <c r="SYP8" s="154"/>
      <c r="SYQ8" s="154"/>
      <c r="SYR8" s="154"/>
      <c r="SYS8" s="154"/>
      <c r="SYT8" s="154"/>
      <c r="SYU8" s="154"/>
      <c r="SYV8" s="154"/>
      <c r="SYW8" s="154"/>
      <c r="SYX8" s="154"/>
      <c r="SYY8" s="154"/>
      <c r="SYZ8" s="154"/>
      <c r="SZA8" s="154"/>
      <c r="SZB8" s="154"/>
      <c r="SZC8" s="154"/>
      <c r="SZD8" s="154"/>
      <c r="SZE8" s="154"/>
      <c r="SZF8" s="154"/>
      <c r="SZG8" s="154"/>
      <c r="SZH8" s="154"/>
      <c r="SZI8" s="154"/>
      <c r="SZJ8" s="154"/>
      <c r="SZK8" s="154"/>
      <c r="SZL8" s="154"/>
      <c r="SZM8" s="154"/>
      <c r="SZN8" s="154"/>
      <c r="SZO8" s="154"/>
      <c r="SZP8" s="154"/>
      <c r="SZQ8" s="154"/>
      <c r="SZR8" s="154"/>
      <c r="SZS8" s="154"/>
      <c r="SZT8" s="154"/>
      <c r="SZU8" s="154"/>
      <c r="SZV8" s="154"/>
      <c r="SZW8" s="154"/>
      <c r="SZX8" s="154"/>
      <c r="SZY8" s="154"/>
      <c r="SZZ8" s="154"/>
      <c r="TAA8" s="154"/>
      <c r="TAB8" s="154"/>
      <c r="TAC8" s="154"/>
      <c r="TAD8" s="154"/>
      <c r="TAE8" s="154"/>
      <c r="TAF8" s="154"/>
      <c r="TAG8" s="154"/>
      <c r="TAH8" s="154"/>
      <c r="TAI8" s="154"/>
      <c r="TAJ8" s="154"/>
      <c r="TAK8" s="154"/>
      <c r="TAL8" s="154"/>
      <c r="TAM8" s="154"/>
      <c r="TAN8" s="154"/>
      <c r="TAO8" s="154"/>
      <c r="TAP8" s="154"/>
      <c r="TAQ8" s="154"/>
      <c r="TAR8" s="154"/>
      <c r="TAS8" s="154"/>
      <c r="TAT8" s="154"/>
      <c r="TAU8" s="154"/>
      <c r="TAV8" s="154"/>
      <c r="TAW8" s="154"/>
      <c r="TAX8" s="154"/>
      <c r="TAY8" s="154"/>
      <c r="TAZ8" s="154"/>
      <c r="TBA8" s="154"/>
      <c r="TBB8" s="154"/>
      <c r="TBC8" s="154"/>
      <c r="TBD8" s="154"/>
      <c r="TBE8" s="154"/>
      <c r="TBF8" s="154"/>
      <c r="TBG8" s="154"/>
      <c r="TBH8" s="154"/>
      <c r="TBI8" s="154"/>
      <c r="TBJ8" s="154"/>
      <c r="TBK8" s="154"/>
      <c r="TBL8" s="154"/>
      <c r="TBM8" s="154"/>
      <c r="TBN8" s="154"/>
      <c r="TBO8" s="154"/>
      <c r="TBP8" s="154"/>
      <c r="TBQ8" s="154"/>
      <c r="TBR8" s="154"/>
      <c r="TBS8" s="154"/>
      <c r="TBT8" s="154"/>
      <c r="TBU8" s="154"/>
      <c r="TBV8" s="154"/>
      <c r="TBW8" s="154"/>
      <c r="TBX8" s="154"/>
      <c r="TBY8" s="154"/>
      <c r="TBZ8" s="154"/>
      <c r="TCA8" s="154"/>
      <c r="TCB8" s="154"/>
      <c r="TCC8" s="154"/>
      <c r="TCD8" s="154"/>
      <c r="TCE8" s="154"/>
      <c r="TCF8" s="154"/>
      <c r="TCG8" s="154"/>
      <c r="TCH8" s="154"/>
      <c r="TCI8" s="154"/>
      <c r="TCJ8" s="154"/>
      <c r="TCK8" s="154"/>
      <c r="TCL8" s="154"/>
      <c r="TCM8" s="154"/>
      <c r="TCN8" s="154"/>
      <c r="TCO8" s="154"/>
      <c r="TCP8" s="154"/>
      <c r="TCQ8" s="154"/>
      <c r="TCR8" s="154"/>
      <c r="TCS8" s="154"/>
      <c r="TCT8" s="154"/>
      <c r="TCU8" s="154"/>
      <c r="TCV8" s="154"/>
      <c r="TCW8" s="154"/>
      <c r="TCX8" s="154"/>
      <c r="TCY8" s="154"/>
      <c r="TCZ8" s="154"/>
      <c r="TDA8" s="154"/>
      <c r="TDB8" s="154"/>
      <c r="TDC8" s="154"/>
      <c r="TDD8" s="154"/>
      <c r="TDE8" s="154"/>
      <c r="TDF8" s="154"/>
      <c r="TDG8" s="154"/>
      <c r="TDH8" s="154"/>
      <c r="TDI8" s="154"/>
      <c r="TDJ8" s="154"/>
      <c r="TDK8" s="154"/>
      <c r="TDL8" s="154"/>
      <c r="TDM8" s="154"/>
      <c r="TDN8" s="154"/>
      <c r="TDO8" s="154"/>
      <c r="TDP8" s="154"/>
      <c r="TDQ8" s="154"/>
      <c r="TDR8" s="154"/>
      <c r="TDS8" s="154"/>
      <c r="TDT8" s="154"/>
      <c r="TDU8" s="154"/>
      <c r="TDV8" s="154"/>
      <c r="TDW8" s="154"/>
      <c r="TDX8" s="154"/>
      <c r="TDY8" s="154"/>
      <c r="TDZ8" s="154"/>
      <c r="TEA8" s="154"/>
      <c r="TEB8" s="154"/>
      <c r="TEC8" s="154"/>
      <c r="TED8" s="154"/>
      <c r="TEE8" s="154"/>
      <c r="TEF8" s="154"/>
      <c r="TEG8" s="154"/>
      <c r="TEH8" s="154"/>
      <c r="TEI8" s="154"/>
      <c r="TEJ8" s="154"/>
      <c r="TEK8" s="154"/>
      <c r="TEL8" s="154"/>
      <c r="TEM8" s="154"/>
      <c r="TEN8" s="154"/>
      <c r="TEO8" s="154"/>
      <c r="TEP8" s="154"/>
      <c r="TEQ8" s="154"/>
      <c r="TER8" s="154"/>
      <c r="TES8" s="154"/>
      <c r="TET8" s="154"/>
      <c r="TEU8" s="154"/>
      <c r="TEV8" s="154"/>
      <c r="TEW8" s="154"/>
      <c r="TEX8" s="154"/>
      <c r="TEY8" s="154"/>
      <c r="TEZ8" s="154"/>
      <c r="TFA8" s="154"/>
      <c r="TFB8" s="154"/>
      <c r="TFC8" s="154"/>
      <c r="TFD8" s="154"/>
      <c r="TFE8" s="154"/>
      <c r="TFF8" s="154"/>
      <c r="TFG8" s="154"/>
      <c r="TFH8" s="154"/>
      <c r="TFI8" s="154"/>
      <c r="TFJ8" s="154"/>
      <c r="TFK8" s="154"/>
      <c r="TFL8" s="154"/>
      <c r="TFM8" s="154"/>
      <c r="TFN8" s="154"/>
      <c r="TFO8" s="154"/>
      <c r="TFP8" s="154"/>
      <c r="TFQ8" s="154"/>
      <c r="TFR8" s="154"/>
      <c r="TFS8" s="154"/>
      <c r="TFT8" s="154"/>
      <c r="TFU8" s="154"/>
      <c r="TFV8" s="154"/>
      <c r="TFW8" s="154"/>
      <c r="TFX8" s="154"/>
      <c r="TFY8" s="154"/>
      <c r="TFZ8" s="154"/>
      <c r="TGA8" s="154"/>
      <c r="TGB8" s="154"/>
      <c r="TGC8" s="154"/>
      <c r="TGD8" s="154"/>
      <c r="TGE8" s="154"/>
      <c r="TGF8" s="154"/>
      <c r="TGG8" s="154"/>
      <c r="TGH8" s="154"/>
      <c r="TGI8" s="154"/>
      <c r="TGJ8" s="154"/>
      <c r="TGK8" s="154"/>
      <c r="TGL8" s="154"/>
      <c r="TGM8" s="154"/>
      <c r="TGN8" s="154"/>
      <c r="TGO8" s="154"/>
      <c r="TGP8" s="154"/>
      <c r="TGQ8" s="154"/>
      <c r="TGR8" s="154"/>
      <c r="TGS8" s="154"/>
      <c r="TGT8" s="154"/>
      <c r="TGU8" s="154"/>
      <c r="TGV8" s="154"/>
      <c r="TGW8" s="154"/>
      <c r="TGX8" s="154"/>
      <c r="TGY8" s="154"/>
      <c r="TGZ8" s="154"/>
      <c r="THA8" s="154"/>
      <c r="THB8" s="154"/>
      <c r="THC8" s="154"/>
      <c r="THD8" s="154"/>
      <c r="THE8" s="154"/>
      <c r="THF8" s="154"/>
      <c r="THG8" s="154"/>
      <c r="THH8" s="154"/>
      <c r="THI8" s="154"/>
      <c r="THJ8" s="154"/>
      <c r="THK8" s="154"/>
      <c r="THL8" s="154"/>
      <c r="THM8" s="154"/>
      <c r="THN8" s="154"/>
      <c r="THO8" s="154"/>
      <c r="THP8" s="154"/>
      <c r="THQ8" s="154"/>
      <c r="THR8" s="154"/>
      <c r="THS8" s="154"/>
      <c r="THT8" s="154"/>
      <c r="THU8" s="154"/>
      <c r="THV8" s="154"/>
      <c r="THW8" s="154"/>
      <c r="THX8" s="154"/>
      <c r="THY8" s="154"/>
      <c r="THZ8" s="154"/>
      <c r="TIA8" s="154"/>
      <c r="TIB8" s="154"/>
      <c r="TIC8" s="154"/>
      <c r="TID8" s="154"/>
      <c r="TIE8" s="154"/>
      <c r="TIF8" s="154"/>
      <c r="TIG8" s="154"/>
      <c r="TIH8" s="154"/>
      <c r="TII8" s="154"/>
      <c r="TIJ8" s="154"/>
      <c r="TIK8" s="154"/>
      <c r="TIL8" s="154"/>
      <c r="TIM8" s="154"/>
      <c r="TIN8" s="154"/>
      <c r="TIO8" s="154"/>
      <c r="TIP8" s="154"/>
      <c r="TIQ8" s="154"/>
      <c r="TIR8" s="154"/>
      <c r="TIS8" s="154"/>
      <c r="TIT8" s="154"/>
      <c r="TIU8" s="154"/>
      <c r="TIV8" s="154"/>
      <c r="TIW8" s="154"/>
      <c r="TIX8" s="154"/>
      <c r="TIY8" s="154"/>
      <c r="TIZ8" s="154"/>
      <c r="TJA8" s="154"/>
      <c r="TJB8" s="154"/>
      <c r="TJC8" s="154"/>
      <c r="TJD8" s="154"/>
      <c r="TJE8" s="154"/>
      <c r="TJF8" s="154"/>
      <c r="TJG8" s="154"/>
      <c r="TJH8" s="154"/>
      <c r="TJI8" s="154"/>
      <c r="TJJ8" s="154"/>
      <c r="TJK8" s="154"/>
      <c r="TJL8" s="154"/>
      <c r="TJM8" s="154"/>
      <c r="TJN8" s="154"/>
      <c r="TJO8" s="154"/>
      <c r="TJP8" s="154"/>
      <c r="TJQ8" s="154"/>
      <c r="TJR8" s="154"/>
      <c r="TJS8" s="154"/>
      <c r="TJT8" s="154"/>
      <c r="TJU8" s="154"/>
      <c r="TJV8" s="154"/>
      <c r="TJW8" s="154"/>
      <c r="TJX8" s="154"/>
      <c r="TJY8" s="154"/>
      <c r="TJZ8" s="154"/>
      <c r="TKA8" s="154"/>
      <c r="TKB8" s="154"/>
      <c r="TKC8" s="154"/>
      <c r="TKD8" s="154"/>
      <c r="TKE8" s="154"/>
      <c r="TKF8" s="154"/>
      <c r="TKG8" s="154"/>
      <c r="TKH8" s="154"/>
      <c r="TKI8" s="154"/>
      <c r="TKJ8" s="154"/>
      <c r="TKK8" s="154"/>
      <c r="TKL8" s="154"/>
      <c r="TKM8" s="154"/>
      <c r="TKN8" s="154"/>
      <c r="TKO8" s="154"/>
      <c r="TKP8" s="154"/>
      <c r="TKQ8" s="154"/>
      <c r="TKR8" s="154"/>
      <c r="TKS8" s="154"/>
      <c r="TKT8" s="154"/>
      <c r="TKU8" s="154"/>
      <c r="TKV8" s="154"/>
      <c r="TKW8" s="154"/>
      <c r="TKX8" s="154"/>
      <c r="TKY8" s="154"/>
      <c r="TKZ8" s="154"/>
      <c r="TLA8" s="154"/>
      <c r="TLB8" s="154"/>
      <c r="TLC8" s="154"/>
      <c r="TLD8" s="154"/>
      <c r="TLE8" s="154"/>
      <c r="TLF8" s="154"/>
      <c r="TLG8" s="154"/>
      <c r="TLH8" s="154"/>
      <c r="TLI8" s="154"/>
      <c r="TLJ8" s="154"/>
      <c r="TLK8" s="154"/>
      <c r="TLL8" s="154"/>
      <c r="TLM8" s="154"/>
      <c r="TLN8" s="154"/>
      <c r="TLO8" s="154"/>
      <c r="TLP8" s="154"/>
      <c r="TLQ8" s="154"/>
      <c r="TLR8" s="154"/>
      <c r="TLS8" s="154"/>
      <c r="TLT8" s="154"/>
      <c r="TLU8" s="154"/>
      <c r="TLV8" s="154"/>
      <c r="TLW8" s="154"/>
      <c r="TLX8" s="154"/>
      <c r="TLY8" s="154"/>
      <c r="TLZ8" s="154"/>
      <c r="TMA8" s="154"/>
      <c r="TMB8" s="154"/>
      <c r="TMC8" s="154"/>
      <c r="TMD8" s="154"/>
      <c r="TME8" s="154"/>
      <c r="TMF8" s="154"/>
      <c r="TMG8" s="154"/>
      <c r="TMH8" s="154"/>
      <c r="TMI8" s="154"/>
      <c r="TMJ8" s="154"/>
      <c r="TMK8" s="154"/>
      <c r="TML8" s="154"/>
      <c r="TMM8" s="154"/>
      <c r="TMN8" s="154"/>
      <c r="TMO8" s="154"/>
      <c r="TMP8" s="154"/>
      <c r="TMQ8" s="154"/>
      <c r="TMR8" s="154"/>
      <c r="TMS8" s="154"/>
      <c r="TMT8" s="154"/>
      <c r="TMU8" s="154"/>
      <c r="TMV8" s="154"/>
      <c r="TMW8" s="154"/>
      <c r="TMX8" s="154"/>
      <c r="TMY8" s="154"/>
      <c r="TMZ8" s="154"/>
      <c r="TNA8" s="154"/>
      <c r="TNB8" s="154"/>
      <c r="TNC8" s="154"/>
      <c r="TND8" s="154"/>
      <c r="TNE8" s="154"/>
      <c r="TNF8" s="154"/>
      <c r="TNG8" s="154"/>
      <c r="TNH8" s="154"/>
      <c r="TNI8" s="154"/>
      <c r="TNJ8" s="154"/>
      <c r="TNK8" s="154"/>
      <c r="TNL8" s="154"/>
      <c r="TNM8" s="154"/>
      <c r="TNN8" s="154"/>
      <c r="TNO8" s="154"/>
      <c r="TNP8" s="154"/>
      <c r="TNQ8" s="154"/>
      <c r="TNR8" s="154"/>
      <c r="TNS8" s="154"/>
      <c r="TNT8" s="154"/>
      <c r="TNU8" s="154"/>
      <c r="TNV8" s="154"/>
      <c r="TNW8" s="154"/>
      <c r="TNX8" s="154"/>
      <c r="TNY8" s="154"/>
      <c r="TNZ8" s="154"/>
      <c r="TOA8" s="154"/>
      <c r="TOB8" s="154"/>
      <c r="TOC8" s="154"/>
      <c r="TOD8" s="154"/>
      <c r="TOE8" s="154"/>
      <c r="TOF8" s="154"/>
      <c r="TOG8" s="154"/>
      <c r="TOH8" s="154"/>
      <c r="TOI8" s="154"/>
      <c r="TOJ8" s="154"/>
      <c r="TOK8" s="154"/>
      <c r="TOL8" s="154"/>
      <c r="TOM8" s="154"/>
      <c r="TON8" s="154"/>
      <c r="TOO8" s="154"/>
      <c r="TOP8" s="154"/>
      <c r="TOQ8" s="154"/>
      <c r="TOR8" s="154"/>
      <c r="TOS8" s="154"/>
      <c r="TOT8" s="154"/>
      <c r="TOU8" s="154"/>
      <c r="TOV8" s="154"/>
      <c r="TOW8" s="154"/>
      <c r="TOX8" s="154"/>
      <c r="TOY8" s="154"/>
      <c r="TOZ8" s="154"/>
      <c r="TPA8" s="154"/>
      <c r="TPB8" s="154"/>
      <c r="TPC8" s="154"/>
      <c r="TPD8" s="154"/>
      <c r="TPE8" s="154"/>
      <c r="TPF8" s="154"/>
      <c r="TPG8" s="154"/>
      <c r="TPH8" s="154"/>
      <c r="TPI8" s="154"/>
      <c r="TPJ8" s="154"/>
      <c r="TPK8" s="154"/>
      <c r="TPL8" s="154"/>
      <c r="TPM8" s="154"/>
      <c r="TPN8" s="154"/>
      <c r="TPO8" s="154"/>
      <c r="TPP8" s="154"/>
      <c r="TPQ8" s="154"/>
      <c r="TPR8" s="154"/>
      <c r="TPS8" s="154"/>
      <c r="TPT8" s="154"/>
      <c r="TPU8" s="154"/>
      <c r="TPV8" s="154"/>
      <c r="TPW8" s="154"/>
      <c r="TPX8" s="154"/>
      <c r="TPY8" s="154"/>
      <c r="TPZ8" s="154"/>
      <c r="TQA8" s="154"/>
      <c r="TQB8" s="154"/>
      <c r="TQC8" s="154"/>
      <c r="TQD8" s="154"/>
      <c r="TQE8" s="154"/>
      <c r="TQF8" s="154"/>
      <c r="TQG8" s="154"/>
      <c r="TQH8" s="154"/>
      <c r="TQI8" s="154"/>
      <c r="TQJ8" s="154"/>
      <c r="TQK8" s="154"/>
      <c r="TQL8" s="154"/>
      <c r="TQM8" s="154"/>
      <c r="TQN8" s="154"/>
      <c r="TQO8" s="154"/>
      <c r="TQP8" s="154"/>
      <c r="TQQ8" s="154"/>
      <c r="TQR8" s="154"/>
      <c r="TQS8" s="154"/>
      <c r="TQT8" s="154"/>
      <c r="TQU8" s="154"/>
      <c r="TQV8" s="154"/>
      <c r="TQW8" s="154"/>
      <c r="TQX8" s="154"/>
      <c r="TQY8" s="154"/>
      <c r="TQZ8" s="154"/>
      <c r="TRA8" s="154"/>
      <c r="TRB8" s="154"/>
      <c r="TRC8" s="154"/>
      <c r="TRD8" s="154"/>
      <c r="TRE8" s="154"/>
      <c r="TRF8" s="154"/>
      <c r="TRG8" s="154"/>
      <c r="TRH8" s="154"/>
      <c r="TRI8" s="154"/>
      <c r="TRJ8" s="154"/>
      <c r="TRK8" s="154"/>
      <c r="TRL8" s="154"/>
      <c r="TRM8" s="154"/>
      <c r="TRN8" s="154"/>
      <c r="TRO8" s="154"/>
      <c r="TRP8" s="154"/>
      <c r="TRQ8" s="154"/>
      <c r="TRR8" s="154"/>
      <c r="TRS8" s="154"/>
      <c r="TRT8" s="154"/>
      <c r="TRU8" s="154"/>
      <c r="TRV8" s="154"/>
      <c r="TRW8" s="154"/>
      <c r="TRX8" s="154"/>
      <c r="TRY8" s="154"/>
      <c r="TRZ8" s="154"/>
      <c r="TSA8" s="154"/>
      <c r="TSB8" s="154"/>
      <c r="TSC8" s="154"/>
      <c r="TSD8" s="154"/>
      <c r="TSE8" s="154"/>
      <c r="TSF8" s="154"/>
      <c r="TSG8" s="154"/>
      <c r="TSH8" s="154"/>
      <c r="TSI8" s="154"/>
      <c r="TSJ8" s="154"/>
      <c r="TSK8" s="154"/>
      <c r="TSL8" s="154"/>
      <c r="TSM8" s="154"/>
      <c r="TSN8" s="154"/>
      <c r="TSO8" s="154"/>
      <c r="TSP8" s="154"/>
      <c r="TSQ8" s="154"/>
      <c r="TSR8" s="154"/>
      <c r="TSS8" s="154"/>
      <c r="TST8" s="154"/>
      <c r="TSU8" s="154"/>
      <c r="TSV8" s="154"/>
      <c r="TSW8" s="154"/>
      <c r="TSX8" s="154"/>
      <c r="TSY8" s="154"/>
      <c r="TSZ8" s="154"/>
      <c r="TTA8" s="154"/>
      <c r="TTB8" s="154"/>
      <c r="TTC8" s="154"/>
      <c r="TTD8" s="154"/>
      <c r="TTE8" s="154"/>
      <c r="TTF8" s="154"/>
      <c r="TTG8" s="154"/>
      <c r="TTH8" s="154"/>
      <c r="TTI8" s="154"/>
      <c r="TTJ8" s="154"/>
      <c r="TTK8" s="154"/>
      <c r="TTL8" s="154"/>
      <c r="TTM8" s="154"/>
      <c r="TTN8" s="154"/>
      <c r="TTO8" s="154"/>
      <c r="TTP8" s="154"/>
      <c r="TTQ8" s="154"/>
      <c r="TTR8" s="154"/>
      <c r="TTS8" s="154"/>
      <c r="TTT8" s="154"/>
      <c r="TTU8" s="154"/>
      <c r="TTV8" s="154"/>
      <c r="TTW8" s="154"/>
      <c r="TTX8" s="154"/>
      <c r="TTY8" s="154"/>
      <c r="TTZ8" s="154"/>
      <c r="TUA8" s="154"/>
      <c r="TUB8" s="154"/>
      <c r="TUC8" s="154"/>
      <c r="TUD8" s="154"/>
      <c r="TUE8" s="154"/>
      <c r="TUF8" s="154"/>
      <c r="TUG8" s="154"/>
      <c r="TUH8" s="154"/>
      <c r="TUI8" s="154"/>
      <c r="TUJ8" s="154"/>
      <c r="TUK8" s="154"/>
      <c r="TUL8" s="154"/>
      <c r="TUM8" s="154"/>
      <c r="TUN8" s="154"/>
      <c r="TUO8" s="154"/>
      <c r="TUP8" s="154"/>
      <c r="TUQ8" s="154"/>
      <c r="TUR8" s="154"/>
      <c r="TUS8" s="154"/>
      <c r="TUT8" s="154"/>
      <c r="TUU8" s="154"/>
      <c r="TUV8" s="154"/>
      <c r="TUW8" s="154"/>
      <c r="TUX8" s="154"/>
      <c r="TUY8" s="154"/>
      <c r="TUZ8" s="154"/>
      <c r="TVA8" s="154"/>
      <c r="TVB8" s="154"/>
      <c r="TVC8" s="154"/>
      <c r="TVD8" s="154"/>
      <c r="TVE8" s="154"/>
      <c r="TVF8" s="154"/>
      <c r="TVG8" s="154"/>
      <c r="TVH8" s="154"/>
      <c r="TVI8" s="154"/>
      <c r="TVJ8" s="154"/>
      <c r="TVK8" s="154"/>
      <c r="TVL8" s="154"/>
      <c r="TVM8" s="154"/>
      <c r="TVN8" s="154"/>
      <c r="TVO8" s="154"/>
      <c r="TVP8" s="154"/>
      <c r="TVQ8" s="154"/>
      <c r="TVR8" s="154"/>
      <c r="TVS8" s="154"/>
      <c r="TVT8" s="154"/>
      <c r="TVU8" s="154"/>
      <c r="TVV8" s="154"/>
      <c r="TVW8" s="154"/>
      <c r="TVX8" s="154"/>
      <c r="TVY8" s="154"/>
      <c r="TVZ8" s="154"/>
      <c r="TWA8" s="154"/>
      <c r="TWB8" s="154"/>
      <c r="TWC8" s="154"/>
      <c r="TWD8" s="154"/>
      <c r="TWE8" s="154"/>
      <c r="TWF8" s="154"/>
      <c r="TWG8" s="154"/>
      <c r="TWH8" s="154"/>
      <c r="TWI8" s="154"/>
      <c r="TWJ8" s="154"/>
      <c r="TWK8" s="154"/>
      <c r="TWL8" s="154"/>
      <c r="TWM8" s="154"/>
      <c r="TWN8" s="154"/>
      <c r="TWO8" s="154"/>
      <c r="TWP8" s="154"/>
      <c r="TWQ8" s="154"/>
      <c r="TWR8" s="154"/>
      <c r="TWS8" s="154"/>
      <c r="TWT8" s="154"/>
      <c r="TWU8" s="154"/>
      <c r="TWV8" s="154"/>
      <c r="TWW8" s="154"/>
      <c r="TWX8" s="154"/>
      <c r="TWY8" s="154"/>
      <c r="TWZ8" s="154"/>
      <c r="TXA8" s="154"/>
      <c r="TXB8" s="154"/>
      <c r="TXC8" s="154"/>
      <c r="TXD8" s="154"/>
      <c r="TXE8" s="154"/>
      <c r="TXF8" s="154"/>
      <c r="TXG8" s="154"/>
      <c r="TXH8" s="154"/>
      <c r="TXI8" s="154"/>
      <c r="TXJ8" s="154"/>
      <c r="TXK8" s="154"/>
      <c r="TXL8" s="154"/>
      <c r="TXM8" s="154"/>
      <c r="TXN8" s="154"/>
      <c r="TXO8" s="154"/>
      <c r="TXP8" s="154"/>
      <c r="TXQ8" s="154"/>
      <c r="TXR8" s="154"/>
      <c r="TXS8" s="154"/>
      <c r="TXT8" s="154"/>
      <c r="TXU8" s="154"/>
      <c r="TXV8" s="154"/>
      <c r="TXW8" s="154"/>
      <c r="TXX8" s="154"/>
      <c r="TXY8" s="154"/>
      <c r="TXZ8" s="154"/>
      <c r="TYA8" s="154"/>
      <c r="TYB8" s="154"/>
      <c r="TYC8" s="154"/>
      <c r="TYD8" s="154"/>
      <c r="TYE8" s="154"/>
      <c r="TYF8" s="154"/>
      <c r="TYG8" s="154"/>
      <c r="TYH8" s="154"/>
      <c r="TYI8" s="154"/>
      <c r="TYJ8" s="154"/>
      <c r="TYK8" s="154"/>
      <c r="TYL8" s="154"/>
      <c r="TYM8" s="154"/>
      <c r="TYN8" s="154"/>
      <c r="TYO8" s="154"/>
      <c r="TYP8" s="154"/>
      <c r="TYQ8" s="154"/>
      <c r="TYR8" s="154"/>
      <c r="TYS8" s="154"/>
      <c r="TYT8" s="154"/>
      <c r="TYU8" s="154"/>
      <c r="TYV8" s="154"/>
      <c r="TYW8" s="154"/>
      <c r="TYX8" s="154"/>
      <c r="TYY8" s="154"/>
      <c r="TYZ8" s="154"/>
      <c r="TZA8" s="154"/>
      <c r="TZB8" s="154"/>
      <c r="TZC8" s="154"/>
      <c r="TZD8" s="154"/>
      <c r="TZE8" s="154"/>
      <c r="TZF8" s="154"/>
      <c r="TZG8" s="154"/>
      <c r="TZH8" s="154"/>
      <c r="TZI8" s="154"/>
      <c r="TZJ8" s="154"/>
      <c r="TZK8" s="154"/>
      <c r="TZL8" s="154"/>
      <c r="TZM8" s="154"/>
      <c r="TZN8" s="154"/>
      <c r="TZO8" s="154"/>
      <c r="TZP8" s="154"/>
      <c r="TZQ8" s="154"/>
      <c r="TZR8" s="154"/>
      <c r="TZS8" s="154"/>
      <c r="TZT8" s="154"/>
      <c r="TZU8" s="154"/>
      <c r="TZV8" s="154"/>
      <c r="TZW8" s="154"/>
      <c r="TZX8" s="154"/>
      <c r="TZY8" s="154"/>
      <c r="TZZ8" s="154"/>
      <c r="UAA8" s="154"/>
      <c r="UAB8" s="154"/>
      <c r="UAC8" s="154"/>
      <c r="UAD8" s="154"/>
      <c r="UAE8" s="154"/>
      <c r="UAF8" s="154"/>
      <c r="UAG8" s="154"/>
      <c r="UAH8" s="154"/>
      <c r="UAI8" s="154"/>
      <c r="UAJ8" s="154"/>
      <c r="UAK8" s="154"/>
      <c r="UAL8" s="154"/>
      <c r="UAM8" s="154"/>
      <c r="UAN8" s="154"/>
      <c r="UAO8" s="154"/>
      <c r="UAP8" s="154"/>
      <c r="UAQ8" s="154"/>
      <c r="UAR8" s="154"/>
      <c r="UAS8" s="154"/>
      <c r="UAT8" s="154"/>
      <c r="UAU8" s="154"/>
      <c r="UAV8" s="154"/>
      <c r="UAW8" s="154"/>
      <c r="UAX8" s="154"/>
      <c r="UAY8" s="154"/>
      <c r="UAZ8" s="154"/>
      <c r="UBA8" s="154"/>
      <c r="UBB8" s="154"/>
      <c r="UBC8" s="154"/>
      <c r="UBD8" s="154"/>
      <c r="UBE8" s="154"/>
      <c r="UBF8" s="154"/>
      <c r="UBG8" s="154"/>
      <c r="UBH8" s="154"/>
      <c r="UBI8" s="154"/>
      <c r="UBJ8" s="154"/>
      <c r="UBK8" s="154"/>
      <c r="UBL8" s="154"/>
      <c r="UBM8" s="154"/>
      <c r="UBN8" s="154"/>
      <c r="UBO8" s="154"/>
      <c r="UBP8" s="154"/>
      <c r="UBQ8" s="154"/>
      <c r="UBR8" s="154"/>
      <c r="UBS8" s="154"/>
      <c r="UBT8" s="154"/>
      <c r="UBU8" s="154"/>
      <c r="UBV8" s="154"/>
      <c r="UBW8" s="154"/>
      <c r="UBX8" s="154"/>
      <c r="UBY8" s="154"/>
      <c r="UBZ8" s="154"/>
      <c r="UCA8" s="154"/>
      <c r="UCB8" s="154"/>
      <c r="UCC8" s="154"/>
      <c r="UCD8" s="154"/>
      <c r="UCE8" s="154"/>
      <c r="UCF8" s="154"/>
      <c r="UCG8" s="154"/>
      <c r="UCH8" s="154"/>
      <c r="UCI8" s="154"/>
      <c r="UCJ8" s="154"/>
      <c r="UCK8" s="154"/>
      <c r="UCL8" s="154"/>
      <c r="UCM8" s="154"/>
      <c r="UCN8" s="154"/>
      <c r="UCO8" s="154"/>
      <c r="UCP8" s="154"/>
      <c r="UCQ8" s="154"/>
      <c r="UCR8" s="154"/>
      <c r="UCS8" s="154"/>
      <c r="UCT8" s="154"/>
      <c r="UCU8" s="154"/>
      <c r="UCV8" s="154"/>
      <c r="UCW8" s="154"/>
      <c r="UCX8" s="154"/>
      <c r="UCY8" s="154"/>
      <c r="UCZ8" s="154"/>
      <c r="UDA8" s="154"/>
      <c r="UDB8" s="154"/>
      <c r="UDC8" s="154"/>
      <c r="UDD8" s="154"/>
      <c r="UDE8" s="154"/>
      <c r="UDF8" s="154"/>
      <c r="UDG8" s="154"/>
      <c r="UDH8" s="154"/>
      <c r="UDI8" s="154"/>
      <c r="UDJ8" s="154"/>
      <c r="UDK8" s="154"/>
      <c r="UDL8" s="154"/>
      <c r="UDM8" s="154"/>
      <c r="UDN8" s="154"/>
      <c r="UDO8" s="154"/>
      <c r="UDP8" s="154"/>
      <c r="UDQ8" s="154"/>
      <c r="UDR8" s="154"/>
      <c r="UDS8" s="154"/>
      <c r="UDT8" s="154"/>
      <c r="UDU8" s="154"/>
      <c r="UDV8" s="154"/>
      <c r="UDW8" s="154"/>
      <c r="UDX8" s="154"/>
      <c r="UDY8" s="154"/>
      <c r="UDZ8" s="154"/>
      <c r="UEA8" s="154"/>
      <c r="UEB8" s="154"/>
      <c r="UEC8" s="154"/>
      <c r="UED8" s="154"/>
      <c r="UEE8" s="154"/>
      <c r="UEF8" s="154"/>
      <c r="UEG8" s="154"/>
      <c r="UEH8" s="154"/>
      <c r="UEI8" s="154"/>
      <c r="UEJ8" s="154"/>
      <c r="UEK8" s="154"/>
      <c r="UEL8" s="154"/>
      <c r="UEM8" s="154"/>
      <c r="UEN8" s="154"/>
      <c r="UEO8" s="154"/>
      <c r="UEP8" s="154"/>
      <c r="UEQ8" s="154"/>
      <c r="UER8" s="154"/>
      <c r="UES8" s="154"/>
      <c r="UET8" s="154"/>
      <c r="UEU8" s="154"/>
      <c r="UEV8" s="154"/>
      <c r="UEW8" s="154"/>
      <c r="UEX8" s="154"/>
      <c r="UEY8" s="154"/>
      <c r="UEZ8" s="154"/>
      <c r="UFA8" s="154"/>
      <c r="UFB8" s="154"/>
      <c r="UFC8" s="154"/>
      <c r="UFD8" s="154"/>
      <c r="UFE8" s="154"/>
      <c r="UFF8" s="154"/>
      <c r="UFG8" s="154"/>
      <c r="UFH8" s="154"/>
      <c r="UFI8" s="154"/>
      <c r="UFJ8" s="154"/>
      <c r="UFK8" s="154"/>
      <c r="UFL8" s="154"/>
      <c r="UFM8" s="154"/>
      <c r="UFN8" s="154"/>
      <c r="UFO8" s="154"/>
      <c r="UFP8" s="154"/>
      <c r="UFQ8" s="154"/>
      <c r="UFR8" s="154"/>
      <c r="UFS8" s="154"/>
      <c r="UFT8" s="154"/>
      <c r="UFU8" s="154"/>
      <c r="UFV8" s="154"/>
      <c r="UFW8" s="154"/>
      <c r="UFX8" s="154"/>
      <c r="UFY8" s="154"/>
      <c r="UFZ8" s="154"/>
      <c r="UGA8" s="154"/>
      <c r="UGB8" s="154"/>
      <c r="UGC8" s="154"/>
      <c r="UGD8" s="154"/>
      <c r="UGE8" s="154"/>
      <c r="UGF8" s="154"/>
      <c r="UGG8" s="154"/>
      <c r="UGH8" s="154"/>
      <c r="UGI8" s="154"/>
      <c r="UGJ8" s="154"/>
      <c r="UGK8" s="154"/>
      <c r="UGL8" s="154"/>
      <c r="UGM8" s="154"/>
      <c r="UGN8" s="154"/>
      <c r="UGO8" s="154"/>
      <c r="UGP8" s="154"/>
      <c r="UGQ8" s="154"/>
      <c r="UGR8" s="154"/>
      <c r="UGS8" s="154"/>
      <c r="UGT8" s="154"/>
      <c r="UGU8" s="154"/>
      <c r="UGV8" s="154"/>
      <c r="UGW8" s="154"/>
      <c r="UGX8" s="154"/>
      <c r="UGY8" s="154"/>
      <c r="UGZ8" s="154"/>
      <c r="UHA8" s="154"/>
      <c r="UHB8" s="154"/>
      <c r="UHC8" s="154"/>
      <c r="UHD8" s="154"/>
      <c r="UHE8" s="154"/>
      <c r="UHF8" s="154"/>
      <c r="UHG8" s="154"/>
      <c r="UHH8" s="154"/>
      <c r="UHI8" s="154"/>
      <c r="UHJ8" s="154"/>
      <c r="UHK8" s="154"/>
      <c r="UHL8" s="154"/>
      <c r="UHM8" s="154"/>
      <c r="UHN8" s="154"/>
      <c r="UHO8" s="154"/>
      <c r="UHP8" s="154"/>
      <c r="UHQ8" s="154"/>
      <c r="UHR8" s="154"/>
      <c r="UHS8" s="154"/>
      <c r="UHT8" s="154"/>
      <c r="UHU8" s="154"/>
      <c r="UHV8" s="154"/>
      <c r="UHW8" s="154"/>
      <c r="UHX8" s="154"/>
      <c r="UHY8" s="154"/>
      <c r="UHZ8" s="154"/>
      <c r="UIA8" s="154"/>
      <c r="UIB8" s="154"/>
      <c r="UIC8" s="154"/>
      <c r="UID8" s="154"/>
      <c r="UIE8" s="154"/>
      <c r="UIF8" s="154"/>
      <c r="UIG8" s="154"/>
      <c r="UIH8" s="154"/>
      <c r="UII8" s="154"/>
      <c r="UIJ8" s="154"/>
      <c r="UIK8" s="154"/>
      <c r="UIL8" s="154"/>
      <c r="UIM8" s="154"/>
      <c r="UIN8" s="154"/>
      <c r="UIO8" s="154"/>
      <c r="UIP8" s="154"/>
      <c r="UIQ8" s="154"/>
      <c r="UIR8" s="154"/>
      <c r="UIS8" s="154"/>
      <c r="UIT8" s="154"/>
      <c r="UIU8" s="154"/>
      <c r="UIV8" s="154"/>
      <c r="UIW8" s="154"/>
      <c r="UIX8" s="154"/>
      <c r="UIY8" s="154"/>
      <c r="UIZ8" s="154"/>
      <c r="UJA8" s="154"/>
      <c r="UJB8" s="154"/>
      <c r="UJC8" s="154"/>
      <c r="UJD8" s="154"/>
      <c r="UJE8" s="154"/>
      <c r="UJF8" s="154"/>
      <c r="UJG8" s="154"/>
      <c r="UJH8" s="154"/>
      <c r="UJI8" s="154"/>
      <c r="UJJ8" s="154"/>
      <c r="UJK8" s="154"/>
      <c r="UJL8" s="154"/>
      <c r="UJM8" s="154"/>
      <c r="UJN8" s="154"/>
      <c r="UJO8" s="154"/>
      <c r="UJP8" s="154"/>
      <c r="UJQ8" s="154"/>
      <c r="UJR8" s="154"/>
      <c r="UJS8" s="154"/>
      <c r="UJT8" s="154"/>
      <c r="UJU8" s="154"/>
      <c r="UJV8" s="154"/>
      <c r="UJW8" s="154"/>
      <c r="UJX8" s="154"/>
      <c r="UJY8" s="154"/>
      <c r="UJZ8" s="154"/>
      <c r="UKA8" s="154"/>
      <c r="UKB8" s="154"/>
      <c r="UKC8" s="154"/>
      <c r="UKD8" s="154"/>
      <c r="UKE8" s="154"/>
      <c r="UKF8" s="154"/>
      <c r="UKG8" s="154"/>
      <c r="UKH8" s="154"/>
      <c r="UKI8" s="154"/>
      <c r="UKJ8" s="154"/>
      <c r="UKK8" s="154"/>
      <c r="UKL8" s="154"/>
      <c r="UKM8" s="154"/>
      <c r="UKN8" s="154"/>
      <c r="UKO8" s="154"/>
      <c r="UKP8" s="154"/>
      <c r="UKQ8" s="154"/>
      <c r="UKR8" s="154"/>
      <c r="UKS8" s="154"/>
      <c r="UKT8" s="154"/>
      <c r="UKU8" s="154"/>
      <c r="UKV8" s="154"/>
      <c r="UKW8" s="154"/>
      <c r="UKX8" s="154"/>
      <c r="UKY8" s="154"/>
      <c r="UKZ8" s="154"/>
      <c r="ULA8" s="154"/>
      <c r="ULB8" s="154"/>
      <c r="ULC8" s="154"/>
      <c r="ULD8" s="154"/>
      <c r="ULE8" s="154"/>
      <c r="ULF8" s="154"/>
      <c r="ULG8" s="154"/>
      <c r="ULH8" s="154"/>
      <c r="ULI8" s="154"/>
      <c r="ULJ8" s="154"/>
      <c r="ULK8" s="154"/>
      <c r="ULL8" s="154"/>
      <c r="ULM8" s="154"/>
      <c r="ULN8" s="154"/>
      <c r="ULO8" s="154"/>
      <c r="ULP8" s="154"/>
      <c r="ULQ8" s="154"/>
      <c r="ULR8" s="154"/>
      <c r="ULS8" s="154"/>
      <c r="ULT8" s="154"/>
      <c r="ULU8" s="154"/>
      <c r="ULV8" s="154"/>
      <c r="ULW8" s="154"/>
      <c r="ULX8" s="154"/>
      <c r="ULY8" s="154"/>
      <c r="ULZ8" s="154"/>
      <c r="UMA8" s="154"/>
      <c r="UMB8" s="154"/>
      <c r="UMC8" s="154"/>
      <c r="UMD8" s="154"/>
      <c r="UME8" s="154"/>
      <c r="UMF8" s="154"/>
      <c r="UMG8" s="154"/>
      <c r="UMH8" s="154"/>
      <c r="UMI8" s="154"/>
      <c r="UMJ8" s="154"/>
      <c r="UMK8" s="154"/>
      <c r="UML8" s="154"/>
      <c r="UMM8" s="154"/>
      <c r="UMN8" s="154"/>
      <c r="UMO8" s="154"/>
      <c r="UMP8" s="154"/>
      <c r="UMQ8" s="154"/>
      <c r="UMR8" s="154"/>
      <c r="UMS8" s="154"/>
      <c r="UMT8" s="154"/>
      <c r="UMU8" s="154"/>
      <c r="UMV8" s="154"/>
      <c r="UMW8" s="154"/>
      <c r="UMX8" s="154"/>
      <c r="UMY8" s="154"/>
      <c r="UMZ8" s="154"/>
      <c r="UNA8" s="154"/>
      <c r="UNB8" s="154"/>
      <c r="UNC8" s="154"/>
      <c r="UND8" s="154"/>
      <c r="UNE8" s="154"/>
      <c r="UNF8" s="154"/>
      <c r="UNG8" s="154"/>
      <c r="UNH8" s="154"/>
      <c r="UNI8" s="154"/>
      <c r="UNJ8" s="154"/>
      <c r="UNK8" s="154"/>
      <c r="UNL8" s="154"/>
      <c r="UNM8" s="154"/>
      <c r="UNN8" s="154"/>
      <c r="UNO8" s="154"/>
      <c r="UNP8" s="154"/>
      <c r="UNQ8" s="154"/>
      <c r="UNR8" s="154"/>
      <c r="UNS8" s="154"/>
      <c r="UNT8" s="154"/>
      <c r="UNU8" s="154"/>
      <c r="UNV8" s="154"/>
      <c r="UNW8" s="154"/>
      <c r="UNX8" s="154"/>
      <c r="UNY8" s="154"/>
      <c r="UNZ8" s="154"/>
      <c r="UOA8" s="154"/>
      <c r="UOB8" s="154"/>
      <c r="UOC8" s="154"/>
      <c r="UOD8" s="154"/>
      <c r="UOE8" s="154"/>
      <c r="UOF8" s="154"/>
      <c r="UOG8" s="154"/>
      <c r="UOH8" s="154"/>
      <c r="UOI8" s="154"/>
      <c r="UOJ8" s="154"/>
      <c r="UOK8" s="154"/>
      <c r="UOL8" s="154"/>
      <c r="UOM8" s="154"/>
      <c r="UON8" s="154"/>
      <c r="UOO8" s="154"/>
      <c r="UOP8" s="154"/>
      <c r="UOQ8" s="154"/>
      <c r="UOR8" s="154"/>
      <c r="UOS8" s="154"/>
      <c r="UOT8" s="154"/>
      <c r="UOU8" s="154"/>
      <c r="UOV8" s="154"/>
      <c r="UOW8" s="154"/>
      <c r="UOX8" s="154"/>
      <c r="UOY8" s="154"/>
      <c r="UOZ8" s="154"/>
      <c r="UPA8" s="154"/>
      <c r="UPB8" s="154"/>
      <c r="UPC8" s="154"/>
      <c r="UPD8" s="154"/>
      <c r="UPE8" s="154"/>
      <c r="UPF8" s="154"/>
      <c r="UPG8" s="154"/>
      <c r="UPH8" s="154"/>
      <c r="UPI8" s="154"/>
      <c r="UPJ8" s="154"/>
      <c r="UPK8" s="154"/>
      <c r="UPL8" s="154"/>
      <c r="UPM8" s="154"/>
      <c r="UPN8" s="154"/>
      <c r="UPO8" s="154"/>
      <c r="UPP8" s="154"/>
      <c r="UPQ8" s="154"/>
      <c r="UPR8" s="154"/>
      <c r="UPS8" s="154"/>
      <c r="UPT8" s="154"/>
      <c r="UPU8" s="154"/>
      <c r="UPV8" s="154"/>
      <c r="UPW8" s="154"/>
      <c r="UPX8" s="154"/>
      <c r="UPY8" s="154"/>
      <c r="UPZ8" s="154"/>
      <c r="UQA8" s="154"/>
      <c r="UQB8" s="154"/>
      <c r="UQC8" s="154"/>
      <c r="UQD8" s="154"/>
      <c r="UQE8" s="154"/>
      <c r="UQF8" s="154"/>
      <c r="UQG8" s="154"/>
      <c r="UQH8" s="154"/>
      <c r="UQI8" s="154"/>
      <c r="UQJ8" s="154"/>
      <c r="UQK8" s="154"/>
      <c r="UQL8" s="154"/>
      <c r="UQM8" s="154"/>
      <c r="UQN8" s="154"/>
      <c r="UQO8" s="154"/>
      <c r="UQP8" s="154"/>
      <c r="UQQ8" s="154"/>
      <c r="UQR8" s="154"/>
      <c r="UQS8" s="154"/>
      <c r="UQT8" s="154"/>
      <c r="UQU8" s="154"/>
      <c r="UQV8" s="154"/>
      <c r="UQW8" s="154"/>
      <c r="UQX8" s="154"/>
      <c r="UQY8" s="154"/>
      <c r="UQZ8" s="154"/>
      <c r="URA8" s="154"/>
      <c r="URB8" s="154"/>
      <c r="URC8" s="154"/>
      <c r="URD8" s="154"/>
      <c r="URE8" s="154"/>
      <c r="URF8" s="154"/>
      <c r="URG8" s="154"/>
      <c r="URH8" s="154"/>
      <c r="URI8" s="154"/>
      <c r="URJ8" s="154"/>
      <c r="URK8" s="154"/>
      <c r="URL8" s="154"/>
      <c r="URM8" s="154"/>
      <c r="URN8" s="154"/>
      <c r="URO8" s="154"/>
      <c r="URP8" s="154"/>
      <c r="URQ8" s="154"/>
      <c r="URR8" s="154"/>
      <c r="URS8" s="154"/>
      <c r="URT8" s="154"/>
      <c r="URU8" s="154"/>
      <c r="URV8" s="154"/>
      <c r="URW8" s="154"/>
      <c r="URX8" s="154"/>
      <c r="URY8" s="154"/>
      <c r="URZ8" s="154"/>
      <c r="USA8" s="154"/>
      <c r="USB8" s="154"/>
      <c r="USC8" s="154"/>
      <c r="USD8" s="154"/>
      <c r="USE8" s="154"/>
      <c r="USF8" s="154"/>
      <c r="USG8" s="154"/>
      <c r="USH8" s="154"/>
      <c r="USI8" s="154"/>
      <c r="USJ8" s="154"/>
      <c r="USK8" s="154"/>
      <c r="USL8" s="154"/>
      <c r="USM8" s="154"/>
      <c r="USN8" s="154"/>
      <c r="USO8" s="154"/>
      <c r="USP8" s="154"/>
      <c r="USQ8" s="154"/>
      <c r="USR8" s="154"/>
      <c r="USS8" s="154"/>
      <c r="UST8" s="154"/>
      <c r="USU8" s="154"/>
      <c r="USV8" s="154"/>
      <c r="USW8" s="154"/>
      <c r="USX8" s="154"/>
      <c r="USY8" s="154"/>
      <c r="USZ8" s="154"/>
      <c r="UTA8" s="154"/>
      <c r="UTB8" s="154"/>
      <c r="UTC8" s="154"/>
      <c r="UTD8" s="154"/>
      <c r="UTE8" s="154"/>
      <c r="UTF8" s="154"/>
      <c r="UTG8" s="154"/>
      <c r="UTH8" s="154"/>
      <c r="UTI8" s="154"/>
      <c r="UTJ8" s="154"/>
      <c r="UTK8" s="154"/>
      <c r="UTL8" s="154"/>
      <c r="UTM8" s="154"/>
      <c r="UTN8" s="154"/>
      <c r="UTO8" s="154"/>
      <c r="UTP8" s="154"/>
      <c r="UTQ8" s="154"/>
      <c r="UTR8" s="154"/>
      <c r="UTS8" s="154"/>
      <c r="UTT8" s="154"/>
      <c r="UTU8" s="154"/>
      <c r="UTV8" s="154"/>
      <c r="UTW8" s="154"/>
      <c r="UTX8" s="154"/>
      <c r="UTY8" s="154"/>
      <c r="UTZ8" s="154"/>
      <c r="UUA8" s="154"/>
      <c r="UUB8" s="154"/>
      <c r="UUC8" s="154"/>
      <c r="UUD8" s="154"/>
      <c r="UUE8" s="154"/>
      <c r="UUF8" s="154"/>
      <c r="UUG8" s="154"/>
      <c r="UUH8" s="154"/>
      <c r="UUI8" s="154"/>
      <c r="UUJ8" s="154"/>
      <c r="UUK8" s="154"/>
      <c r="UUL8" s="154"/>
      <c r="UUM8" s="154"/>
      <c r="UUN8" s="154"/>
      <c r="UUO8" s="154"/>
      <c r="UUP8" s="154"/>
      <c r="UUQ8" s="154"/>
      <c r="UUR8" s="154"/>
      <c r="UUS8" s="154"/>
      <c r="UUT8" s="154"/>
      <c r="UUU8" s="154"/>
      <c r="UUV8" s="154"/>
      <c r="UUW8" s="154"/>
      <c r="UUX8" s="154"/>
      <c r="UUY8" s="154"/>
      <c r="UUZ8" s="154"/>
      <c r="UVA8" s="154"/>
      <c r="UVB8" s="154"/>
      <c r="UVC8" s="154"/>
      <c r="UVD8" s="154"/>
      <c r="UVE8" s="154"/>
      <c r="UVF8" s="154"/>
      <c r="UVG8" s="154"/>
      <c r="UVH8" s="154"/>
      <c r="UVI8" s="154"/>
      <c r="UVJ8" s="154"/>
      <c r="UVK8" s="154"/>
      <c r="UVL8" s="154"/>
      <c r="UVM8" s="154"/>
      <c r="UVN8" s="154"/>
      <c r="UVO8" s="154"/>
      <c r="UVP8" s="154"/>
      <c r="UVQ8" s="154"/>
      <c r="UVR8" s="154"/>
      <c r="UVS8" s="154"/>
      <c r="UVT8" s="154"/>
      <c r="UVU8" s="154"/>
      <c r="UVV8" s="154"/>
      <c r="UVW8" s="154"/>
      <c r="UVX8" s="154"/>
      <c r="UVY8" s="154"/>
      <c r="UVZ8" s="154"/>
      <c r="UWA8" s="154"/>
      <c r="UWB8" s="154"/>
      <c r="UWC8" s="154"/>
      <c r="UWD8" s="154"/>
      <c r="UWE8" s="154"/>
      <c r="UWF8" s="154"/>
      <c r="UWG8" s="154"/>
      <c r="UWH8" s="154"/>
      <c r="UWI8" s="154"/>
      <c r="UWJ8" s="154"/>
      <c r="UWK8" s="154"/>
      <c r="UWL8" s="154"/>
      <c r="UWM8" s="154"/>
      <c r="UWN8" s="154"/>
      <c r="UWO8" s="154"/>
      <c r="UWP8" s="154"/>
      <c r="UWQ8" s="154"/>
      <c r="UWR8" s="154"/>
      <c r="UWS8" s="154"/>
      <c r="UWT8" s="154"/>
      <c r="UWU8" s="154"/>
      <c r="UWV8" s="154"/>
      <c r="UWW8" s="154"/>
      <c r="UWX8" s="154"/>
      <c r="UWY8" s="154"/>
      <c r="UWZ8" s="154"/>
      <c r="UXA8" s="154"/>
      <c r="UXB8" s="154"/>
      <c r="UXC8" s="154"/>
      <c r="UXD8" s="154"/>
      <c r="UXE8" s="154"/>
      <c r="UXF8" s="154"/>
      <c r="UXG8" s="154"/>
      <c r="UXH8" s="154"/>
      <c r="UXI8" s="154"/>
      <c r="UXJ8" s="154"/>
      <c r="UXK8" s="154"/>
      <c r="UXL8" s="154"/>
      <c r="UXM8" s="154"/>
      <c r="UXN8" s="154"/>
      <c r="UXO8" s="154"/>
      <c r="UXP8" s="154"/>
      <c r="UXQ8" s="154"/>
      <c r="UXR8" s="154"/>
      <c r="UXS8" s="154"/>
      <c r="UXT8" s="154"/>
      <c r="UXU8" s="154"/>
      <c r="UXV8" s="154"/>
      <c r="UXW8" s="154"/>
      <c r="UXX8" s="154"/>
      <c r="UXY8" s="154"/>
      <c r="UXZ8" s="154"/>
      <c r="UYA8" s="154"/>
      <c r="UYB8" s="154"/>
      <c r="UYC8" s="154"/>
      <c r="UYD8" s="154"/>
      <c r="UYE8" s="154"/>
      <c r="UYF8" s="154"/>
      <c r="UYG8" s="154"/>
      <c r="UYH8" s="154"/>
      <c r="UYI8" s="154"/>
      <c r="UYJ8" s="154"/>
      <c r="UYK8" s="154"/>
      <c r="UYL8" s="154"/>
      <c r="UYM8" s="154"/>
      <c r="UYN8" s="154"/>
      <c r="UYO8" s="154"/>
      <c r="UYP8" s="154"/>
      <c r="UYQ8" s="154"/>
      <c r="UYR8" s="154"/>
      <c r="UYS8" s="154"/>
      <c r="UYT8" s="154"/>
      <c r="UYU8" s="154"/>
      <c r="UYV8" s="154"/>
      <c r="UYW8" s="154"/>
      <c r="UYX8" s="154"/>
      <c r="UYY8" s="154"/>
      <c r="UYZ8" s="154"/>
      <c r="UZA8" s="154"/>
      <c r="UZB8" s="154"/>
      <c r="UZC8" s="154"/>
      <c r="UZD8" s="154"/>
      <c r="UZE8" s="154"/>
      <c r="UZF8" s="154"/>
      <c r="UZG8" s="154"/>
      <c r="UZH8" s="154"/>
      <c r="UZI8" s="154"/>
      <c r="UZJ8" s="154"/>
      <c r="UZK8" s="154"/>
      <c r="UZL8" s="154"/>
      <c r="UZM8" s="154"/>
      <c r="UZN8" s="154"/>
      <c r="UZO8" s="154"/>
      <c r="UZP8" s="154"/>
      <c r="UZQ8" s="154"/>
      <c r="UZR8" s="154"/>
      <c r="UZS8" s="154"/>
      <c r="UZT8" s="154"/>
      <c r="UZU8" s="154"/>
      <c r="UZV8" s="154"/>
      <c r="UZW8" s="154"/>
      <c r="UZX8" s="154"/>
      <c r="UZY8" s="154"/>
      <c r="UZZ8" s="154"/>
      <c r="VAA8" s="154"/>
      <c r="VAB8" s="154"/>
      <c r="VAC8" s="154"/>
      <c r="VAD8" s="154"/>
      <c r="VAE8" s="154"/>
      <c r="VAF8" s="154"/>
      <c r="VAG8" s="154"/>
      <c r="VAH8" s="154"/>
      <c r="VAI8" s="154"/>
      <c r="VAJ8" s="154"/>
      <c r="VAK8" s="154"/>
      <c r="VAL8" s="154"/>
      <c r="VAM8" s="154"/>
      <c r="VAN8" s="154"/>
      <c r="VAO8" s="154"/>
      <c r="VAP8" s="154"/>
      <c r="VAQ8" s="154"/>
      <c r="VAR8" s="154"/>
      <c r="VAS8" s="154"/>
      <c r="VAT8" s="154"/>
      <c r="VAU8" s="154"/>
      <c r="VAV8" s="154"/>
      <c r="VAW8" s="154"/>
      <c r="VAX8" s="154"/>
      <c r="VAY8" s="154"/>
      <c r="VAZ8" s="154"/>
      <c r="VBA8" s="154"/>
      <c r="VBB8" s="154"/>
      <c r="VBC8" s="154"/>
      <c r="VBD8" s="154"/>
      <c r="VBE8" s="154"/>
      <c r="VBF8" s="154"/>
      <c r="VBG8" s="154"/>
      <c r="VBH8" s="154"/>
      <c r="VBI8" s="154"/>
      <c r="VBJ8" s="154"/>
      <c r="VBK8" s="154"/>
      <c r="VBL8" s="154"/>
      <c r="VBM8" s="154"/>
      <c r="VBN8" s="154"/>
      <c r="VBO8" s="154"/>
      <c r="VBP8" s="154"/>
      <c r="VBQ8" s="154"/>
      <c r="VBR8" s="154"/>
      <c r="VBS8" s="154"/>
      <c r="VBT8" s="154"/>
      <c r="VBU8" s="154"/>
      <c r="VBV8" s="154"/>
      <c r="VBW8" s="154"/>
      <c r="VBX8" s="154"/>
      <c r="VBY8" s="154"/>
      <c r="VBZ8" s="154"/>
      <c r="VCA8" s="154"/>
      <c r="VCB8" s="154"/>
      <c r="VCC8" s="154"/>
      <c r="VCD8" s="154"/>
      <c r="VCE8" s="154"/>
      <c r="VCF8" s="154"/>
      <c r="VCG8" s="154"/>
      <c r="VCH8" s="154"/>
      <c r="VCI8" s="154"/>
      <c r="VCJ8" s="154"/>
      <c r="VCK8" s="154"/>
      <c r="VCL8" s="154"/>
      <c r="VCM8" s="154"/>
      <c r="VCN8" s="154"/>
      <c r="VCO8" s="154"/>
      <c r="VCP8" s="154"/>
      <c r="VCQ8" s="154"/>
      <c r="VCR8" s="154"/>
      <c r="VCS8" s="154"/>
      <c r="VCT8" s="154"/>
      <c r="VCU8" s="154"/>
      <c r="VCV8" s="154"/>
      <c r="VCW8" s="154"/>
      <c r="VCX8" s="154"/>
      <c r="VCY8" s="154"/>
      <c r="VCZ8" s="154"/>
      <c r="VDA8" s="154"/>
      <c r="VDB8" s="154"/>
      <c r="VDC8" s="154"/>
      <c r="VDD8" s="154"/>
      <c r="VDE8" s="154"/>
      <c r="VDF8" s="154"/>
      <c r="VDG8" s="154"/>
      <c r="VDH8" s="154"/>
      <c r="VDI8" s="154"/>
      <c r="VDJ8" s="154"/>
      <c r="VDK8" s="154"/>
      <c r="VDL8" s="154"/>
      <c r="VDM8" s="154"/>
      <c r="VDN8" s="154"/>
      <c r="VDO8" s="154"/>
      <c r="VDP8" s="154"/>
      <c r="VDQ8" s="154"/>
      <c r="VDR8" s="154"/>
      <c r="VDS8" s="154"/>
      <c r="VDT8" s="154"/>
      <c r="VDU8" s="154"/>
      <c r="VDV8" s="154"/>
      <c r="VDW8" s="154"/>
      <c r="VDX8" s="154"/>
      <c r="VDY8" s="154"/>
      <c r="VDZ8" s="154"/>
      <c r="VEA8" s="154"/>
      <c r="VEB8" s="154"/>
      <c r="VEC8" s="154"/>
      <c r="VED8" s="154"/>
      <c r="VEE8" s="154"/>
      <c r="VEF8" s="154"/>
      <c r="VEG8" s="154"/>
      <c r="VEH8" s="154"/>
      <c r="VEI8" s="154"/>
      <c r="VEJ8" s="154"/>
      <c r="VEK8" s="154"/>
      <c r="VEL8" s="154"/>
      <c r="VEM8" s="154"/>
      <c r="VEN8" s="154"/>
      <c r="VEO8" s="154"/>
      <c r="VEP8" s="154"/>
      <c r="VEQ8" s="154"/>
      <c r="VER8" s="154"/>
      <c r="VES8" s="154"/>
      <c r="VET8" s="154"/>
      <c r="VEU8" s="154"/>
      <c r="VEV8" s="154"/>
      <c r="VEW8" s="154"/>
      <c r="VEX8" s="154"/>
      <c r="VEY8" s="154"/>
      <c r="VEZ8" s="154"/>
      <c r="VFA8" s="154"/>
      <c r="VFB8" s="154"/>
      <c r="VFC8" s="154"/>
      <c r="VFD8" s="154"/>
      <c r="VFE8" s="154"/>
      <c r="VFF8" s="154"/>
      <c r="VFG8" s="154"/>
      <c r="VFH8" s="154"/>
      <c r="VFI8" s="154"/>
      <c r="VFJ8" s="154"/>
      <c r="VFK8" s="154"/>
      <c r="VFL8" s="154"/>
      <c r="VFM8" s="154"/>
      <c r="VFN8" s="154"/>
      <c r="VFO8" s="154"/>
      <c r="VFP8" s="154"/>
      <c r="VFQ8" s="154"/>
      <c r="VFR8" s="154"/>
      <c r="VFS8" s="154"/>
      <c r="VFT8" s="154"/>
      <c r="VFU8" s="154"/>
      <c r="VFV8" s="154"/>
      <c r="VFW8" s="154"/>
      <c r="VFX8" s="154"/>
      <c r="VFY8" s="154"/>
      <c r="VFZ8" s="154"/>
      <c r="VGA8" s="154"/>
      <c r="VGB8" s="154"/>
      <c r="VGC8" s="154"/>
      <c r="VGD8" s="154"/>
      <c r="VGE8" s="154"/>
      <c r="VGF8" s="154"/>
      <c r="VGG8" s="154"/>
      <c r="VGH8" s="154"/>
      <c r="VGI8" s="154"/>
      <c r="VGJ8" s="154"/>
      <c r="VGK8" s="154"/>
      <c r="VGL8" s="154"/>
      <c r="VGM8" s="154"/>
      <c r="VGN8" s="154"/>
      <c r="VGO8" s="154"/>
      <c r="VGP8" s="154"/>
      <c r="VGQ8" s="154"/>
      <c r="VGR8" s="154"/>
      <c r="VGS8" s="154"/>
      <c r="VGT8" s="154"/>
      <c r="VGU8" s="154"/>
      <c r="VGV8" s="154"/>
      <c r="VGW8" s="154"/>
      <c r="VGX8" s="154"/>
      <c r="VGY8" s="154"/>
      <c r="VGZ8" s="154"/>
      <c r="VHA8" s="154"/>
      <c r="VHB8" s="154"/>
      <c r="VHC8" s="154"/>
      <c r="VHD8" s="154"/>
      <c r="VHE8" s="154"/>
      <c r="VHF8" s="154"/>
      <c r="VHG8" s="154"/>
      <c r="VHH8" s="154"/>
      <c r="VHI8" s="154"/>
      <c r="VHJ8" s="154"/>
      <c r="VHK8" s="154"/>
      <c r="VHL8" s="154"/>
      <c r="VHM8" s="154"/>
      <c r="VHN8" s="154"/>
      <c r="VHO8" s="154"/>
      <c r="VHP8" s="154"/>
      <c r="VHQ8" s="154"/>
      <c r="VHR8" s="154"/>
      <c r="VHS8" s="154"/>
      <c r="VHT8" s="154"/>
      <c r="VHU8" s="154"/>
      <c r="VHV8" s="154"/>
      <c r="VHW8" s="154"/>
      <c r="VHX8" s="154"/>
      <c r="VHY8" s="154"/>
      <c r="VHZ8" s="154"/>
      <c r="VIA8" s="154"/>
      <c r="VIB8" s="154"/>
      <c r="VIC8" s="154"/>
      <c r="VID8" s="154"/>
      <c r="VIE8" s="154"/>
      <c r="VIF8" s="154"/>
      <c r="VIG8" s="154"/>
      <c r="VIH8" s="154"/>
      <c r="VII8" s="154"/>
      <c r="VIJ8" s="154"/>
      <c r="VIK8" s="154"/>
      <c r="VIL8" s="154"/>
      <c r="VIM8" s="154"/>
      <c r="VIN8" s="154"/>
      <c r="VIO8" s="154"/>
      <c r="VIP8" s="154"/>
      <c r="VIQ8" s="154"/>
      <c r="VIR8" s="154"/>
      <c r="VIS8" s="154"/>
      <c r="VIT8" s="154"/>
      <c r="VIU8" s="154"/>
      <c r="VIV8" s="154"/>
      <c r="VIW8" s="154"/>
      <c r="VIX8" s="154"/>
      <c r="VIY8" s="154"/>
      <c r="VIZ8" s="154"/>
      <c r="VJA8" s="154"/>
      <c r="VJB8" s="154"/>
      <c r="VJC8" s="154"/>
      <c r="VJD8" s="154"/>
      <c r="VJE8" s="154"/>
      <c r="VJF8" s="154"/>
      <c r="VJG8" s="154"/>
      <c r="VJH8" s="154"/>
      <c r="VJI8" s="154"/>
      <c r="VJJ8" s="154"/>
      <c r="VJK8" s="154"/>
      <c r="VJL8" s="154"/>
      <c r="VJM8" s="154"/>
      <c r="VJN8" s="154"/>
      <c r="VJO8" s="154"/>
      <c r="VJP8" s="154"/>
      <c r="VJQ8" s="154"/>
      <c r="VJR8" s="154"/>
      <c r="VJS8" s="154"/>
      <c r="VJT8" s="154"/>
      <c r="VJU8" s="154"/>
      <c r="VJV8" s="154"/>
      <c r="VJW8" s="154"/>
      <c r="VJX8" s="154"/>
      <c r="VJY8" s="154"/>
      <c r="VJZ8" s="154"/>
      <c r="VKA8" s="154"/>
      <c r="VKB8" s="154"/>
      <c r="VKC8" s="154"/>
      <c r="VKD8" s="154"/>
      <c r="VKE8" s="154"/>
      <c r="VKF8" s="154"/>
      <c r="VKG8" s="154"/>
      <c r="VKH8" s="154"/>
      <c r="VKI8" s="154"/>
      <c r="VKJ8" s="154"/>
      <c r="VKK8" s="154"/>
      <c r="VKL8" s="154"/>
      <c r="VKM8" s="154"/>
      <c r="VKN8" s="154"/>
      <c r="VKO8" s="154"/>
      <c r="VKP8" s="154"/>
      <c r="VKQ8" s="154"/>
      <c r="VKR8" s="154"/>
      <c r="VKS8" s="154"/>
      <c r="VKT8" s="154"/>
      <c r="VKU8" s="154"/>
      <c r="VKV8" s="154"/>
      <c r="VKW8" s="154"/>
      <c r="VKX8" s="154"/>
      <c r="VKY8" s="154"/>
      <c r="VKZ8" s="154"/>
      <c r="VLA8" s="154"/>
      <c r="VLB8" s="154"/>
      <c r="VLC8" s="154"/>
      <c r="VLD8" s="154"/>
      <c r="VLE8" s="154"/>
      <c r="VLF8" s="154"/>
      <c r="VLG8" s="154"/>
      <c r="VLH8" s="154"/>
      <c r="VLI8" s="154"/>
      <c r="VLJ8" s="154"/>
      <c r="VLK8" s="154"/>
      <c r="VLL8" s="154"/>
      <c r="VLM8" s="154"/>
      <c r="VLN8" s="154"/>
      <c r="VLO8" s="154"/>
      <c r="VLP8" s="154"/>
      <c r="VLQ8" s="154"/>
      <c r="VLR8" s="154"/>
      <c r="VLS8" s="154"/>
      <c r="VLT8" s="154"/>
      <c r="VLU8" s="154"/>
      <c r="VLV8" s="154"/>
      <c r="VLW8" s="154"/>
      <c r="VLX8" s="154"/>
      <c r="VLY8" s="154"/>
      <c r="VLZ8" s="154"/>
      <c r="VMA8" s="154"/>
      <c r="VMB8" s="154"/>
      <c r="VMC8" s="154"/>
      <c r="VMD8" s="154"/>
      <c r="VME8" s="154"/>
      <c r="VMF8" s="154"/>
      <c r="VMG8" s="154"/>
      <c r="VMH8" s="154"/>
      <c r="VMI8" s="154"/>
      <c r="VMJ8" s="154"/>
      <c r="VMK8" s="154"/>
      <c r="VML8" s="154"/>
      <c r="VMM8" s="154"/>
      <c r="VMN8" s="154"/>
      <c r="VMO8" s="154"/>
      <c r="VMP8" s="154"/>
      <c r="VMQ8" s="154"/>
      <c r="VMR8" s="154"/>
      <c r="VMS8" s="154"/>
      <c r="VMT8" s="154"/>
      <c r="VMU8" s="154"/>
      <c r="VMV8" s="154"/>
      <c r="VMW8" s="154"/>
      <c r="VMX8" s="154"/>
      <c r="VMY8" s="154"/>
      <c r="VMZ8" s="154"/>
      <c r="VNA8" s="154"/>
      <c r="VNB8" s="154"/>
      <c r="VNC8" s="154"/>
      <c r="VND8" s="154"/>
      <c r="VNE8" s="154"/>
      <c r="VNF8" s="154"/>
      <c r="VNG8" s="154"/>
      <c r="VNH8" s="154"/>
      <c r="VNI8" s="154"/>
      <c r="VNJ8" s="154"/>
      <c r="VNK8" s="154"/>
      <c r="VNL8" s="154"/>
      <c r="VNM8" s="154"/>
      <c r="VNN8" s="154"/>
      <c r="VNO8" s="154"/>
      <c r="VNP8" s="154"/>
      <c r="VNQ8" s="154"/>
      <c r="VNR8" s="154"/>
      <c r="VNS8" s="154"/>
      <c r="VNT8" s="154"/>
      <c r="VNU8" s="154"/>
      <c r="VNV8" s="154"/>
      <c r="VNW8" s="154"/>
      <c r="VNX8" s="154"/>
      <c r="VNY8" s="154"/>
      <c r="VNZ8" s="154"/>
      <c r="VOA8" s="154"/>
      <c r="VOB8" s="154"/>
      <c r="VOC8" s="154"/>
      <c r="VOD8" s="154"/>
      <c r="VOE8" s="154"/>
      <c r="VOF8" s="154"/>
      <c r="VOG8" s="154"/>
      <c r="VOH8" s="154"/>
      <c r="VOI8" s="154"/>
      <c r="VOJ8" s="154"/>
      <c r="VOK8" s="154"/>
      <c r="VOL8" s="154"/>
      <c r="VOM8" s="154"/>
      <c r="VON8" s="154"/>
      <c r="VOO8" s="154"/>
      <c r="VOP8" s="154"/>
      <c r="VOQ8" s="154"/>
      <c r="VOR8" s="154"/>
      <c r="VOS8" s="154"/>
      <c r="VOT8" s="154"/>
      <c r="VOU8" s="154"/>
      <c r="VOV8" s="154"/>
      <c r="VOW8" s="154"/>
      <c r="VOX8" s="154"/>
      <c r="VOY8" s="154"/>
      <c r="VOZ8" s="154"/>
      <c r="VPA8" s="154"/>
      <c r="VPB8" s="154"/>
      <c r="VPC8" s="154"/>
      <c r="VPD8" s="154"/>
      <c r="VPE8" s="154"/>
      <c r="VPF8" s="154"/>
      <c r="VPG8" s="154"/>
      <c r="VPH8" s="154"/>
      <c r="VPI8" s="154"/>
      <c r="VPJ8" s="154"/>
      <c r="VPK8" s="154"/>
      <c r="VPL8" s="154"/>
      <c r="VPM8" s="154"/>
      <c r="VPN8" s="154"/>
      <c r="VPO8" s="154"/>
      <c r="VPP8" s="154"/>
      <c r="VPQ8" s="154"/>
      <c r="VPR8" s="154"/>
      <c r="VPS8" s="154"/>
      <c r="VPT8" s="154"/>
      <c r="VPU8" s="154"/>
      <c r="VPV8" s="154"/>
      <c r="VPW8" s="154"/>
      <c r="VPX8" s="154"/>
      <c r="VPY8" s="154"/>
      <c r="VPZ8" s="154"/>
      <c r="VQA8" s="154"/>
      <c r="VQB8" s="154"/>
      <c r="VQC8" s="154"/>
      <c r="VQD8" s="154"/>
      <c r="VQE8" s="154"/>
      <c r="VQF8" s="154"/>
      <c r="VQG8" s="154"/>
      <c r="VQH8" s="154"/>
      <c r="VQI8" s="154"/>
      <c r="VQJ8" s="154"/>
      <c r="VQK8" s="154"/>
      <c r="VQL8" s="154"/>
      <c r="VQM8" s="154"/>
      <c r="VQN8" s="154"/>
      <c r="VQO8" s="154"/>
      <c r="VQP8" s="154"/>
      <c r="VQQ8" s="154"/>
      <c r="VQR8" s="154"/>
      <c r="VQS8" s="154"/>
      <c r="VQT8" s="154"/>
      <c r="VQU8" s="154"/>
      <c r="VQV8" s="154"/>
      <c r="VQW8" s="154"/>
      <c r="VQX8" s="154"/>
      <c r="VQY8" s="154"/>
      <c r="VQZ8" s="154"/>
      <c r="VRA8" s="154"/>
      <c r="VRB8" s="154"/>
      <c r="VRC8" s="154"/>
      <c r="VRD8" s="154"/>
      <c r="VRE8" s="154"/>
      <c r="VRF8" s="154"/>
      <c r="VRG8" s="154"/>
      <c r="VRH8" s="154"/>
      <c r="VRI8" s="154"/>
      <c r="VRJ8" s="154"/>
      <c r="VRK8" s="154"/>
      <c r="VRL8" s="154"/>
      <c r="VRM8" s="154"/>
      <c r="VRN8" s="154"/>
      <c r="VRO8" s="154"/>
      <c r="VRP8" s="154"/>
      <c r="VRQ8" s="154"/>
      <c r="VRR8" s="154"/>
      <c r="VRS8" s="154"/>
      <c r="VRT8" s="154"/>
      <c r="VRU8" s="154"/>
      <c r="VRV8" s="154"/>
      <c r="VRW8" s="154"/>
      <c r="VRX8" s="154"/>
      <c r="VRY8" s="154"/>
      <c r="VRZ8" s="154"/>
      <c r="VSA8" s="154"/>
      <c r="VSB8" s="154"/>
      <c r="VSC8" s="154"/>
      <c r="VSD8" s="154"/>
      <c r="VSE8" s="154"/>
      <c r="VSF8" s="154"/>
      <c r="VSG8" s="154"/>
      <c r="VSH8" s="154"/>
      <c r="VSI8" s="154"/>
      <c r="VSJ8" s="154"/>
      <c r="VSK8" s="154"/>
      <c r="VSL8" s="154"/>
      <c r="VSM8" s="154"/>
      <c r="VSN8" s="154"/>
      <c r="VSO8" s="154"/>
      <c r="VSP8" s="154"/>
      <c r="VSQ8" s="154"/>
      <c r="VSR8" s="154"/>
      <c r="VSS8" s="154"/>
      <c r="VST8" s="154"/>
      <c r="VSU8" s="154"/>
      <c r="VSV8" s="154"/>
      <c r="VSW8" s="154"/>
      <c r="VSX8" s="154"/>
      <c r="VSY8" s="154"/>
      <c r="VSZ8" s="154"/>
      <c r="VTA8" s="154"/>
      <c r="VTB8" s="154"/>
      <c r="VTC8" s="154"/>
      <c r="VTD8" s="154"/>
      <c r="VTE8" s="154"/>
      <c r="VTF8" s="154"/>
      <c r="VTG8" s="154"/>
      <c r="VTH8" s="154"/>
      <c r="VTI8" s="154"/>
      <c r="VTJ8" s="154"/>
      <c r="VTK8" s="154"/>
      <c r="VTL8" s="154"/>
      <c r="VTM8" s="154"/>
      <c r="VTN8" s="154"/>
      <c r="VTO8" s="154"/>
      <c r="VTP8" s="154"/>
      <c r="VTQ8" s="154"/>
      <c r="VTR8" s="154"/>
      <c r="VTS8" s="154"/>
      <c r="VTT8" s="154"/>
      <c r="VTU8" s="154"/>
      <c r="VTV8" s="154"/>
      <c r="VTW8" s="154"/>
      <c r="VTX8" s="154"/>
      <c r="VTY8" s="154"/>
      <c r="VTZ8" s="154"/>
      <c r="VUA8" s="154"/>
      <c r="VUB8" s="154"/>
      <c r="VUC8" s="154"/>
      <c r="VUD8" s="154"/>
      <c r="VUE8" s="154"/>
      <c r="VUF8" s="154"/>
      <c r="VUG8" s="154"/>
      <c r="VUH8" s="154"/>
      <c r="VUI8" s="154"/>
      <c r="VUJ8" s="154"/>
      <c r="VUK8" s="154"/>
      <c r="VUL8" s="154"/>
      <c r="VUM8" s="154"/>
      <c r="VUN8" s="154"/>
      <c r="VUO8" s="154"/>
      <c r="VUP8" s="154"/>
      <c r="VUQ8" s="154"/>
      <c r="VUR8" s="154"/>
      <c r="VUS8" s="154"/>
      <c r="VUT8" s="154"/>
      <c r="VUU8" s="154"/>
      <c r="VUV8" s="154"/>
      <c r="VUW8" s="154"/>
      <c r="VUX8" s="154"/>
      <c r="VUY8" s="154"/>
      <c r="VUZ8" s="154"/>
      <c r="VVA8" s="154"/>
      <c r="VVB8" s="154"/>
      <c r="VVC8" s="154"/>
      <c r="VVD8" s="154"/>
      <c r="VVE8" s="154"/>
      <c r="VVF8" s="154"/>
      <c r="VVG8" s="154"/>
      <c r="VVH8" s="154"/>
      <c r="VVI8" s="154"/>
      <c r="VVJ8" s="154"/>
      <c r="VVK8" s="154"/>
      <c r="VVL8" s="154"/>
      <c r="VVM8" s="154"/>
      <c r="VVN8" s="154"/>
      <c r="VVO8" s="154"/>
      <c r="VVP8" s="154"/>
      <c r="VVQ8" s="154"/>
      <c r="VVR8" s="154"/>
      <c r="VVS8" s="154"/>
      <c r="VVT8" s="154"/>
      <c r="VVU8" s="154"/>
      <c r="VVV8" s="154"/>
      <c r="VVW8" s="154"/>
      <c r="VVX8" s="154"/>
      <c r="VVY8" s="154"/>
      <c r="VVZ8" s="154"/>
      <c r="VWA8" s="154"/>
      <c r="VWB8" s="154"/>
      <c r="VWC8" s="154"/>
      <c r="VWD8" s="154"/>
      <c r="VWE8" s="154"/>
      <c r="VWF8" s="154"/>
      <c r="VWG8" s="154"/>
      <c r="VWH8" s="154"/>
      <c r="VWI8" s="154"/>
      <c r="VWJ8" s="154"/>
      <c r="VWK8" s="154"/>
      <c r="VWL8" s="154"/>
      <c r="VWM8" s="154"/>
      <c r="VWN8" s="154"/>
      <c r="VWO8" s="154"/>
      <c r="VWP8" s="154"/>
      <c r="VWQ8" s="154"/>
      <c r="VWR8" s="154"/>
      <c r="VWS8" s="154"/>
      <c r="VWT8" s="154"/>
      <c r="VWU8" s="154"/>
      <c r="VWV8" s="154"/>
      <c r="VWW8" s="154"/>
      <c r="VWX8" s="154"/>
      <c r="VWY8" s="154"/>
      <c r="VWZ8" s="154"/>
      <c r="VXA8" s="154"/>
      <c r="VXB8" s="154"/>
      <c r="VXC8" s="154"/>
      <c r="VXD8" s="154"/>
      <c r="VXE8" s="154"/>
      <c r="VXF8" s="154"/>
      <c r="VXG8" s="154"/>
      <c r="VXH8" s="154"/>
      <c r="VXI8" s="154"/>
      <c r="VXJ8" s="154"/>
      <c r="VXK8" s="154"/>
      <c r="VXL8" s="154"/>
      <c r="VXM8" s="154"/>
      <c r="VXN8" s="154"/>
      <c r="VXO8" s="154"/>
      <c r="VXP8" s="154"/>
      <c r="VXQ8" s="154"/>
      <c r="VXR8" s="154"/>
      <c r="VXS8" s="154"/>
      <c r="VXT8" s="154"/>
      <c r="VXU8" s="154"/>
      <c r="VXV8" s="154"/>
      <c r="VXW8" s="154"/>
      <c r="VXX8" s="154"/>
      <c r="VXY8" s="154"/>
      <c r="VXZ8" s="154"/>
      <c r="VYA8" s="154"/>
      <c r="VYB8" s="154"/>
      <c r="VYC8" s="154"/>
      <c r="VYD8" s="154"/>
      <c r="VYE8" s="154"/>
      <c r="VYF8" s="154"/>
      <c r="VYG8" s="154"/>
      <c r="VYH8" s="154"/>
      <c r="VYI8" s="154"/>
      <c r="VYJ8" s="154"/>
      <c r="VYK8" s="154"/>
      <c r="VYL8" s="154"/>
      <c r="VYM8" s="154"/>
      <c r="VYN8" s="154"/>
      <c r="VYO8" s="154"/>
      <c r="VYP8" s="154"/>
      <c r="VYQ8" s="154"/>
      <c r="VYR8" s="154"/>
      <c r="VYS8" s="154"/>
      <c r="VYT8" s="154"/>
      <c r="VYU8" s="154"/>
      <c r="VYV8" s="154"/>
      <c r="VYW8" s="154"/>
      <c r="VYX8" s="154"/>
      <c r="VYY8" s="154"/>
      <c r="VYZ8" s="154"/>
      <c r="VZA8" s="154"/>
      <c r="VZB8" s="154"/>
      <c r="VZC8" s="154"/>
      <c r="VZD8" s="154"/>
      <c r="VZE8" s="154"/>
      <c r="VZF8" s="154"/>
      <c r="VZG8" s="154"/>
      <c r="VZH8" s="154"/>
      <c r="VZI8" s="154"/>
      <c r="VZJ8" s="154"/>
      <c r="VZK8" s="154"/>
      <c r="VZL8" s="154"/>
      <c r="VZM8" s="154"/>
      <c r="VZN8" s="154"/>
      <c r="VZO8" s="154"/>
      <c r="VZP8" s="154"/>
      <c r="VZQ8" s="154"/>
      <c r="VZR8" s="154"/>
      <c r="VZS8" s="154"/>
      <c r="VZT8" s="154"/>
      <c r="VZU8" s="154"/>
      <c r="VZV8" s="154"/>
      <c r="VZW8" s="154"/>
      <c r="VZX8" s="154"/>
      <c r="VZY8" s="154"/>
      <c r="VZZ8" s="154"/>
      <c r="WAA8" s="154"/>
      <c r="WAB8" s="154"/>
      <c r="WAC8" s="154"/>
      <c r="WAD8" s="154"/>
      <c r="WAE8" s="154"/>
      <c r="WAF8" s="154"/>
      <c r="WAG8" s="154"/>
      <c r="WAH8" s="154"/>
      <c r="WAI8" s="154"/>
      <c r="WAJ8" s="154"/>
      <c r="WAK8" s="154"/>
      <c r="WAL8" s="154"/>
      <c r="WAM8" s="154"/>
      <c r="WAN8" s="154"/>
      <c r="WAO8" s="154"/>
      <c r="WAP8" s="154"/>
      <c r="WAQ8" s="154"/>
      <c r="WAR8" s="154"/>
      <c r="WAS8" s="154"/>
      <c r="WAT8" s="154"/>
      <c r="WAU8" s="154"/>
      <c r="WAV8" s="154"/>
      <c r="WAW8" s="154"/>
      <c r="WAX8" s="154"/>
      <c r="WAY8" s="154"/>
      <c r="WAZ8" s="154"/>
      <c r="WBA8" s="154"/>
      <c r="WBB8" s="154"/>
      <c r="WBC8" s="154"/>
      <c r="WBD8" s="154"/>
      <c r="WBE8" s="154"/>
      <c r="WBF8" s="154"/>
      <c r="WBG8" s="154"/>
      <c r="WBH8" s="154"/>
      <c r="WBI8" s="154"/>
      <c r="WBJ8" s="154"/>
      <c r="WBK8" s="154"/>
      <c r="WBL8" s="154"/>
      <c r="WBM8" s="154"/>
      <c r="WBN8" s="154"/>
      <c r="WBO8" s="154"/>
      <c r="WBP8" s="154"/>
      <c r="WBQ8" s="154"/>
      <c r="WBR8" s="154"/>
      <c r="WBS8" s="154"/>
      <c r="WBT8" s="154"/>
      <c r="WBU8" s="154"/>
      <c r="WBV8" s="154"/>
      <c r="WBW8" s="154"/>
      <c r="WBX8" s="154"/>
      <c r="WBY8" s="154"/>
      <c r="WBZ8" s="154"/>
      <c r="WCA8" s="154"/>
      <c r="WCB8" s="154"/>
      <c r="WCC8" s="154"/>
      <c r="WCD8" s="154"/>
      <c r="WCE8" s="154"/>
      <c r="WCF8" s="154"/>
      <c r="WCG8" s="154"/>
      <c r="WCH8" s="154"/>
      <c r="WCI8" s="154"/>
      <c r="WCJ8" s="154"/>
      <c r="WCK8" s="154"/>
      <c r="WCL8" s="154"/>
      <c r="WCM8" s="154"/>
      <c r="WCN8" s="154"/>
      <c r="WCO8" s="154"/>
      <c r="WCP8" s="154"/>
      <c r="WCQ8" s="154"/>
      <c r="WCR8" s="154"/>
      <c r="WCS8" s="154"/>
      <c r="WCT8" s="154"/>
      <c r="WCU8" s="154"/>
      <c r="WCV8" s="154"/>
      <c r="WCW8" s="154"/>
      <c r="WCX8" s="154"/>
      <c r="WCY8" s="154"/>
      <c r="WCZ8" s="154"/>
      <c r="WDA8" s="154"/>
      <c r="WDB8" s="154"/>
      <c r="WDC8" s="154"/>
      <c r="WDD8" s="154"/>
      <c r="WDE8" s="154"/>
      <c r="WDF8" s="154"/>
      <c r="WDG8" s="154"/>
      <c r="WDH8" s="154"/>
      <c r="WDI8" s="154"/>
      <c r="WDJ8" s="154"/>
      <c r="WDK8" s="154"/>
      <c r="WDL8" s="154"/>
      <c r="WDM8" s="154"/>
      <c r="WDN8" s="154"/>
      <c r="WDO8" s="154"/>
      <c r="WDP8" s="154"/>
      <c r="WDQ8" s="154"/>
      <c r="WDR8" s="154"/>
      <c r="WDS8" s="154"/>
      <c r="WDT8" s="154"/>
      <c r="WDU8" s="154"/>
      <c r="WDV8" s="154"/>
      <c r="WDW8" s="154"/>
      <c r="WDX8" s="154"/>
      <c r="WDY8" s="154"/>
      <c r="WDZ8" s="154"/>
      <c r="WEA8" s="154"/>
      <c r="WEB8" s="154"/>
      <c r="WEC8" s="154"/>
      <c r="WED8" s="154"/>
      <c r="WEE8" s="154"/>
      <c r="WEF8" s="154"/>
      <c r="WEG8" s="154"/>
      <c r="WEH8" s="154"/>
      <c r="WEI8" s="154"/>
      <c r="WEJ8" s="154"/>
      <c r="WEK8" s="154"/>
      <c r="WEL8" s="154"/>
      <c r="WEM8" s="154"/>
      <c r="WEN8" s="154"/>
      <c r="WEO8" s="154"/>
      <c r="WEP8" s="154"/>
      <c r="WEQ8" s="154"/>
      <c r="WER8" s="154"/>
      <c r="WES8" s="154"/>
      <c r="WET8" s="154"/>
      <c r="WEU8" s="154"/>
      <c r="WEV8" s="154"/>
      <c r="WEW8" s="154"/>
      <c r="WEX8" s="154"/>
      <c r="WEY8" s="154"/>
      <c r="WEZ8" s="154"/>
      <c r="WFA8" s="154"/>
      <c r="WFB8" s="154"/>
      <c r="WFC8" s="154"/>
      <c r="WFD8" s="154"/>
      <c r="WFE8" s="154"/>
      <c r="WFF8" s="154"/>
      <c r="WFG8" s="154"/>
      <c r="WFH8" s="154"/>
      <c r="WFI8" s="154"/>
      <c r="WFJ8" s="154"/>
      <c r="WFK8" s="154"/>
      <c r="WFL8" s="154"/>
      <c r="WFM8" s="154"/>
      <c r="WFN8" s="154"/>
      <c r="WFO8" s="154"/>
      <c r="WFP8" s="154"/>
      <c r="WFQ8" s="154"/>
      <c r="WFR8" s="154"/>
      <c r="WFS8" s="154"/>
      <c r="WFT8" s="154"/>
      <c r="WFU8" s="154"/>
      <c r="WFV8" s="154"/>
      <c r="WFW8" s="154"/>
      <c r="WFX8" s="154"/>
      <c r="WFY8" s="154"/>
      <c r="WFZ8" s="154"/>
      <c r="WGA8" s="154"/>
      <c r="WGB8" s="154"/>
      <c r="WGC8" s="154"/>
      <c r="WGD8" s="154"/>
      <c r="WGE8" s="154"/>
      <c r="WGF8" s="154"/>
      <c r="WGG8" s="154"/>
      <c r="WGH8" s="154"/>
      <c r="WGI8" s="154"/>
      <c r="WGJ8" s="154"/>
      <c r="WGK8" s="154"/>
      <c r="WGL8" s="154"/>
      <c r="WGM8" s="154"/>
      <c r="WGN8" s="154"/>
      <c r="WGO8" s="154"/>
      <c r="WGP8" s="154"/>
      <c r="WGQ8" s="154"/>
      <c r="WGR8" s="154"/>
      <c r="WGS8" s="154"/>
      <c r="WGT8" s="154"/>
      <c r="WGU8" s="154"/>
      <c r="WGV8" s="154"/>
      <c r="WGW8" s="154"/>
      <c r="WGX8" s="154"/>
      <c r="WGY8" s="154"/>
      <c r="WGZ8" s="154"/>
      <c r="WHA8" s="154"/>
      <c r="WHB8" s="154"/>
      <c r="WHC8" s="154"/>
      <c r="WHD8" s="154"/>
      <c r="WHE8" s="154"/>
      <c r="WHF8" s="154"/>
      <c r="WHG8" s="154"/>
      <c r="WHH8" s="154"/>
      <c r="WHI8" s="154"/>
      <c r="WHJ8" s="154"/>
      <c r="WHK8" s="154"/>
      <c r="WHL8" s="154"/>
      <c r="WHM8" s="154"/>
      <c r="WHN8" s="154"/>
      <c r="WHO8" s="154"/>
      <c r="WHP8" s="154"/>
      <c r="WHQ8" s="154"/>
      <c r="WHR8" s="154"/>
      <c r="WHS8" s="154"/>
      <c r="WHT8" s="154"/>
      <c r="WHU8" s="154"/>
      <c r="WHV8" s="154"/>
      <c r="WHW8" s="154"/>
      <c r="WHX8" s="154"/>
      <c r="WHY8" s="154"/>
      <c r="WHZ8" s="154"/>
      <c r="WIA8" s="154"/>
      <c r="WIB8" s="154"/>
      <c r="WIC8" s="154"/>
      <c r="WID8" s="154"/>
      <c r="WIE8" s="154"/>
      <c r="WIF8" s="154"/>
      <c r="WIG8" s="154"/>
      <c r="WIH8" s="154"/>
      <c r="WII8" s="154"/>
      <c r="WIJ8" s="154"/>
      <c r="WIK8" s="154"/>
      <c r="WIL8" s="154"/>
      <c r="WIM8" s="154"/>
      <c r="WIN8" s="154"/>
      <c r="WIO8" s="154"/>
      <c r="WIP8" s="154"/>
      <c r="WIQ8" s="154"/>
      <c r="WIR8" s="154"/>
      <c r="WIS8" s="154"/>
      <c r="WIT8" s="154"/>
      <c r="WIU8" s="154"/>
      <c r="WIV8" s="154"/>
      <c r="WIW8" s="154"/>
      <c r="WIX8" s="154"/>
      <c r="WIY8" s="154"/>
      <c r="WIZ8" s="154"/>
      <c r="WJA8" s="154"/>
      <c r="WJB8" s="154"/>
      <c r="WJC8" s="154"/>
      <c r="WJD8" s="154"/>
      <c r="WJE8" s="154"/>
      <c r="WJF8" s="154"/>
      <c r="WJG8" s="154"/>
      <c r="WJH8" s="154"/>
      <c r="WJI8" s="154"/>
      <c r="WJJ8" s="154"/>
      <c r="WJK8" s="154"/>
      <c r="WJL8" s="154"/>
      <c r="WJM8" s="154"/>
      <c r="WJN8" s="154"/>
      <c r="WJO8" s="154"/>
      <c r="WJP8" s="154"/>
      <c r="WJQ8" s="154"/>
      <c r="WJR8" s="154"/>
      <c r="WJS8" s="154"/>
      <c r="WJT8" s="154"/>
      <c r="WJU8" s="154"/>
      <c r="WJV8" s="154"/>
      <c r="WJW8" s="154"/>
      <c r="WJX8" s="154"/>
      <c r="WJY8" s="154"/>
      <c r="WJZ8" s="154"/>
      <c r="WKA8" s="154"/>
      <c r="WKB8" s="154"/>
      <c r="WKC8" s="154"/>
      <c r="WKD8" s="154"/>
      <c r="WKE8" s="154"/>
      <c r="WKF8" s="154"/>
      <c r="WKG8" s="154"/>
      <c r="WKH8" s="154"/>
      <c r="WKI8" s="154"/>
      <c r="WKJ8" s="154"/>
      <c r="WKK8" s="154"/>
      <c r="WKL8" s="154"/>
      <c r="WKM8" s="154"/>
      <c r="WKN8" s="154"/>
      <c r="WKO8" s="154"/>
      <c r="WKP8" s="154"/>
      <c r="WKQ8" s="154"/>
      <c r="WKR8" s="154"/>
      <c r="WKS8" s="154"/>
      <c r="WKT8" s="154"/>
      <c r="WKU8" s="154"/>
      <c r="WKV8" s="154"/>
      <c r="WKW8" s="154"/>
      <c r="WKX8" s="154"/>
      <c r="WKY8" s="154"/>
      <c r="WKZ8" s="154"/>
      <c r="WLA8" s="154"/>
      <c r="WLB8" s="154"/>
      <c r="WLC8" s="154"/>
      <c r="WLD8" s="154"/>
      <c r="WLE8" s="154"/>
      <c r="WLF8" s="154"/>
      <c r="WLG8" s="154"/>
      <c r="WLH8" s="154"/>
      <c r="WLI8" s="154"/>
      <c r="WLJ8" s="154"/>
      <c r="WLK8" s="154"/>
      <c r="WLL8" s="154"/>
      <c r="WLM8" s="154"/>
      <c r="WLN8" s="154"/>
      <c r="WLO8" s="154"/>
      <c r="WLP8" s="154"/>
      <c r="WLQ8" s="154"/>
      <c r="WLR8" s="154"/>
      <c r="WLS8" s="154"/>
      <c r="WLT8" s="154"/>
      <c r="WLU8" s="154"/>
      <c r="WLV8" s="154"/>
      <c r="WLW8" s="154"/>
      <c r="WLX8" s="154"/>
      <c r="WLY8" s="154"/>
      <c r="WLZ8" s="154"/>
      <c r="WMA8" s="154"/>
      <c r="WMB8" s="154"/>
      <c r="WMC8" s="154"/>
      <c r="WMD8" s="154"/>
      <c r="WME8" s="154"/>
      <c r="WMF8" s="154"/>
      <c r="WMG8" s="154"/>
      <c r="WMH8" s="154"/>
      <c r="WMI8" s="154"/>
      <c r="WMJ8" s="154"/>
      <c r="WMK8" s="154"/>
      <c r="WML8" s="154"/>
      <c r="WMM8" s="154"/>
      <c r="WMN8" s="154"/>
      <c r="WMO8" s="154"/>
      <c r="WMP8" s="154"/>
      <c r="WMQ8" s="154"/>
      <c r="WMR8" s="154"/>
      <c r="WMS8" s="154"/>
      <c r="WMT8" s="154"/>
      <c r="WMU8" s="154"/>
      <c r="WMV8" s="154"/>
      <c r="WMW8" s="154"/>
      <c r="WMX8" s="154"/>
      <c r="WMY8" s="154"/>
      <c r="WMZ8" s="154"/>
      <c r="WNA8" s="154"/>
      <c r="WNB8" s="154"/>
      <c r="WNC8" s="154"/>
      <c r="WND8" s="154"/>
      <c r="WNE8" s="154"/>
      <c r="WNF8" s="154"/>
      <c r="WNG8" s="154"/>
      <c r="WNH8" s="154"/>
      <c r="WNI8" s="154"/>
      <c r="WNJ8" s="154"/>
      <c r="WNK8" s="154"/>
      <c r="WNL8" s="154"/>
      <c r="WNM8" s="154"/>
      <c r="WNN8" s="154"/>
      <c r="WNO8" s="154"/>
      <c r="WNP8" s="154"/>
      <c r="WNQ8" s="154"/>
      <c r="WNR8" s="154"/>
      <c r="WNS8" s="154"/>
      <c r="WNT8" s="154"/>
      <c r="WNU8" s="154"/>
      <c r="WNV8" s="154"/>
      <c r="WNW8" s="154"/>
      <c r="WNX8" s="154"/>
      <c r="WNY8" s="154"/>
      <c r="WNZ8" s="154"/>
      <c r="WOA8" s="154"/>
      <c r="WOB8" s="154"/>
      <c r="WOC8" s="154"/>
      <c r="WOD8" s="154"/>
      <c r="WOE8" s="154"/>
      <c r="WOF8" s="154"/>
      <c r="WOG8" s="154"/>
      <c r="WOH8" s="154"/>
      <c r="WOI8" s="154"/>
      <c r="WOJ8" s="154"/>
      <c r="WOK8" s="154"/>
      <c r="WOL8" s="154"/>
      <c r="WOM8" s="154"/>
      <c r="WON8" s="154"/>
      <c r="WOO8" s="154"/>
      <c r="WOP8" s="154"/>
      <c r="WOQ8" s="154"/>
      <c r="WOR8" s="154"/>
      <c r="WOS8" s="154"/>
      <c r="WOT8" s="154"/>
      <c r="WOU8" s="154"/>
      <c r="WOV8" s="154"/>
      <c r="WOW8" s="154"/>
      <c r="WOX8" s="154"/>
      <c r="WOY8" s="154"/>
      <c r="WOZ8" s="154"/>
      <c r="WPA8" s="154"/>
      <c r="WPB8" s="154"/>
      <c r="WPC8" s="154"/>
      <c r="WPD8" s="154"/>
      <c r="WPE8" s="154"/>
      <c r="WPF8" s="154"/>
      <c r="WPG8" s="154"/>
      <c r="WPH8" s="154"/>
      <c r="WPI8" s="154"/>
      <c r="WPJ8" s="154"/>
      <c r="WPK8" s="154"/>
      <c r="WPL8" s="154"/>
      <c r="WPM8" s="154"/>
      <c r="WPN8" s="154"/>
      <c r="WPO8" s="154"/>
      <c r="WPP8" s="154"/>
      <c r="WPQ8" s="154"/>
      <c r="WPR8" s="154"/>
      <c r="WPS8" s="154"/>
      <c r="WPT8" s="154"/>
      <c r="WPU8" s="154"/>
      <c r="WPV8" s="154"/>
      <c r="WPW8" s="154"/>
      <c r="WPX8" s="154"/>
      <c r="WPY8" s="154"/>
      <c r="WPZ8" s="154"/>
      <c r="WQA8" s="154"/>
      <c r="WQB8" s="154"/>
      <c r="WQC8" s="154"/>
      <c r="WQD8" s="154"/>
      <c r="WQE8" s="154"/>
      <c r="WQF8" s="154"/>
      <c r="WQG8" s="154"/>
      <c r="WQH8" s="154"/>
      <c r="WQI8" s="154"/>
      <c r="WQJ8" s="154"/>
      <c r="WQK8" s="154"/>
      <c r="WQL8" s="154"/>
      <c r="WQM8" s="154"/>
      <c r="WQN8" s="154"/>
      <c r="WQO8" s="154"/>
      <c r="WQP8" s="154"/>
      <c r="WQQ8" s="154"/>
      <c r="WQR8" s="154"/>
      <c r="WQS8" s="154"/>
      <c r="WQT8" s="154"/>
      <c r="WQU8" s="154"/>
      <c r="WQV8" s="154"/>
      <c r="WQW8" s="154"/>
      <c r="WQX8" s="154"/>
      <c r="WQY8" s="154"/>
      <c r="WQZ8" s="154"/>
      <c r="WRA8" s="154"/>
      <c r="WRB8" s="154"/>
      <c r="WRC8" s="154"/>
      <c r="WRD8" s="154"/>
      <c r="WRE8" s="154"/>
      <c r="WRF8" s="154"/>
      <c r="WRG8" s="154"/>
      <c r="WRH8" s="154"/>
      <c r="WRI8" s="154"/>
      <c r="WRJ8" s="154"/>
      <c r="WRK8" s="154"/>
      <c r="WRL8" s="154"/>
      <c r="WRM8" s="154"/>
      <c r="WRN8" s="154"/>
      <c r="WRO8" s="154"/>
      <c r="WRP8" s="154"/>
      <c r="WRQ8" s="154"/>
      <c r="WRR8" s="154"/>
      <c r="WRS8" s="154"/>
      <c r="WRT8" s="154"/>
      <c r="WRU8" s="154"/>
      <c r="WRV8" s="154"/>
      <c r="WRW8" s="154"/>
      <c r="WRX8" s="154"/>
      <c r="WRY8" s="154"/>
      <c r="WRZ8" s="154"/>
      <c r="WSA8" s="154"/>
      <c r="WSB8" s="154"/>
      <c r="WSC8" s="154"/>
      <c r="WSD8" s="154"/>
      <c r="WSE8" s="154"/>
      <c r="WSF8" s="154"/>
      <c r="WSG8" s="154"/>
      <c r="WSH8" s="154"/>
      <c r="WSI8" s="154"/>
      <c r="WSJ8" s="154"/>
      <c r="WSK8" s="154"/>
      <c r="WSL8" s="154"/>
      <c r="WSM8" s="154"/>
      <c r="WSN8" s="154"/>
      <c r="WSO8" s="154"/>
      <c r="WSP8" s="154"/>
      <c r="WSQ8" s="154"/>
      <c r="WSR8" s="154"/>
      <c r="WSS8" s="154"/>
      <c r="WST8" s="154"/>
      <c r="WSU8" s="154"/>
      <c r="WSV8" s="154"/>
      <c r="WSW8" s="154"/>
      <c r="WSX8" s="154"/>
      <c r="WSY8" s="154"/>
      <c r="WSZ8" s="154"/>
      <c r="WTA8" s="154"/>
      <c r="WTB8" s="154"/>
      <c r="WTC8" s="154"/>
      <c r="WTD8" s="154"/>
      <c r="WTE8" s="154"/>
      <c r="WTF8" s="154"/>
      <c r="WTG8" s="154"/>
      <c r="WTH8" s="154"/>
      <c r="WTI8" s="154"/>
      <c r="WTJ8" s="154"/>
      <c r="WTK8" s="154"/>
      <c r="WTL8" s="154"/>
      <c r="WTM8" s="154"/>
      <c r="WTN8" s="154"/>
      <c r="WTO8" s="154"/>
      <c r="WTP8" s="154"/>
      <c r="WTQ8" s="154"/>
      <c r="WTR8" s="154"/>
      <c r="WTS8" s="154"/>
      <c r="WTT8" s="154"/>
      <c r="WTU8" s="154"/>
      <c r="WTV8" s="154"/>
      <c r="WTW8" s="154"/>
      <c r="WTX8" s="154"/>
      <c r="WTY8" s="154"/>
      <c r="WTZ8" s="154"/>
      <c r="WUA8" s="154"/>
      <c r="WUB8" s="154"/>
      <c r="WUC8" s="154"/>
      <c r="WUD8" s="154"/>
      <c r="WUE8" s="154"/>
      <c r="WUF8" s="154"/>
      <c r="WUG8" s="154"/>
      <c r="WUH8" s="154"/>
      <c r="WUI8" s="154"/>
      <c r="WUJ8" s="154"/>
      <c r="WUK8" s="154"/>
      <c r="WUL8" s="154"/>
      <c r="WUM8" s="154"/>
      <c r="WUN8" s="154"/>
      <c r="WUO8" s="154"/>
      <c r="WUP8" s="154"/>
      <c r="WUQ8" s="154"/>
      <c r="WUR8" s="154"/>
      <c r="WUS8" s="154"/>
      <c r="WUT8" s="154"/>
      <c r="WUU8" s="154"/>
      <c r="WUV8" s="154"/>
      <c r="WUW8" s="154"/>
      <c r="WUX8" s="154"/>
      <c r="WUY8" s="154"/>
      <c r="WUZ8" s="154"/>
      <c r="WVA8" s="154"/>
      <c r="WVB8" s="154"/>
      <c r="WVC8" s="154"/>
      <c r="WVD8" s="154"/>
      <c r="WVE8" s="154"/>
      <c r="WVF8" s="154"/>
      <c r="WVG8" s="154"/>
      <c r="WVH8" s="154"/>
      <c r="WVI8" s="154"/>
      <c r="WVJ8" s="154"/>
      <c r="WVK8" s="154"/>
      <c r="WVL8" s="154"/>
      <c r="WVM8" s="154"/>
      <c r="WVN8" s="154"/>
      <c r="WVO8" s="154"/>
      <c r="WVP8" s="154"/>
      <c r="WVQ8" s="154"/>
      <c r="WVR8" s="154"/>
      <c r="WVS8" s="154"/>
      <c r="WVT8" s="154"/>
      <c r="WVU8" s="154"/>
      <c r="WVV8" s="154"/>
      <c r="WVW8" s="154"/>
      <c r="WVX8" s="154"/>
      <c r="WVY8" s="154"/>
      <c r="WVZ8" s="154"/>
      <c r="WWA8" s="154"/>
      <c r="WWB8" s="154"/>
      <c r="WWC8" s="154"/>
      <c r="WWD8" s="154"/>
      <c r="WWE8" s="154"/>
      <c r="WWF8" s="154"/>
      <c r="WWG8" s="154"/>
      <c r="WWH8" s="154"/>
      <c r="WWI8" s="154"/>
      <c r="WWJ8" s="154"/>
      <c r="WWK8" s="154"/>
      <c r="WWL8" s="154"/>
      <c r="WWM8" s="154"/>
      <c r="WWN8" s="154"/>
      <c r="WWO8" s="154"/>
      <c r="WWP8" s="154"/>
      <c r="WWQ8" s="154"/>
      <c r="WWR8" s="154"/>
      <c r="WWS8" s="154"/>
      <c r="WWT8" s="154"/>
      <c r="WWU8" s="154"/>
      <c r="WWV8" s="154"/>
      <c r="WWW8" s="154"/>
      <c r="WWX8" s="154"/>
      <c r="WWY8" s="154"/>
      <c r="WWZ8" s="154"/>
      <c r="WXA8" s="154"/>
      <c r="WXB8" s="154"/>
      <c r="WXC8" s="154"/>
      <c r="WXD8" s="154"/>
      <c r="WXE8" s="154"/>
      <c r="WXF8" s="154"/>
      <c r="WXG8" s="154"/>
      <c r="WXH8" s="154"/>
      <c r="WXI8" s="154"/>
      <c r="WXJ8" s="154"/>
      <c r="WXK8" s="154"/>
      <c r="WXL8" s="154"/>
      <c r="WXM8" s="154"/>
      <c r="WXN8" s="154"/>
      <c r="WXO8" s="154"/>
      <c r="WXP8" s="154"/>
      <c r="WXQ8" s="154"/>
      <c r="WXR8" s="154"/>
      <c r="WXS8" s="154"/>
      <c r="WXT8" s="154"/>
      <c r="WXU8" s="154"/>
      <c r="WXV8" s="154"/>
      <c r="WXW8" s="154"/>
      <c r="WXX8" s="154"/>
      <c r="WXY8" s="154"/>
      <c r="WXZ8" s="154"/>
      <c r="WYA8" s="154"/>
      <c r="WYB8" s="154"/>
      <c r="WYC8" s="154"/>
      <c r="WYD8" s="154"/>
      <c r="WYE8" s="154"/>
      <c r="WYF8" s="154"/>
      <c r="WYG8" s="154"/>
      <c r="WYH8" s="154"/>
      <c r="WYI8" s="154"/>
      <c r="WYJ8" s="154"/>
      <c r="WYK8" s="154"/>
      <c r="WYL8" s="154"/>
      <c r="WYM8" s="154"/>
      <c r="WYN8" s="154"/>
      <c r="WYO8" s="154"/>
      <c r="WYP8" s="154"/>
      <c r="WYQ8" s="154"/>
      <c r="WYR8" s="154"/>
      <c r="WYS8" s="154"/>
      <c r="WYT8" s="154"/>
      <c r="WYU8" s="154"/>
      <c r="WYV8" s="154"/>
      <c r="WYW8" s="154"/>
      <c r="WYX8" s="154"/>
      <c r="WYY8" s="154"/>
      <c r="WYZ8" s="154"/>
      <c r="WZA8" s="154"/>
      <c r="WZB8" s="154"/>
      <c r="WZC8" s="154"/>
      <c r="WZD8" s="154"/>
      <c r="WZE8" s="154"/>
      <c r="WZF8" s="154"/>
      <c r="WZG8" s="154"/>
      <c r="WZH8" s="154"/>
      <c r="WZI8" s="154"/>
      <c r="WZJ8" s="154"/>
      <c r="WZK8" s="154"/>
      <c r="WZL8" s="154"/>
      <c r="WZM8" s="154"/>
      <c r="WZN8" s="154"/>
      <c r="WZO8" s="154"/>
      <c r="WZP8" s="154"/>
      <c r="WZQ8" s="154"/>
      <c r="WZR8" s="154"/>
      <c r="WZS8" s="154"/>
      <c r="WZT8" s="154"/>
      <c r="WZU8" s="154"/>
      <c r="WZV8" s="154"/>
      <c r="WZW8" s="154"/>
      <c r="WZX8" s="154"/>
      <c r="WZY8" s="154"/>
      <c r="WZZ8" s="154"/>
      <c r="XAA8" s="154"/>
      <c r="XAB8" s="154"/>
      <c r="XAC8" s="154"/>
      <c r="XAD8" s="154"/>
      <c r="XAE8" s="154"/>
      <c r="XAF8" s="154"/>
      <c r="XAG8" s="154"/>
      <c r="XAH8" s="154"/>
      <c r="XAI8" s="154"/>
      <c r="XAJ8" s="154"/>
      <c r="XAK8" s="154"/>
      <c r="XAL8" s="154"/>
      <c r="XAM8" s="154"/>
      <c r="XAN8" s="154"/>
      <c r="XAO8" s="154"/>
      <c r="XAP8" s="154"/>
      <c r="XAQ8" s="154"/>
      <c r="XAR8" s="154"/>
      <c r="XAS8" s="154"/>
      <c r="XAT8" s="154"/>
      <c r="XAU8" s="154"/>
      <c r="XAV8" s="154"/>
      <c r="XAW8" s="154"/>
      <c r="XAX8" s="154"/>
      <c r="XAY8" s="154"/>
      <c r="XAZ8" s="154"/>
      <c r="XBA8" s="154"/>
      <c r="XBB8" s="154"/>
      <c r="XBC8" s="154"/>
      <c r="XBD8" s="154"/>
      <c r="XBE8" s="154"/>
      <c r="XBF8" s="154"/>
      <c r="XBG8" s="154"/>
      <c r="XBH8" s="154"/>
      <c r="XBI8" s="154"/>
      <c r="XBJ8" s="154"/>
      <c r="XBK8" s="154"/>
      <c r="XBL8" s="154"/>
      <c r="XBM8" s="154"/>
      <c r="XBN8" s="154"/>
      <c r="XBO8" s="154"/>
      <c r="XBP8" s="154"/>
      <c r="XBQ8" s="154"/>
      <c r="XBR8" s="154"/>
      <c r="XBS8" s="154"/>
      <c r="XBT8" s="154"/>
      <c r="XBU8" s="154"/>
      <c r="XBV8" s="154"/>
      <c r="XBW8" s="154"/>
      <c r="XBX8" s="154"/>
      <c r="XBY8" s="154"/>
      <c r="XBZ8" s="154"/>
      <c r="XCA8" s="154"/>
      <c r="XCB8" s="154"/>
      <c r="XCC8" s="154"/>
      <c r="XCD8" s="154"/>
      <c r="XCE8" s="154"/>
      <c r="XCF8" s="154"/>
      <c r="XCG8" s="154"/>
      <c r="XCH8" s="154"/>
      <c r="XCI8" s="154"/>
      <c r="XCJ8" s="154"/>
      <c r="XCK8" s="154"/>
      <c r="XCL8" s="154"/>
      <c r="XCM8" s="154"/>
      <c r="XCN8" s="154"/>
      <c r="XCO8" s="154"/>
      <c r="XCP8" s="154"/>
      <c r="XCQ8" s="154"/>
      <c r="XCR8" s="154"/>
      <c r="XCS8" s="154"/>
      <c r="XCT8" s="154"/>
      <c r="XCU8" s="154"/>
      <c r="XCV8" s="154"/>
      <c r="XCW8" s="154"/>
      <c r="XCX8" s="154"/>
      <c r="XCY8" s="154"/>
      <c r="XCZ8" s="154"/>
      <c r="XDA8" s="154"/>
      <c r="XDB8" s="154"/>
      <c r="XDC8" s="154"/>
      <c r="XDD8" s="154"/>
      <c r="XDE8" s="154"/>
      <c r="XDF8" s="154"/>
      <c r="XDG8" s="154"/>
      <c r="XDH8" s="154"/>
      <c r="XDI8" s="154"/>
      <c r="XDJ8" s="154"/>
      <c r="XDK8" s="154"/>
      <c r="XDL8" s="154"/>
      <c r="XDM8" s="154"/>
      <c r="XDN8" s="154"/>
      <c r="XDO8" s="154"/>
      <c r="XDP8" s="154"/>
      <c r="XDQ8" s="154"/>
      <c r="XDR8" s="154"/>
      <c r="XDS8" s="154"/>
      <c r="XDT8" s="154"/>
      <c r="XDU8" s="154"/>
      <c r="XDV8" s="154"/>
      <c r="XDW8" s="154"/>
      <c r="XDX8" s="154"/>
      <c r="XDY8" s="154"/>
      <c r="XDZ8" s="154"/>
      <c r="XEA8" s="154"/>
      <c r="XEB8" s="154"/>
      <c r="XEC8" s="154"/>
      <c r="XED8" s="154"/>
      <c r="XEE8" s="154"/>
      <c r="XEF8" s="154"/>
      <c r="XEG8" s="154"/>
      <c r="XEH8" s="154"/>
      <c r="XEI8" s="154"/>
      <c r="XEJ8" s="154"/>
      <c r="XEK8" s="154"/>
      <c r="XEL8" s="154"/>
      <c r="XEM8" s="154"/>
      <c r="XEN8" s="154"/>
      <c r="XEO8" s="154"/>
      <c r="XEP8" s="154"/>
      <c r="XEQ8" s="154"/>
      <c r="XER8" s="154"/>
      <c r="XES8" s="154"/>
      <c r="XET8" s="154"/>
      <c r="XEU8" s="154"/>
      <c r="XEV8" s="154"/>
      <c r="XEW8" s="154"/>
      <c r="XEX8" s="154"/>
      <c r="XEY8" s="154"/>
      <c r="XEZ8" s="154"/>
      <c r="XFA8" s="154"/>
      <c r="XFB8" s="154"/>
      <c r="XFC8" s="154"/>
      <c r="XFD8" s="154"/>
    </row>
    <row r="9" spans="1:16384" ht="30" customHeight="1">
      <c r="A9" s="153"/>
      <c r="B9" s="59"/>
      <c r="C9" s="174"/>
      <c r="D9" t="s">
        <v>4680</v>
      </c>
      <c r="E9" s="53" t="s">
        <v>4793</v>
      </c>
      <c r="F9" s="139"/>
    </row>
    <row r="10" spans="1:16384" ht="9" customHeight="1">
      <c r="A10" s="153"/>
      <c r="B10" s="154"/>
      <c r="C10" s="153"/>
      <c r="E10" s="95" t="s">
        <v>688</v>
      </c>
    </row>
    <row r="11" spans="1:16384">
      <c r="A11" s="153"/>
      <c r="B11" s="30"/>
      <c r="C11" s="153"/>
    </row>
    <row r="12" spans="1:16384" ht="20.100000000000001" customHeight="1">
      <c r="B12" s="61" t="s">
        <v>68</v>
      </c>
      <c r="E12" s="50" t="s">
        <v>68</v>
      </c>
      <c r="F12" s="151"/>
    </row>
    <row r="13" spans="1:16384" ht="39.950000000000003" customHeight="1">
      <c r="A13">
        <v>1</v>
      </c>
      <c r="B13" s="53" t="s">
        <v>3745</v>
      </c>
      <c r="C13" s="151" t="s">
        <v>4676</v>
      </c>
      <c r="D13">
        <v>13</v>
      </c>
      <c r="E13" s="250" t="s">
        <v>5422</v>
      </c>
      <c r="F13" s="139"/>
      <c r="H13" s="153"/>
      <c r="I13" s="153"/>
      <c r="J13" s="153"/>
    </row>
    <row r="14" spans="1:16384" ht="9" customHeight="1">
      <c r="B14" s="95" t="s">
        <v>688</v>
      </c>
      <c r="E14" s="95" t="s">
        <v>688</v>
      </c>
      <c r="H14" s="153"/>
      <c r="I14" s="153"/>
      <c r="J14" s="153"/>
    </row>
    <row r="15" spans="1:16384" ht="39.950000000000003" customHeight="1">
      <c r="A15">
        <v>2</v>
      </c>
      <c r="B15" s="53" t="s">
        <v>644</v>
      </c>
      <c r="C15" s="151" t="s">
        <v>4676</v>
      </c>
      <c r="D15">
        <v>12</v>
      </c>
      <c r="E15" s="187" t="s">
        <v>5424</v>
      </c>
      <c r="F15" s="139"/>
      <c r="H15" s="153"/>
      <c r="I15" s="59"/>
      <c r="J15" s="153"/>
    </row>
    <row r="16" spans="1:16384" ht="9" customHeight="1">
      <c r="B16" s="95" t="s">
        <v>688</v>
      </c>
      <c r="E16" s="95" t="s">
        <v>688</v>
      </c>
      <c r="H16" s="153"/>
      <c r="I16" s="154"/>
      <c r="J16" s="153"/>
    </row>
    <row r="17" spans="1:12" ht="30" customHeight="1">
      <c r="A17">
        <v>3</v>
      </c>
      <c r="B17" s="53" t="s">
        <v>31</v>
      </c>
      <c r="C17" s="151" t="s">
        <v>4676</v>
      </c>
      <c r="D17" t="s">
        <v>4774</v>
      </c>
      <c r="E17" s="53" t="s">
        <v>5182</v>
      </c>
      <c r="H17" s="153"/>
      <c r="I17" s="153"/>
      <c r="J17" s="153"/>
    </row>
    <row r="18" spans="1:12" ht="9" customHeight="1">
      <c r="B18" s="95" t="s">
        <v>688</v>
      </c>
      <c r="E18" s="95"/>
      <c r="H18" s="153"/>
      <c r="I18" s="153"/>
      <c r="J18" s="153"/>
    </row>
    <row r="19" spans="1:12" ht="30" customHeight="1">
      <c r="A19">
        <v>4</v>
      </c>
      <c r="B19" s="53" t="s">
        <v>3188</v>
      </c>
      <c r="C19" t="s">
        <v>4676</v>
      </c>
      <c r="D19">
        <v>36</v>
      </c>
      <c r="E19" s="53" t="s">
        <v>140</v>
      </c>
      <c r="F19" s="139"/>
      <c r="H19" s="153"/>
      <c r="I19" s="153"/>
      <c r="J19" s="153"/>
    </row>
    <row r="20" spans="1:12" ht="9" customHeight="1">
      <c r="B20" s="95" t="s">
        <v>688</v>
      </c>
      <c r="E20" s="95" t="s">
        <v>688</v>
      </c>
      <c r="F20" s="139"/>
    </row>
    <row r="21" spans="1:12" ht="30" customHeight="1">
      <c r="A21">
        <v>5</v>
      </c>
      <c r="B21" s="53" t="s">
        <v>123</v>
      </c>
      <c r="C21" s="151" t="s">
        <v>4676</v>
      </c>
      <c r="D21" t="s">
        <v>4774</v>
      </c>
      <c r="E21" s="53" t="s">
        <v>5192</v>
      </c>
      <c r="F21" s="139"/>
    </row>
    <row r="22" spans="1:12" ht="9" customHeight="1">
      <c r="B22" s="95" t="s">
        <v>688</v>
      </c>
      <c r="E22" s="95"/>
      <c r="F22" s="139"/>
    </row>
    <row r="23" spans="1:12" ht="30" customHeight="1">
      <c r="A23">
        <v>6</v>
      </c>
      <c r="B23" s="53" t="s">
        <v>67</v>
      </c>
      <c r="C23" t="s">
        <v>4676</v>
      </c>
      <c r="D23">
        <v>6</v>
      </c>
      <c r="E23" s="53" t="s">
        <v>5675</v>
      </c>
      <c r="F23" s="139"/>
      <c r="H23" s="153"/>
      <c r="I23" s="153"/>
      <c r="J23" s="153"/>
      <c r="K23" s="153"/>
      <c r="L23" s="153"/>
    </row>
    <row r="24" spans="1:12" ht="9" customHeight="1">
      <c r="B24" s="95" t="s">
        <v>688</v>
      </c>
      <c r="E24" s="95" t="s">
        <v>688</v>
      </c>
      <c r="H24" s="153"/>
      <c r="I24" s="153"/>
      <c r="J24" s="153"/>
      <c r="K24" s="153"/>
      <c r="L24" s="153"/>
    </row>
    <row r="25" spans="1:12" ht="30" customHeight="1">
      <c r="A25">
        <v>7</v>
      </c>
      <c r="B25" s="53" t="s">
        <v>122</v>
      </c>
      <c r="C25" s="151" t="s">
        <v>4676</v>
      </c>
      <c r="D25" s="152" t="s">
        <v>4683</v>
      </c>
      <c r="E25" s="53" t="s">
        <v>4976</v>
      </c>
      <c r="H25" s="153"/>
      <c r="I25" s="153"/>
      <c r="J25" s="59"/>
      <c r="K25" s="153"/>
      <c r="L25" s="153"/>
    </row>
    <row r="26" spans="1:12" ht="9" customHeight="1">
      <c r="B26" s="95" t="s">
        <v>688</v>
      </c>
      <c r="E26" s="95" t="s">
        <v>688</v>
      </c>
      <c r="H26" s="153"/>
      <c r="I26" s="153"/>
      <c r="J26" s="154"/>
      <c r="K26" s="153"/>
      <c r="L26" s="153"/>
    </row>
    <row r="27" spans="1:12" ht="30" customHeight="1">
      <c r="A27">
        <v>8</v>
      </c>
      <c r="B27" s="53" t="s">
        <v>1</v>
      </c>
      <c r="C27" t="s">
        <v>4676</v>
      </c>
      <c r="D27">
        <v>5</v>
      </c>
      <c r="E27" s="53" t="s">
        <v>5676</v>
      </c>
      <c r="H27" s="153"/>
      <c r="I27" s="59"/>
      <c r="J27" s="153"/>
      <c r="K27" s="153"/>
      <c r="L27" s="153"/>
    </row>
    <row r="28" spans="1:12" ht="9" customHeight="1">
      <c r="B28" s="95" t="s">
        <v>688</v>
      </c>
      <c r="E28" s="95" t="s">
        <v>688</v>
      </c>
      <c r="H28" s="153"/>
      <c r="I28" s="154"/>
      <c r="J28" s="153"/>
      <c r="K28" s="153"/>
      <c r="L28" s="153"/>
    </row>
    <row r="29" spans="1:12" ht="30" customHeight="1">
      <c r="A29">
        <v>9</v>
      </c>
      <c r="B29" s="53" t="s">
        <v>0</v>
      </c>
      <c r="C29" s="151" t="s">
        <v>4676</v>
      </c>
      <c r="D29">
        <v>8</v>
      </c>
      <c r="E29" s="53" t="s">
        <v>1</v>
      </c>
      <c r="H29" s="153"/>
      <c r="I29" s="153"/>
      <c r="J29" s="153"/>
      <c r="K29" s="153"/>
      <c r="L29" s="153"/>
    </row>
    <row r="30" spans="1:12" ht="9" customHeight="1">
      <c r="B30" s="95" t="s">
        <v>688</v>
      </c>
      <c r="E30" s="95" t="s">
        <v>688</v>
      </c>
    </row>
    <row r="31" spans="1:12" ht="30" customHeight="1">
      <c r="A31">
        <v>10</v>
      </c>
      <c r="B31" s="53" t="s">
        <v>83</v>
      </c>
      <c r="C31" t="s">
        <v>4676</v>
      </c>
      <c r="D31">
        <v>35</v>
      </c>
      <c r="E31" s="53" t="s">
        <v>4681</v>
      </c>
    </row>
    <row r="32" spans="1:12" ht="9" customHeight="1">
      <c r="B32" s="53"/>
      <c r="E32" s="95" t="s">
        <v>688</v>
      </c>
    </row>
    <row r="33" spans="1:6" ht="30" customHeight="1">
      <c r="A33">
        <v>11</v>
      </c>
      <c r="B33" s="53" t="s">
        <v>30</v>
      </c>
      <c r="C33" t="s">
        <v>4676</v>
      </c>
      <c r="D33">
        <v>16</v>
      </c>
      <c r="E33" s="53" t="s">
        <v>4810</v>
      </c>
    </row>
    <row r="34" spans="1:6" ht="9" customHeight="1">
      <c r="B34" s="95" t="s">
        <v>688</v>
      </c>
      <c r="E34" s="95" t="s">
        <v>688</v>
      </c>
    </row>
    <row r="35" spans="1:6" ht="30" customHeight="1">
      <c r="A35">
        <v>12</v>
      </c>
      <c r="B35" s="53" t="s">
        <v>3086</v>
      </c>
      <c r="C35" s="151" t="s">
        <v>4676</v>
      </c>
      <c r="D35" s="151" t="s">
        <v>4774</v>
      </c>
      <c r="E35" s="53" t="s">
        <v>5183</v>
      </c>
    </row>
    <row r="36" spans="1:6" ht="9" customHeight="1">
      <c r="B36" s="95" t="s">
        <v>688</v>
      </c>
      <c r="E36" s="95"/>
    </row>
    <row r="37" spans="1:6" ht="30" customHeight="1">
      <c r="A37">
        <v>13</v>
      </c>
      <c r="B37" s="53" t="s">
        <v>173</v>
      </c>
      <c r="C37" t="s">
        <v>4676</v>
      </c>
      <c r="D37">
        <v>34</v>
      </c>
      <c r="E37" s="229" t="s">
        <v>5185</v>
      </c>
    </row>
    <row r="38" spans="1:6" ht="9" customHeight="1">
      <c r="B38" s="95" t="s">
        <v>688</v>
      </c>
      <c r="E38" s="95" t="s">
        <v>688</v>
      </c>
    </row>
    <row r="39" spans="1:6" ht="30" customHeight="1">
      <c r="A39">
        <v>14</v>
      </c>
      <c r="B39" s="53" t="s">
        <v>77</v>
      </c>
      <c r="C39" t="s">
        <v>4676</v>
      </c>
      <c r="D39">
        <v>4</v>
      </c>
      <c r="E39" s="53" t="s">
        <v>4682</v>
      </c>
    </row>
    <row r="40" spans="1:6" ht="9" customHeight="1">
      <c r="B40" s="95" t="s">
        <v>688</v>
      </c>
      <c r="E40" s="95" t="s">
        <v>688</v>
      </c>
    </row>
    <row r="41" spans="1:6" ht="30" customHeight="1">
      <c r="A41">
        <v>15</v>
      </c>
      <c r="B41" s="53" t="s">
        <v>80</v>
      </c>
      <c r="C41" s="151" t="s">
        <v>4676</v>
      </c>
      <c r="D41">
        <v>45</v>
      </c>
      <c r="E41" s="53" t="s">
        <v>146</v>
      </c>
    </row>
    <row r="42" spans="1:6" ht="9" customHeight="1">
      <c r="B42" s="95" t="s">
        <v>688</v>
      </c>
      <c r="E42" s="233" t="s">
        <v>688</v>
      </c>
      <c r="F42" s="230"/>
    </row>
    <row r="43" spans="1:6" ht="30" customHeight="1">
      <c r="A43">
        <v>16</v>
      </c>
      <c r="B43" s="53" t="s">
        <v>32</v>
      </c>
      <c r="C43" t="s">
        <v>4676</v>
      </c>
      <c r="D43" s="151" t="s">
        <v>4774</v>
      </c>
      <c r="E43" s="234" t="s">
        <v>5201</v>
      </c>
      <c r="F43" s="231"/>
    </row>
    <row r="44" spans="1:6" ht="9" customHeight="1">
      <c r="B44" s="173" t="s">
        <v>688</v>
      </c>
      <c r="E44" s="233" t="s">
        <v>688</v>
      </c>
      <c r="F44" s="231"/>
    </row>
    <row r="45" spans="1:6" ht="30" customHeight="1">
      <c r="B45" s="56"/>
      <c r="D45" t="s">
        <v>4680</v>
      </c>
      <c r="E45" s="187" t="s">
        <v>5202</v>
      </c>
    </row>
    <row r="46" spans="1:6" ht="9" customHeight="1">
      <c r="B46" s="56"/>
      <c r="E46" s="95" t="s">
        <v>688</v>
      </c>
    </row>
    <row r="47" spans="1:6" s="117" customFormat="1" ht="9" customHeight="1">
      <c r="B47" s="269"/>
      <c r="E47" s="154"/>
      <c r="F47" s="52"/>
    </row>
    <row r="48" spans="1:6" ht="20.100000000000001" customHeight="1">
      <c r="B48" s="56"/>
      <c r="E48" s="270" t="s">
        <v>5829</v>
      </c>
    </row>
    <row r="49" spans="1:6" ht="30" customHeight="1">
      <c r="B49" s="56"/>
      <c r="D49" t="s">
        <v>5828</v>
      </c>
      <c r="E49" s="53" t="s">
        <v>4696</v>
      </c>
      <c r="F49" s="139" t="s">
        <v>4697</v>
      </c>
    </row>
    <row r="50" spans="1:6" ht="9" customHeight="1">
      <c r="B50" s="56"/>
      <c r="E50" s="95" t="s">
        <v>688</v>
      </c>
    </row>
    <row r="51" spans="1:6" ht="30" customHeight="1">
      <c r="B51" s="56"/>
      <c r="D51">
        <v>1</v>
      </c>
      <c r="E51" s="187" t="s">
        <v>5260</v>
      </c>
      <c r="F51" s="139" t="s">
        <v>4697</v>
      </c>
    </row>
    <row r="52" spans="1:6" ht="9" customHeight="1">
      <c r="B52" s="56"/>
      <c r="E52" s="95" t="s">
        <v>688</v>
      </c>
    </row>
    <row r="53" spans="1:6" ht="30" customHeight="1">
      <c r="B53" s="56"/>
      <c r="D53" t="s">
        <v>4698</v>
      </c>
      <c r="E53" s="53" t="s">
        <v>4694</v>
      </c>
      <c r="F53" s="139" t="s">
        <v>4695</v>
      </c>
    </row>
    <row r="54" spans="1:6" ht="9" customHeight="1">
      <c r="B54" s="56"/>
      <c r="E54" s="95" t="s">
        <v>688</v>
      </c>
    </row>
    <row r="55" spans="1:6" ht="30" customHeight="1">
      <c r="B55" s="56"/>
      <c r="D55">
        <v>3</v>
      </c>
      <c r="E55" s="53" t="s">
        <v>4692</v>
      </c>
      <c r="F55" s="139" t="s">
        <v>4693</v>
      </c>
    </row>
    <row r="56" spans="1:6" ht="9" customHeight="1">
      <c r="B56" s="56"/>
      <c r="E56" s="95" t="s">
        <v>688</v>
      </c>
    </row>
    <row r="57" spans="1:6" ht="30" customHeight="1">
      <c r="B57" s="56"/>
      <c r="D57" s="151" t="s">
        <v>4774</v>
      </c>
      <c r="E57" s="53" t="s">
        <v>5830</v>
      </c>
      <c r="F57" s="139"/>
    </row>
    <row r="58" spans="1:6" ht="9" customHeight="1">
      <c r="B58" s="56"/>
      <c r="E58" s="95" t="s">
        <v>688</v>
      </c>
    </row>
    <row r="59" spans="1:6" ht="30" customHeight="1">
      <c r="A59" s="153"/>
      <c r="B59" s="59"/>
      <c r="C59" s="153"/>
      <c r="D59">
        <v>1</v>
      </c>
      <c r="E59" s="53" t="s">
        <v>5257</v>
      </c>
    </row>
    <row r="60" spans="1:6" ht="9" customHeight="1">
      <c r="A60" s="153"/>
      <c r="B60" s="154"/>
      <c r="C60" s="153"/>
      <c r="E60" s="95" t="s">
        <v>688</v>
      </c>
    </row>
    <row r="61" spans="1:6" ht="30" customHeight="1">
      <c r="B61" s="56"/>
      <c r="D61" t="s">
        <v>4680</v>
      </c>
      <c r="E61" s="172" t="s">
        <v>5812</v>
      </c>
    </row>
    <row r="62" spans="1:6" ht="9" customHeight="1">
      <c r="B62" s="56"/>
      <c r="E62" s="95" t="s">
        <v>688</v>
      </c>
    </row>
    <row r="63" spans="1:6" ht="30" customHeight="1">
      <c r="B63" s="56"/>
      <c r="D63" t="s">
        <v>4680</v>
      </c>
      <c r="E63" s="172" t="s">
        <v>5823</v>
      </c>
    </row>
    <row r="64" spans="1:6" ht="9" customHeight="1">
      <c r="B64" s="56"/>
      <c r="E64" s="95" t="s">
        <v>688</v>
      </c>
    </row>
    <row r="65" spans="2:6" ht="30" customHeight="1">
      <c r="B65" s="56"/>
      <c r="D65">
        <v>10</v>
      </c>
      <c r="E65" s="187" t="s">
        <v>5445</v>
      </c>
      <c r="F65" s="221" t="s">
        <v>5446</v>
      </c>
    </row>
    <row r="66" spans="2:6" ht="9" customHeight="1">
      <c r="B66" s="56"/>
      <c r="E66" s="95" t="s">
        <v>688</v>
      </c>
    </row>
    <row r="67" spans="2:6" ht="30" customHeight="1">
      <c r="B67" s="56"/>
      <c r="D67">
        <v>9</v>
      </c>
      <c r="E67" s="198" t="s">
        <v>4852</v>
      </c>
      <c r="F67" s="232"/>
    </row>
    <row r="68" spans="2:6" ht="9" customHeight="1">
      <c r="B68" s="56"/>
      <c r="E68" s="233" t="s">
        <v>688</v>
      </c>
      <c r="F68" s="232"/>
    </row>
    <row r="69" spans="2:6" ht="9" customHeight="1">
      <c r="B69" s="56"/>
    </row>
    <row r="70" spans="2:6" ht="20.100000000000001" customHeight="1">
      <c r="B70" s="56"/>
      <c r="E70" s="50" t="s">
        <v>4684</v>
      </c>
    </row>
    <row r="71" spans="2:6" ht="30" customHeight="1">
      <c r="B71" s="56"/>
      <c r="D71">
        <v>14</v>
      </c>
      <c r="E71" s="53" t="s">
        <v>4687</v>
      </c>
    </row>
    <row r="72" spans="2:6" ht="9" customHeight="1">
      <c r="B72" s="56"/>
      <c r="E72" s="95" t="s">
        <v>688</v>
      </c>
    </row>
    <row r="73" spans="2:6" ht="30" customHeight="1">
      <c r="B73" s="56"/>
      <c r="D73" t="s">
        <v>4680</v>
      </c>
      <c r="E73" s="53" t="s">
        <v>4685</v>
      </c>
    </row>
    <row r="74" spans="2:6" ht="9" customHeight="1">
      <c r="B74" s="56"/>
      <c r="E74" s="95" t="s">
        <v>688</v>
      </c>
    </row>
    <row r="75" spans="2:6" ht="30" customHeight="1">
      <c r="B75" s="56"/>
      <c r="D75">
        <v>11</v>
      </c>
      <c r="E75" s="53" t="s">
        <v>4686</v>
      </c>
    </row>
    <row r="76" spans="2:6" ht="9" customHeight="1">
      <c r="B76" s="56"/>
      <c r="E76" s="95" t="s">
        <v>688</v>
      </c>
    </row>
    <row r="77" spans="2:6" ht="30" customHeight="1">
      <c r="B77" s="56"/>
      <c r="D77" s="151" t="s">
        <v>4680</v>
      </c>
      <c r="E77" s="53" t="s">
        <v>4688</v>
      </c>
      <c r="F77" s="38" t="s">
        <v>4689</v>
      </c>
    </row>
    <row r="78" spans="2:6" ht="9" customHeight="1">
      <c r="B78" s="56"/>
      <c r="E78" s="95" t="s">
        <v>688</v>
      </c>
    </row>
    <row r="79" spans="2:6" ht="30" customHeight="1">
      <c r="B79" s="56"/>
      <c r="D79">
        <v>15</v>
      </c>
      <c r="E79" s="53" t="s">
        <v>5190</v>
      </c>
      <c r="F79" s="139" t="s">
        <v>4790</v>
      </c>
    </row>
    <row r="80" spans="2:6" ht="9" customHeight="1">
      <c r="B80" s="56"/>
      <c r="E80" s="95"/>
    </row>
    <row r="81" spans="1:6" ht="30" customHeight="1">
      <c r="B81" s="56"/>
      <c r="D81">
        <v>15</v>
      </c>
      <c r="E81" s="53" t="s">
        <v>5191</v>
      </c>
      <c r="F81" s="139" t="s">
        <v>4790</v>
      </c>
    </row>
    <row r="82" spans="1:6" ht="9" customHeight="1">
      <c r="B82" s="56"/>
      <c r="E82" s="95" t="s">
        <v>688</v>
      </c>
    </row>
    <row r="83" spans="1:6" ht="30" customHeight="1">
      <c r="B83" s="56"/>
      <c r="D83" s="151" t="s">
        <v>4680</v>
      </c>
      <c r="E83" s="53" t="s">
        <v>4777</v>
      </c>
    </row>
    <row r="84" spans="1:6" ht="9" customHeight="1">
      <c r="B84" s="56"/>
      <c r="E84" s="95" t="s">
        <v>688</v>
      </c>
    </row>
    <row r="85" spans="1:6" ht="30" customHeight="1">
      <c r="D85">
        <v>71</v>
      </c>
      <c r="E85" s="187" t="s">
        <v>5791</v>
      </c>
    </row>
    <row r="86" spans="1:6" ht="9" customHeight="1">
      <c r="E86" s="95" t="s">
        <v>688</v>
      </c>
    </row>
    <row r="87" spans="1:6" ht="30" customHeight="1">
      <c r="D87" t="s">
        <v>4774</v>
      </c>
      <c r="E87" s="53" t="s">
        <v>5042</v>
      </c>
    </row>
    <row r="88" spans="1:6" ht="9" customHeight="1">
      <c r="E88" s="95" t="s">
        <v>688</v>
      </c>
    </row>
    <row r="89" spans="1:6" ht="30" customHeight="1">
      <c r="B89" s="56"/>
      <c r="D89" s="151" t="s">
        <v>4774</v>
      </c>
      <c r="E89" s="53" t="s">
        <v>4785</v>
      </c>
      <c r="F89" s="139" t="s">
        <v>4786</v>
      </c>
    </row>
    <row r="90" spans="1:6" ht="9" customHeight="1">
      <c r="B90" s="56"/>
      <c r="E90" s="95" t="s">
        <v>688</v>
      </c>
    </row>
    <row r="91" spans="1:6" ht="9" customHeight="1">
      <c r="B91" s="56"/>
    </row>
    <row r="92" spans="1:6" ht="20.100000000000001" customHeight="1">
      <c r="B92" s="50" t="s">
        <v>69</v>
      </c>
      <c r="E92" s="50" t="s">
        <v>4993</v>
      </c>
    </row>
    <row r="93" spans="1:6" ht="30" customHeight="1">
      <c r="A93">
        <v>17</v>
      </c>
      <c r="B93" s="53" t="s">
        <v>26</v>
      </c>
      <c r="C93" t="s">
        <v>4676</v>
      </c>
      <c r="D93">
        <v>21</v>
      </c>
      <c r="E93" s="53" t="s">
        <v>27</v>
      </c>
    </row>
    <row r="94" spans="1:6" ht="9" customHeight="1">
      <c r="B94" s="95" t="s">
        <v>688</v>
      </c>
      <c r="E94" s="95" t="s">
        <v>688</v>
      </c>
    </row>
    <row r="95" spans="1:6" ht="30" customHeight="1">
      <c r="A95">
        <v>18</v>
      </c>
      <c r="B95" s="53" t="s">
        <v>2663</v>
      </c>
      <c r="C95" t="s">
        <v>4676</v>
      </c>
      <c r="D95" t="s">
        <v>4680</v>
      </c>
      <c r="E95" s="53" t="s">
        <v>4799</v>
      </c>
      <c r="F95" s="139" t="s">
        <v>4800</v>
      </c>
    </row>
    <row r="96" spans="1:6" ht="9" customHeight="1">
      <c r="B96" s="95" t="s">
        <v>688</v>
      </c>
      <c r="E96" s="95" t="s">
        <v>688</v>
      </c>
    </row>
    <row r="97" spans="1:6" ht="30" customHeight="1">
      <c r="A97">
        <v>19</v>
      </c>
      <c r="B97" s="53" t="s">
        <v>124</v>
      </c>
      <c r="C97" t="s">
        <v>4676</v>
      </c>
      <c r="D97">
        <v>24</v>
      </c>
      <c r="E97" s="53" t="s">
        <v>74</v>
      </c>
      <c r="F97" s="139"/>
    </row>
    <row r="98" spans="1:6" ht="9" customHeight="1">
      <c r="B98" s="95" t="s">
        <v>688</v>
      </c>
      <c r="E98" s="95" t="s">
        <v>688</v>
      </c>
    </row>
    <row r="99" spans="1:6" ht="30" customHeight="1">
      <c r="A99">
        <v>20</v>
      </c>
      <c r="B99" s="53" t="s">
        <v>177</v>
      </c>
      <c r="C99" t="s">
        <v>4676</v>
      </c>
      <c r="D99">
        <v>25</v>
      </c>
      <c r="E99" s="53" t="s">
        <v>66</v>
      </c>
    </row>
    <row r="100" spans="1:6" ht="9" customHeight="1">
      <c r="B100" s="95" t="s">
        <v>688</v>
      </c>
      <c r="E100" s="95" t="s">
        <v>688</v>
      </c>
    </row>
    <row r="101" spans="1:6" ht="30" customHeight="1">
      <c r="A101">
        <v>21</v>
      </c>
      <c r="B101" s="53" t="s">
        <v>27</v>
      </c>
      <c r="C101" t="s">
        <v>4676</v>
      </c>
      <c r="D101">
        <v>22</v>
      </c>
      <c r="E101" s="53" t="s">
        <v>52</v>
      </c>
      <c r="F101" s="139" t="s">
        <v>4794</v>
      </c>
    </row>
    <row r="102" spans="1:6" ht="9" customHeight="1">
      <c r="B102" s="95" t="s">
        <v>688</v>
      </c>
      <c r="E102" s="95" t="s">
        <v>688</v>
      </c>
    </row>
    <row r="103" spans="1:6" ht="30" customHeight="1">
      <c r="A103">
        <v>22</v>
      </c>
      <c r="B103" s="53" t="s">
        <v>52</v>
      </c>
      <c r="C103" t="s">
        <v>4676</v>
      </c>
      <c r="D103">
        <v>23</v>
      </c>
      <c r="E103" s="53" t="s">
        <v>4835</v>
      </c>
      <c r="F103" s="139" t="s">
        <v>4794</v>
      </c>
    </row>
    <row r="104" spans="1:6" ht="9" customHeight="1">
      <c r="B104" s="95" t="s">
        <v>688</v>
      </c>
      <c r="E104" s="95" t="s">
        <v>688</v>
      </c>
    </row>
    <row r="105" spans="1:6" ht="30" customHeight="1">
      <c r="A105">
        <v>23</v>
      </c>
      <c r="B105" s="53" t="s">
        <v>178</v>
      </c>
      <c r="C105" t="s">
        <v>4676</v>
      </c>
      <c r="D105" t="s">
        <v>4774</v>
      </c>
      <c r="E105" s="53" t="s">
        <v>5000</v>
      </c>
    </row>
    <row r="106" spans="1:6" ht="9" customHeight="1">
      <c r="B106" s="95" t="s">
        <v>688</v>
      </c>
      <c r="E106" s="95"/>
    </row>
    <row r="107" spans="1:6" ht="30" customHeight="1">
      <c r="A107">
        <v>24</v>
      </c>
      <c r="B107" s="53" t="s">
        <v>74</v>
      </c>
      <c r="C107" t="s">
        <v>4676</v>
      </c>
      <c r="D107">
        <v>17</v>
      </c>
      <c r="E107" s="53" t="s">
        <v>26</v>
      </c>
    </row>
    <row r="108" spans="1:6" ht="9" customHeight="1">
      <c r="B108" s="95" t="s">
        <v>688</v>
      </c>
      <c r="E108" s="95" t="s">
        <v>688</v>
      </c>
    </row>
    <row r="109" spans="1:6" ht="38.25" customHeight="1">
      <c r="A109">
        <v>25</v>
      </c>
      <c r="B109" s="53" t="s">
        <v>66</v>
      </c>
      <c r="C109" t="s">
        <v>4676</v>
      </c>
      <c r="D109">
        <v>19</v>
      </c>
      <c r="E109" s="53" t="s">
        <v>124</v>
      </c>
    </row>
    <row r="110" spans="1:6" ht="9" customHeight="1">
      <c r="B110" s="95" t="s">
        <v>688</v>
      </c>
      <c r="E110" s="95" t="s">
        <v>688</v>
      </c>
    </row>
    <row r="111" spans="1:6" ht="30" customHeight="1">
      <c r="A111">
        <v>26</v>
      </c>
      <c r="B111" s="53" t="s">
        <v>56</v>
      </c>
      <c r="C111" t="s">
        <v>4676</v>
      </c>
      <c r="D111">
        <v>18</v>
      </c>
      <c r="E111" s="53" t="s">
        <v>2663</v>
      </c>
    </row>
    <row r="112" spans="1:6" ht="9" customHeight="1">
      <c r="B112" s="95" t="s">
        <v>688</v>
      </c>
      <c r="E112" s="95" t="s">
        <v>688</v>
      </c>
    </row>
    <row r="113" spans="1:6" ht="30" customHeight="1">
      <c r="A113">
        <v>27</v>
      </c>
      <c r="B113" s="58" t="s">
        <v>60</v>
      </c>
      <c r="C113" t="s">
        <v>4676</v>
      </c>
      <c r="D113">
        <v>29</v>
      </c>
      <c r="E113" s="53" t="s">
        <v>4780</v>
      </c>
    </row>
    <row r="114" spans="1:6" ht="9" customHeight="1">
      <c r="B114" s="95" t="s">
        <v>688</v>
      </c>
      <c r="E114" s="95" t="s">
        <v>688</v>
      </c>
    </row>
    <row r="115" spans="1:6" ht="30" customHeight="1">
      <c r="A115">
        <v>28</v>
      </c>
      <c r="B115" s="53" t="s">
        <v>174</v>
      </c>
      <c r="C115" t="s">
        <v>4676</v>
      </c>
    </row>
    <row r="116" spans="1:6" ht="9" customHeight="1">
      <c r="B116" s="95" t="s">
        <v>688</v>
      </c>
      <c r="E116" s="50" t="s">
        <v>4992</v>
      </c>
    </row>
    <row r="117" spans="1:6" ht="30" customHeight="1">
      <c r="A117">
        <v>29</v>
      </c>
      <c r="B117" s="58" t="s">
        <v>75</v>
      </c>
      <c r="C117" s="151" t="s">
        <v>4676</v>
      </c>
      <c r="E117" s="53" t="s">
        <v>4866</v>
      </c>
    </row>
    <row r="118" spans="1:6" ht="9" customHeight="1">
      <c r="B118" s="95" t="s">
        <v>688</v>
      </c>
      <c r="E118" s="95" t="s">
        <v>688</v>
      </c>
    </row>
    <row r="119" spans="1:6" ht="30" customHeight="1">
      <c r="A119">
        <v>30</v>
      </c>
      <c r="B119" s="53" t="s">
        <v>51</v>
      </c>
      <c r="C119" t="s">
        <v>4676</v>
      </c>
      <c r="D119">
        <v>20</v>
      </c>
      <c r="E119" s="53" t="s">
        <v>177</v>
      </c>
    </row>
    <row r="120" spans="1:6" ht="9" customHeight="1">
      <c r="B120" s="95" t="s">
        <v>688</v>
      </c>
      <c r="E120" s="95" t="s">
        <v>688</v>
      </c>
    </row>
    <row r="121" spans="1:6" ht="30" customHeight="1">
      <c r="A121">
        <v>31</v>
      </c>
      <c r="B121" s="53" t="s">
        <v>139</v>
      </c>
      <c r="C121" t="s">
        <v>4676</v>
      </c>
      <c r="D121">
        <v>31</v>
      </c>
      <c r="E121" s="53" t="s">
        <v>139</v>
      </c>
    </row>
    <row r="122" spans="1:6" ht="9" customHeight="1">
      <c r="B122" s="95" t="s">
        <v>688</v>
      </c>
      <c r="E122" s="173" t="s">
        <v>688</v>
      </c>
    </row>
    <row r="123" spans="1:6" ht="30" customHeight="1">
      <c r="B123" s="154"/>
      <c r="C123" s="117"/>
      <c r="D123">
        <v>30</v>
      </c>
      <c r="E123" s="53" t="s">
        <v>51</v>
      </c>
    </row>
    <row r="124" spans="1:6" ht="9" customHeight="1">
      <c r="B124" s="154"/>
      <c r="C124" s="117"/>
      <c r="E124" s="173" t="s">
        <v>688</v>
      </c>
    </row>
    <row r="125" spans="1:6" ht="9" customHeight="1">
      <c r="B125" s="59"/>
      <c r="E125" s="154"/>
    </row>
    <row r="126" spans="1:6" ht="9" customHeight="1">
      <c r="B126" s="61" t="s">
        <v>97</v>
      </c>
      <c r="D126" s="153"/>
      <c r="E126" s="153"/>
      <c r="F126" s="30"/>
    </row>
    <row r="127" spans="1:6" ht="30" customHeight="1">
      <c r="A127">
        <v>32</v>
      </c>
      <c r="B127" s="53" t="s">
        <v>180</v>
      </c>
      <c r="C127" s="151" t="s">
        <v>4676</v>
      </c>
    </row>
    <row r="128" spans="1:6" ht="9" customHeight="1">
      <c r="B128" s="95" t="s">
        <v>688</v>
      </c>
    </row>
    <row r="129" spans="1:5" ht="30" customHeight="1">
      <c r="A129">
        <v>33</v>
      </c>
      <c r="B129" s="53" t="s">
        <v>187</v>
      </c>
      <c r="C129" s="151" t="s">
        <v>4676</v>
      </c>
    </row>
    <row r="130" spans="1:5" ht="9" customHeight="1">
      <c r="B130" s="95" t="s">
        <v>688</v>
      </c>
    </row>
    <row r="131" spans="1:5" ht="30" customHeight="1">
      <c r="A131">
        <v>34</v>
      </c>
      <c r="B131" s="53" t="s">
        <v>98</v>
      </c>
      <c r="C131" t="s">
        <v>4676</v>
      </c>
    </row>
    <row r="132" spans="1:5" ht="9" customHeight="1">
      <c r="B132" s="95" t="s">
        <v>688</v>
      </c>
    </row>
    <row r="133" spans="1:5" ht="30" customHeight="1">
      <c r="A133">
        <v>35</v>
      </c>
      <c r="B133" s="90" t="s">
        <v>153</v>
      </c>
      <c r="C133" t="s">
        <v>4676</v>
      </c>
    </row>
    <row r="134" spans="1:5" ht="9" customHeight="1">
      <c r="B134" s="95" t="s">
        <v>688</v>
      </c>
    </row>
    <row r="135" spans="1:5" ht="30" customHeight="1">
      <c r="A135">
        <v>36</v>
      </c>
      <c r="B135" s="53" t="s">
        <v>140</v>
      </c>
      <c r="C135" t="s">
        <v>4676</v>
      </c>
    </row>
    <row r="136" spans="1:5" ht="9" customHeight="1">
      <c r="B136" s="95" t="s">
        <v>688</v>
      </c>
    </row>
    <row r="137" spans="1:5" ht="30" customHeight="1">
      <c r="A137">
        <v>37</v>
      </c>
      <c r="B137" s="53" t="s">
        <v>96</v>
      </c>
      <c r="C137" s="151" t="s">
        <v>4676</v>
      </c>
    </row>
    <row r="138" spans="1:5" ht="9" customHeight="1">
      <c r="B138" s="95" t="s">
        <v>688</v>
      </c>
    </row>
    <row r="139" spans="1:5" ht="30" customHeight="1">
      <c r="A139">
        <v>38</v>
      </c>
      <c r="B139" s="53" t="s">
        <v>144</v>
      </c>
      <c r="C139" s="151" t="s">
        <v>4676</v>
      </c>
    </row>
    <row r="140" spans="1:5" ht="9" customHeight="1">
      <c r="B140" s="95" t="s">
        <v>688</v>
      </c>
    </row>
    <row r="141" spans="1:5" ht="30" customHeight="1">
      <c r="A141">
        <v>39</v>
      </c>
      <c r="B141" s="53" t="s">
        <v>143</v>
      </c>
      <c r="C141" s="151" t="s">
        <v>4676</v>
      </c>
    </row>
    <row r="142" spans="1:5" ht="9" customHeight="1">
      <c r="B142" s="95" t="s">
        <v>688</v>
      </c>
    </row>
    <row r="143" spans="1:5" ht="30" customHeight="1">
      <c r="A143">
        <v>40</v>
      </c>
      <c r="B143" s="53" t="s">
        <v>182</v>
      </c>
      <c r="C143" s="151" t="s">
        <v>4676</v>
      </c>
    </row>
    <row r="144" spans="1:5" ht="9" customHeight="1">
      <c r="B144" s="95" t="s">
        <v>688</v>
      </c>
      <c r="D144" s="153"/>
      <c r="E144" s="59"/>
    </row>
    <row r="145" spans="1:5" ht="30" customHeight="1">
      <c r="A145">
        <v>41</v>
      </c>
      <c r="B145" s="53" t="s">
        <v>141</v>
      </c>
      <c r="C145" s="151" t="s">
        <v>4676</v>
      </c>
      <c r="D145" s="153"/>
      <c r="E145" s="154"/>
    </row>
    <row r="146" spans="1:5" ht="9" customHeight="1">
      <c r="B146" s="95" t="s">
        <v>688</v>
      </c>
    </row>
    <row r="147" spans="1:5" ht="30" customHeight="1">
      <c r="A147">
        <v>42</v>
      </c>
      <c r="B147" s="53" t="s">
        <v>142</v>
      </c>
      <c r="C147" s="151" t="s">
        <v>4676</v>
      </c>
    </row>
    <row r="148" spans="1:5" ht="9" customHeight="1">
      <c r="B148" s="95" t="s">
        <v>688</v>
      </c>
    </row>
    <row r="149" spans="1:5" ht="30" customHeight="1">
      <c r="A149">
        <v>43</v>
      </c>
      <c r="B149" s="53" t="s">
        <v>95</v>
      </c>
      <c r="C149" s="151" t="s">
        <v>4676</v>
      </c>
    </row>
    <row r="150" spans="1:5" ht="9" customHeight="1">
      <c r="B150" s="95" t="s">
        <v>688</v>
      </c>
    </row>
    <row r="151" spans="1:5" ht="30" customHeight="1">
      <c r="A151">
        <v>44</v>
      </c>
      <c r="B151" s="53" t="s">
        <v>145</v>
      </c>
      <c r="C151" s="151" t="s">
        <v>4676</v>
      </c>
    </row>
    <row r="152" spans="1:5" ht="9" customHeight="1">
      <c r="B152" s="95" t="s">
        <v>688</v>
      </c>
    </row>
    <row r="153" spans="1:5" ht="30" customHeight="1">
      <c r="A153">
        <v>45</v>
      </c>
      <c r="B153" s="53" t="s">
        <v>146</v>
      </c>
      <c r="C153" s="151" t="s">
        <v>4676</v>
      </c>
    </row>
    <row r="154" spans="1:5" ht="9" customHeight="1">
      <c r="B154" s="95" t="s">
        <v>688</v>
      </c>
    </row>
    <row r="155" spans="1:5" ht="30" customHeight="1">
      <c r="A155">
        <v>46</v>
      </c>
      <c r="B155" s="53" t="s">
        <v>154</v>
      </c>
      <c r="C155" t="s">
        <v>4676</v>
      </c>
    </row>
    <row r="156" spans="1:5" ht="9" customHeight="1">
      <c r="B156" s="95" t="s">
        <v>688</v>
      </c>
    </row>
    <row r="157" spans="1:5" ht="30" customHeight="1">
      <c r="A157">
        <v>47</v>
      </c>
      <c r="B157" s="53" t="s">
        <v>99</v>
      </c>
      <c r="C157" t="s">
        <v>4676</v>
      </c>
    </row>
    <row r="158" spans="1:5" ht="9" customHeight="1">
      <c r="B158" s="95" t="s">
        <v>688</v>
      </c>
    </row>
    <row r="159" spans="1:5" ht="30" customHeight="1">
      <c r="A159">
        <v>48</v>
      </c>
      <c r="B159" s="53" t="s">
        <v>137</v>
      </c>
      <c r="C159" s="152" t="s">
        <v>4827</v>
      </c>
    </row>
    <row r="160" spans="1:5" ht="9" customHeight="1">
      <c r="B160" s="95" t="s">
        <v>688</v>
      </c>
    </row>
    <row r="161" spans="1:8" s="117" customFormat="1" ht="9" customHeight="1">
      <c r="A161" s="153"/>
      <c r="B161" s="154"/>
      <c r="C161"/>
      <c r="D161"/>
      <c r="E161"/>
      <c r="F161" s="38"/>
    </row>
    <row r="162" spans="1:8" ht="9" customHeight="1">
      <c r="B162" s="176" t="s">
        <v>70</v>
      </c>
      <c r="E162" s="50" t="s">
        <v>70</v>
      </c>
    </row>
    <row r="163" spans="1:8" ht="30" customHeight="1">
      <c r="A163">
        <v>49</v>
      </c>
      <c r="B163" s="53" t="s">
        <v>59</v>
      </c>
      <c r="C163" s="151" t="s">
        <v>4676</v>
      </c>
      <c r="D163" s="151" t="s">
        <v>4680</v>
      </c>
      <c r="E163" s="53" t="s">
        <v>4811</v>
      </c>
      <c r="F163" s="139"/>
    </row>
    <row r="164" spans="1:8" ht="9" customHeight="1">
      <c r="B164" s="95" t="s">
        <v>688</v>
      </c>
      <c r="E164" s="95" t="s">
        <v>688</v>
      </c>
    </row>
    <row r="165" spans="1:8" ht="30" customHeight="1">
      <c r="A165">
        <v>50</v>
      </c>
      <c r="B165" s="53" t="s">
        <v>82</v>
      </c>
      <c r="C165" t="s">
        <v>4676</v>
      </c>
      <c r="D165" s="151" t="s">
        <v>4680</v>
      </c>
      <c r="E165" s="53" t="s">
        <v>5243</v>
      </c>
    </row>
    <row r="166" spans="1:8" ht="9" customHeight="1">
      <c r="B166" s="95" t="s">
        <v>688</v>
      </c>
      <c r="E166" s="95"/>
    </row>
    <row r="167" spans="1:8" ht="30" customHeight="1">
      <c r="A167">
        <v>51</v>
      </c>
      <c r="B167" s="58" t="s">
        <v>49</v>
      </c>
      <c r="C167" t="s">
        <v>4676</v>
      </c>
      <c r="D167">
        <v>49</v>
      </c>
      <c r="E167" s="53" t="s">
        <v>59</v>
      </c>
      <c r="F167" s="139"/>
    </row>
    <row r="168" spans="1:8" ht="9" customHeight="1">
      <c r="B168" s="95" t="s">
        <v>688</v>
      </c>
      <c r="E168" s="95" t="s">
        <v>688</v>
      </c>
      <c r="G168" s="153"/>
      <c r="H168" s="153"/>
    </row>
    <row r="169" spans="1:8" ht="30" customHeight="1">
      <c r="A169">
        <v>52</v>
      </c>
      <c r="B169" s="53" t="s">
        <v>156</v>
      </c>
      <c r="C169" s="151" t="s">
        <v>4676</v>
      </c>
      <c r="D169" t="s">
        <v>4680</v>
      </c>
      <c r="E169" s="53" t="s">
        <v>4820</v>
      </c>
      <c r="F169" s="139"/>
      <c r="G169" s="153"/>
      <c r="H169" s="153"/>
    </row>
    <row r="170" spans="1:8" ht="9" customHeight="1">
      <c r="B170" s="95" t="s">
        <v>688</v>
      </c>
      <c r="E170" s="95" t="s">
        <v>688</v>
      </c>
      <c r="G170" s="153"/>
      <c r="H170" s="153"/>
    </row>
    <row r="171" spans="1:8" ht="30" customHeight="1">
      <c r="A171">
        <v>53</v>
      </c>
      <c r="B171" s="53" t="s">
        <v>4321</v>
      </c>
      <c r="C171" t="s">
        <v>4676</v>
      </c>
      <c r="D171">
        <v>50</v>
      </c>
      <c r="E171" s="53" t="s">
        <v>4778</v>
      </c>
      <c r="F171" s="139" t="s">
        <v>4779</v>
      </c>
      <c r="G171" s="59"/>
      <c r="H171" s="153"/>
    </row>
    <row r="172" spans="1:8" ht="9" customHeight="1">
      <c r="B172" s="173" t="s">
        <v>688</v>
      </c>
      <c r="E172" s="95" t="s">
        <v>688</v>
      </c>
      <c r="G172" s="154"/>
      <c r="H172" s="153"/>
    </row>
    <row r="173" spans="1:8" ht="30" customHeight="1">
      <c r="A173" s="153"/>
      <c r="B173" s="59"/>
      <c r="C173" s="153"/>
      <c r="D173" s="151" t="s">
        <v>4789</v>
      </c>
      <c r="E173" s="53" t="s">
        <v>4787</v>
      </c>
      <c r="G173" s="153"/>
      <c r="H173" s="153"/>
    </row>
    <row r="174" spans="1:8" ht="9" customHeight="1">
      <c r="A174" s="153"/>
      <c r="B174" s="154"/>
      <c r="C174" s="153"/>
      <c r="E174" s="95" t="s">
        <v>688</v>
      </c>
    </row>
    <row r="175" spans="1:8" ht="30" customHeight="1">
      <c r="A175" s="153"/>
      <c r="B175" s="59"/>
      <c r="C175" s="153"/>
      <c r="D175" s="151" t="s">
        <v>4789</v>
      </c>
      <c r="E175" s="53" t="s">
        <v>4788</v>
      </c>
    </row>
    <row r="176" spans="1:8" ht="9" customHeight="1">
      <c r="A176" s="153"/>
      <c r="B176" s="154"/>
      <c r="E176" s="95" t="s">
        <v>688</v>
      </c>
      <c r="F176" s="30"/>
    </row>
    <row r="177" spans="1:6" ht="30" customHeight="1">
      <c r="A177" s="153"/>
      <c r="B177" s="59"/>
      <c r="D177">
        <v>53</v>
      </c>
      <c r="E177" s="53" t="s">
        <v>4321</v>
      </c>
      <c r="F177" s="175" t="s">
        <v>4797</v>
      </c>
    </row>
    <row r="178" spans="1:6" ht="9" customHeight="1">
      <c r="A178" s="153"/>
      <c r="B178" s="154"/>
      <c r="E178" s="95" t="s">
        <v>688</v>
      </c>
      <c r="F178" s="30"/>
    </row>
    <row r="179" spans="1:6" ht="30" customHeight="1">
      <c r="A179" s="153"/>
      <c r="B179" s="154"/>
      <c r="D179">
        <v>37</v>
      </c>
      <c r="E179" s="53" t="s">
        <v>96</v>
      </c>
      <c r="F179" s="30"/>
    </row>
    <row r="180" spans="1:6" ht="9" customHeight="1">
      <c r="A180" s="117"/>
      <c r="B180" s="154"/>
      <c r="E180" s="95" t="s">
        <v>688</v>
      </c>
      <c r="F180" s="30"/>
    </row>
    <row r="181" spans="1:6" ht="30" customHeight="1">
      <c r="A181" s="117"/>
      <c r="B181" s="154"/>
      <c r="D181">
        <v>38</v>
      </c>
      <c r="E181" s="53" t="s">
        <v>144</v>
      </c>
      <c r="F181" s="30"/>
    </row>
    <row r="182" spans="1:6" ht="9" customHeight="1">
      <c r="A182" s="117"/>
      <c r="B182" s="154"/>
      <c r="E182" s="95" t="s">
        <v>688</v>
      </c>
      <c r="F182" s="30"/>
    </row>
    <row r="183" spans="1:6" ht="30" customHeight="1">
      <c r="A183" s="117"/>
      <c r="B183" s="154"/>
      <c r="D183">
        <v>39</v>
      </c>
      <c r="E183" s="53" t="s">
        <v>143</v>
      </c>
      <c r="F183" s="30"/>
    </row>
    <row r="184" spans="1:6" ht="9" customHeight="1">
      <c r="A184" s="117"/>
      <c r="B184" s="154"/>
      <c r="E184" s="95" t="s">
        <v>688</v>
      </c>
      <c r="F184" s="30"/>
    </row>
    <row r="185" spans="1:6" ht="30" customHeight="1">
      <c r="A185" s="117"/>
      <c r="B185" s="154"/>
      <c r="C185" s="117"/>
      <c r="D185">
        <v>40</v>
      </c>
      <c r="E185" s="53" t="s">
        <v>182</v>
      </c>
      <c r="F185" s="30"/>
    </row>
    <row r="186" spans="1:6" ht="9" customHeight="1">
      <c r="A186" s="117"/>
      <c r="B186" s="154"/>
      <c r="E186" s="95" t="s">
        <v>688</v>
      </c>
      <c r="F186" s="30"/>
    </row>
    <row r="187" spans="1:6" ht="9" customHeight="1">
      <c r="A187" s="117"/>
      <c r="B187" s="154"/>
      <c r="D187" s="117"/>
      <c r="E187" s="154"/>
      <c r="F187" s="30"/>
    </row>
    <row r="188" spans="1:6" ht="9" customHeight="1">
      <c r="A188" s="117"/>
      <c r="B188" s="154"/>
      <c r="D188" s="153"/>
      <c r="E188" s="50" t="s">
        <v>4795</v>
      </c>
      <c r="F188" s="30"/>
    </row>
    <row r="189" spans="1:6" ht="30" customHeight="1">
      <c r="A189" s="117"/>
      <c r="B189" s="154"/>
      <c r="D189" s="153" t="s">
        <v>4774</v>
      </c>
      <c r="E189" s="53" t="s">
        <v>4796</v>
      </c>
      <c r="F189" s="30"/>
    </row>
    <row r="190" spans="1:6" ht="9" customHeight="1">
      <c r="A190" s="117"/>
      <c r="B190" s="154"/>
      <c r="D190" s="153"/>
      <c r="E190" s="95" t="s">
        <v>688</v>
      </c>
      <c r="F190" s="30"/>
    </row>
    <row r="191" spans="1:6" ht="30" customHeight="1">
      <c r="A191" s="268"/>
      <c r="B191" s="268"/>
      <c r="C191" s="268"/>
      <c r="D191" s="153" t="s">
        <v>4774</v>
      </c>
      <c r="E191" s="218" t="s">
        <v>6069</v>
      </c>
      <c r="F191" s="268"/>
    </row>
    <row r="192" spans="1:6" ht="9" customHeight="1">
      <c r="A192" s="154"/>
      <c r="B192" s="154"/>
      <c r="C192" s="154"/>
      <c r="D192" s="154"/>
      <c r="E192" s="95" t="s">
        <v>688</v>
      </c>
      <c r="F192" s="154"/>
    </row>
    <row r="193" spans="1:6" s="117" customFormat="1" ht="30" customHeight="1">
      <c r="B193" s="154"/>
      <c r="C193"/>
      <c r="D193" s="153" t="s">
        <v>4774</v>
      </c>
      <c r="E193" s="53" t="s">
        <v>5297</v>
      </c>
      <c r="F193" s="30"/>
    </row>
    <row r="194" spans="1:6" ht="9" customHeight="1">
      <c r="A194" s="117"/>
      <c r="B194" s="154"/>
      <c r="D194" s="153"/>
      <c r="E194" s="95" t="s">
        <v>688</v>
      </c>
      <c r="F194" s="30"/>
    </row>
    <row r="195" spans="1:6" ht="30" customHeight="1">
      <c r="A195" s="117"/>
      <c r="B195" s="154"/>
      <c r="D195" s="153" t="s">
        <v>4774</v>
      </c>
      <c r="E195" s="53" t="s">
        <v>5301</v>
      </c>
      <c r="F195" s="30"/>
    </row>
    <row r="196" spans="1:6" ht="9" customHeight="1">
      <c r="A196" s="117"/>
      <c r="B196" s="154"/>
      <c r="D196" s="153"/>
      <c r="E196" s="95" t="s">
        <v>688</v>
      </c>
      <c r="F196" s="30"/>
    </row>
    <row r="197" spans="1:6" ht="9" customHeight="1">
      <c r="A197" s="117"/>
      <c r="B197" s="154"/>
      <c r="D197" s="153"/>
      <c r="E197" s="154"/>
      <c r="F197" s="30"/>
    </row>
    <row r="198" spans="1:6" ht="9" customHeight="1">
      <c r="B198" s="50" t="s">
        <v>71</v>
      </c>
      <c r="D198" s="153"/>
      <c r="E198" s="176" t="s">
        <v>71</v>
      </c>
      <c r="F198" s="30"/>
    </row>
    <row r="199" spans="1:6" ht="30" customHeight="1">
      <c r="A199">
        <v>54</v>
      </c>
      <c r="B199" s="53" t="s">
        <v>76</v>
      </c>
      <c r="C199" s="151" t="s">
        <v>4676</v>
      </c>
      <c r="D199" s="151" t="s">
        <v>4774</v>
      </c>
      <c r="E199" s="53" t="s">
        <v>6080</v>
      </c>
      <c r="F199" s="151"/>
    </row>
    <row r="200" spans="1:6" ht="9" customHeight="1">
      <c r="B200" s="95" t="s">
        <v>688</v>
      </c>
      <c r="C200" s="151" t="s">
        <v>4676</v>
      </c>
      <c r="D200" s="38"/>
      <c r="E200" s="95" t="s">
        <v>688</v>
      </c>
      <c r="F200" s="30"/>
    </row>
    <row r="201" spans="1:6" ht="30" customHeight="1">
      <c r="A201">
        <v>56</v>
      </c>
      <c r="B201" s="53" t="s">
        <v>135</v>
      </c>
      <c r="C201" s="151" t="s">
        <v>4676</v>
      </c>
      <c r="D201" s="151" t="s">
        <v>4774</v>
      </c>
      <c r="E201" s="53" t="s">
        <v>6084</v>
      </c>
      <c r="F201" s="30"/>
    </row>
    <row r="202" spans="1:6" ht="9" customHeight="1">
      <c r="B202" s="95" t="s">
        <v>688</v>
      </c>
      <c r="D202" s="38"/>
      <c r="E202" s="95" t="s">
        <v>688</v>
      </c>
      <c r="F202" s="30"/>
    </row>
    <row r="203" spans="1:6" ht="30" customHeight="1">
      <c r="A203">
        <v>55</v>
      </c>
      <c r="B203" s="53" t="s">
        <v>134</v>
      </c>
      <c r="C203" s="151" t="s">
        <v>4676</v>
      </c>
      <c r="D203" s="151" t="s">
        <v>4774</v>
      </c>
      <c r="E203" s="53" t="s">
        <v>6085</v>
      </c>
      <c r="F203" s="30"/>
    </row>
    <row r="204" spans="1:6" ht="9" customHeight="1">
      <c r="B204" s="95" t="s">
        <v>688</v>
      </c>
      <c r="D204" s="38"/>
      <c r="E204" s="95" t="s">
        <v>688</v>
      </c>
      <c r="F204" s="30"/>
    </row>
    <row r="205" spans="1:6" ht="30" customHeight="1">
      <c r="A205">
        <v>57</v>
      </c>
      <c r="B205" s="53" t="s">
        <v>5</v>
      </c>
      <c r="C205" s="151" t="s">
        <v>4676</v>
      </c>
      <c r="D205" s="151" t="s">
        <v>4774</v>
      </c>
      <c r="E205" s="53" t="s">
        <v>5322</v>
      </c>
      <c r="F205" s="59"/>
    </row>
    <row r="206" spans="1:6" ht="9" customHeight="1">
      <c r="B206" s="95" t="s">
        <v>688</v>
      </c>
      <c r="D206" s="38"/>
      <c r="E206" s="95" t="s">
        <v>688</v>
      </c>
      <c r="F206" s="154"/>
    </row>
    <row r="207" spans="1:6" ht="30" customHeight="1">
      <c r="B207" s="154"/>
      <c r="D207">
        <v>56</v>
      </c>
      <c r="E207" s="53" t="s">
        <v>135</v>
      </c>
      <c r="F207" s="117"/>
    </row>
    <row r="208" spans="1:6" ht="9" customHeight="1">
      <c r="B208" s="154"/>
      <c r="E208" s="95" t="s">
        <v>688</v>
      </c>
      <c r="F208" s="117"/>
    </row>
    <row r="209" spans="1:6" ht="9" customHeight="1">
      <c r="B209" s="56"/>
    </row>
    <row r="210" spans="1:6" ht="9" customHeight="1">
      <c r="B210" s="50" t="s">
        <v>72</v>
      </c>
      <c r="E210" s="50" t="s">
        <v>72</v>
      </c>
    </row>
    <row r="211" spans="1:6" ht="30" customHeight="1">
      <c r="A211">
        <v>58</v>
      </c>
      <c r="B211" s="53" t="s">
        <v>4</v>
      </c>
      <c r="C211" s="151" t="s">
        <v>4676</v>
      </c>
      <c r="D211">
        <v>58</v>
      </c>
      <c r="E211" s="53" t="s">
        <v>4781</v>
      </c>
    </row>
    <row r="212" spans="1:6" ht="9" customHeight="1">
      <c r="B212" s="95" t="s">
        <v>688</v>
      </c>
      <c r="E212" s="95" t="s">
        <v>688</v>
      </c>
    </row>
    <row r="213" spans="1:6" ht="30" customHeight="1">
      <c r="A213">
        <v>59</v>
      </c>
      <c r="B213" s="53" t="s">
        <v>3</v>
      </c>
      <c r="C213" t="s">
        <v>4676</v>
      </c>
      <c r="D213">
        <v>62</v>
      </c>
      <c r="E213" s="53" t="s">
        <v>4782</v>
      </c>
      <c r="F213" s="139"/>
    </row>
    <row r="214" spans="1:6" ht="9" customHeight="1">
      <c r="B214" s="95" t="s">
        <v>688</v>
      </c>
      <c r="E214" s="95" t="s">
        <v>688</v>
      </c>
    </row>
    <row r="215" spans="1:6" ht="30" customHeight="1">
      <c r="A215">
        <v>60</v>
      </c>
      <c r="B215" s="58" t="s">
        <v>2836</v>
      </c>
      <c r="C215" t="s">
        <v>4676</v>
      </c>
      <c r="D215">
        <v>59</v>
      </c>
      <c r="E215" s="53" t="s">
        <v>4783</v>
      </c>
    </row>
    <row r="216" spans="1:6" ht="9" customHeight="1">
      <c r="B216" s="95" t="s">
        <v>688</v>
      </c>
      <c r="E216" s="95" t="s">
        <v>688</v>
      </c>
    </row>
    <row r="217" spans="1:6" ht="39.950000000000003" customHeight="1">
      <c r="A217">
        <v>61</v>
      </c>
      <c r="B217" s="58" t="s">
        <v>22</v>
      </c>
      <c r="C217" t="s">
        <v>4676</v>
      </c>
      <c r="D217">
        <v>60</v>
      </c>
      <c r="E217" s="58" t="s">
        <v>2836</v>
      </c>
    </row>
    <row r="218" spans="1:6" ht="9" customHeight="1">
      <c r="B218" s="95" t="s">
        <v>688</v>
      </c>
      <c r="E218" s="95"/>
    </row>
    <row r="219" spans="1:6" ht="42" customHeight="1">
      <c r="A219">
        <v>62</v>
      </c>
      <c r="B219" s="53" t="s">
        <v>128</v>
      </c>
      <c r="C219" s="151" t="s">
        <v>4676</v>
      </c>
      <c r="D219">
        <v>63</v>
      </c>
      <c r="E219" s="53" t="s">
        <v>63</v>
      </c>
    </row>
    <row r="220" spans="1:6" ht="9" customHeight="1">
      <c r="B220" s="95" t="s">
        <v>688</v>
      </c>
      <c r="E220" s="95" t="s">
        <v>688</v>
      </c>
    </row>
    <row r="221" spans="1:6" ht="30" customHeight="1">
      <c r="A221">
        <v>63</v>
      </c>
      <c r="B221" s="53" t="s">
        <v>63</v>
      </c>
      <c r="C221" t="s">
        <v>4676</v>
      </c>
      <c r="D221">
        <v>61</v>
      </c>
      <c r="E221" s="53" t="s">
        <v>4828</v>
      </c>
    </row>
    <row r="222" spans="1:6" ht="9" customHeight="1">
      <c r="B222" s="95" t="s">
        <v>688</v>
      </c>
      <c r="E222" s="95" t="s">
        <v>688</v>
      </c>
    </row>
    <row r="223" spans="1:6" ht="30" customHeight="1">
      <c r="A223">
        <v>64</v>
      </c>
      <c r="B223" s="53" t="s">
        <v>131</v>
      </c>
      <c r="C223" t="s">
        <v>4676</v>
      </c>
      <c r="D223">
        <v>64</v>
      </c>
      <c r="E223" s="53" t="s">
        <v>131</v>
      </c>
    </row>
    <row r="224" spans="1:6" ht="9" customHeight="1">
      <c r="B224" s="95" t="s">
        <v>688</v>
      </c>
      <c r="E224" s="95" t="s">
        <v>688</v>
      </c>
    </row>
    <row r="225" spans="1:6" ht="30" customHeight="1">
      <c r="A225">
        <v>65</v>
      </c>
      <c r="B225" s="53" t="s">
        <v>132</v>
      </c>
      <c r="C225" t="s">
        <v>4676</v>
      </c>
      <c r="D225">
        <v>65</v>
      </c>
      <c r="E225" s="53" t="s">
        <v>132</v>
      </c>
      <c r="F225" s="52"/>
    </row>
    <row r="226" spans="1:6" ht="9" customHeight="1">
      <c r="B226" s="95" t="s">
        <v>688</v>
      </c>
      <c r="E226" s="95" t="s">
        <v>688</v>
      </c>
    </row>
    <row r="227" spans="1:6" ht="9" customHeight="1">
      <c r="A227" s="117"/>
      <c r="B227" s="154"/>
      <c r="C227" s="117"/>
      <c r="D227" s="117"/>
      <c r="E227" s="154"/>
    </row>
    <row r="228" spans="1:6" ht="9" customHeight="1">
      <c r="A228" s="153"/>
      <c r="B228" s="177"/>
      <c r="C228" s="153"/>
      <c r="E228" s="50" t="s">
        <v>4830</v>
      </c>
    </row>
    <row r="229" spans="1:6" ht="30" customHeight="1">
      <c r="A229" s="153"/>
      <c r="B229" s="59"/>
      <c r="C229" s="174"/>
      <c r="D229" s="151" t="s">
        <v>4680</v>
      </c>
      <c r="E229" s="53" t="s">
        <v>4831</v>
      </c>
    </row>
    <row r="230" spans="1:6" ht="9" customHeight="1">
      <c r="A230" s="153"/>
      <c r="B230" s="154"/>
      <c r="C230" s="153"/>
      <c r="E230" s="95" t="s">
        <v>688</v>
      </c>
    </row>
    <row r="231" spans="1:6" ht="30" customHeight="1">
      <c r="A231" s="153"/>
      <c r="B231" s="154"/>
      <c r="C231" s="153"/>
      <c r="D231" s="151" t="s">
        <v>4680</v>
      </c>
      <c r="E231" s="53" t="s">
        <v>4832</v>
      </c>
    </row>
    <row r="232" spans="1:6" ht="9" customHeight="1">
      <c r="A232" s="153"/>
      <c r="B232" s="154"/>
      <c r="C232" s="153"/>
      <c r="E232" s="95" t="s">
        <v>688</v>
      </c>
    </row>
    <row r="233" spans="1:6" ht="9" customHeight="1">
      <c r="A233" s="153"/>
      <c r="B233" s="154"/>
      <c r="C233" s="153"/>
    </row>
    <row r="234" spans="1:6" ht="9" customHeight="1">
      <c r="A234" s="153"/>
      <c r="B234" s="154"/>
      <c r="C234" s="153"/>
      <c r="E234" s="50" t="s">
        <v>4821</v>
      </c>
    </row>
    <row r="235" spans="1:6" ht="30" customHeight="1">
      <c r="A235" s="153"/>
      <c r="B235" s="154"/>
      <c r="C235" s="153"/>
      <c r="D235">
        <v>47</v>
      </c>
      <c r="E235" s="53" t="s">
        <v>4798</v>
      </c>
    </row>
    <row r="236" spans="1:6" ht="9" customHeight="1">
      <c r="A236" s="153"/>
      <c r="B236" s="154"/>
      <c r="C236" s="153"/>
      <c r="E236" s="95" t="s">
        <v>688</v>
      </c>
    </row>
    <row r="237" spans="1:6" ht="30" customHeight="1">
      <c r="A237" s="153"/>
      <c r="B237" s="154"/>
      <c r="C237" s="153"/>
      <c r="D237">
        <v>28</v>
      </c>
      <c r="E237" s="53" t="s">
        <v>4815</v>
      </c>
    </row>
    <row r="238" spans="1:6" ht="9" customHeight="1">
      <c r="A238" s="153"/>
      <c r="B238" s="154"/>
      <c r="C238" s="153"/>
      <c r="E238" s="95" t="s">
        <v>688</v>
      </c>
    </row>
    <row r="239" spans="1:6" ht="9" customHeight="1">
      <c r="A239" s="153"/>
      <c r="B239" s="154"/>
      <c r="C239" s="153"/>
      <c r="F239" s="139"/>
    </row>
    <row r="240" spans="1:6" ht="9" customHeight="1">
      <c r="A240" s="153"/>
      <c r="B240" s="154"/>
      <c r="C240" s="153"/>
      <c r="E240" s="61" t="s">
        <v>4829</v>
      </c>
    </row>
    <row r="241" spans="1:6" ht="30" customHeight="1">
      <c r="A241" s="153"/>
      <c r="B241" s="154"/>
      <c r="C241" s="153"/>
      <c r="D241">
        <v>32</v>
      </c>
      <c r="E241" s="53" t="s">
        <v>180</v>
      </c>
      <c r="F241" s="139"/>
    </row>
    <row r="242" spans="1:6" ht="9" customHeight="1">
      <c r="A242" s="153"/>
      <c r="B242" s="154"/>
      <c r="C242" s="153"/>
      <c r="E242" s="95" t="s">
        <v>688</v>
      </c>
    </row>
    <row r="243" spans="1:6" ht="30" customHeight="1">
      <c r="A243" s="153"/>
      <c r="B243" s="154"/>
      <c r="C243" s="153"/>
      <c r="D243" s="151" t="s">
        <v>6068</v>
      </c>
      <c r="E243" s="187" t="s">
        <v>6067</v>
      </c>
    </row>
    <row r="244" spans="1:6" ht="9" customHeight="1">
      <c r="A244" s="153"/>
      <c r="B244" s="59"/>
      <c r="C244" s="153"/>
      <c r="E244" s="95" t="s">
        <v>688</v>
      </c>
    </row>
    <row r="245" spans="1:6" ht="30" customHeight="1">
      <c r="A245" s="153"/>
      <c r="B245" s="59"/>
      <c r="C245" s="153"/>
      <c r="D245">
        <v>42</v>
      </c>
      <c r="E245" s="53" t="s">
        <v>142</v>
      </c>
    </row>
    <row r="246" spans="1:6" ht="9" customHeight="1">
      <c r="A246" s="153"/>
      <c r="B246" s="59"/>
      <c r="C246" s="153"/>
      <c r="E246" s="95" t="s">
        <v>688</v>
      </c>
    </row>
    <row r="247" spans="1:6" ht="30" customHeight="1">
      <c r="A247" s="153"/>
      <c r="B247" s="59"/>
      <c r="C247" s="153"/>
      <c r="D247" t="s">
        <v>5502</v>
      </c>
      <c r="E247" s="187" t="s">
        <v>5501</v>
      </c>
    </row>
    <row r="248" spans="1:6" ht="9" customHeight="1">
      <c r="A248" s="153"/>
      <c r="B248" s="59"/>
      <c r="C248" s="153"/>
      <c r="E248" s="95" t="s">
        <v>688</v>
      </c>
    </row>
    <row r="249" spans="1:6" ht="30" customHeight="1">
      <c r="A249" s="153"/>
      <c r="B249" s="59"/>
      <c r="C249" s="153"/>
      <c r="D249">
        <v>46</v>
      </c>
      <c r="E249" s="53" t="s">
        <v>154</v>
      </c>
    </row>
    <row r="250" spans="1:6" ht="9" customHeight="1">
      <c r="A250" s="153"/>
      <c r="B250" s="59"/>
      <c r="C250" s="153"/>
      <c r="E250" s="95" t="s">
        <v>688</v>
      </c>
    </row>
    <row r="251" spans="1:6" ht="30" customHeight="1">
      <c r="A251" s="153"/>
      <c r="B251" s="154"/>
      <c r="C251" s="153"/>
      <c r="D251" s="151" t="s">
        <v>4823</v>
      </c>
      <c r="E251" s="172" t="s">
        <v>4822</v>
      </c>
    </row>
    <row r="252" spans="1:6" ht="9" customHeight="1">
      <c r="B252" s="56"/>
      <c r="E252" s="95" t="s">
        <v>688</v>
      </c>
    </row>
    <row r="253" spans="1:6" ht="9" customHeight="1">
      <c r="B253" s="56"/>
      <c r="E253" s="154"/>
    </row>
    <row r="254" spans="1:6" ht="30" customHeight="1">
      <c r="B254" s="50" t="s">
        <v>73</v>
      </c>
      <c r="E254" s="50" t="s">
        <v>4784</v>
      </c>
    </row>
    <row r="255" spans="1:6" ht="30" customHeight="1">
      <c r="A255">
        <v>66</v>
      </c>
      <c r="B255" s="53" t="s">
        <v>36</v>
      </c>
      <c r="C255" s="151" t="s">
        <v>4676</v>
      </c>
      <c r="D255">
        <v>67</v>
      </c>
      <c r="E255" s="53" t="s">
        <v>656</v>
      </c>
      <c r="F255" s="139"/>
    </row>
    <row r="256" spans="1:6" ht="9" customHeight="1">
      <c r="B256" s="95" t="s">
        <v>688</v>
      </c>
      <c r="E256" s="95" t="s">
        <v>688</v>
      </c>
    </row>
    <row r="257" spans="1:6" ht="30" customHeight="1">
      <c r="A257">
        <v>67</v>
      </c>
      <c r="B257" s="53" t="s">
        <v>656</v>
      </c>
      <c r="C257" s="151" t="s">
        <v>4676</v>
      </c>
      <c r="D257" s="151" t="s">
        <v>4774</v>
      </c>
      <c r="E257" s="53" t="s">
        <v>4791</v>
      </c>
      <c r="F257" s="139" t="s">
        <v>4792</v>
      </c>
    </row>
    <row r="258" spans="1:6" ht="9" customHeight="1">
      <c r="B258" s="95" t="s">
        <v>688</v>
      </c>
      <c r="E258" s="95" t="s">
        <v>688</v>
      </c>
    </row>
    <row r="259" spans="1:6" ht="30" customHeight="1">
      <c r="A259">
        <v>68</v>
      </c>
      <c r="B259" s="53" t="s">
        <v>35</v>
      </c>
      <c r="C259" t="s">
        <v>4676</v>
      </c>
      <c r="D259" s="151" t="s">
        <v>4680</v>
      </c>
      <c r="E259" s="53" t="s">
        <v>4690</v>
      </c>
    </row>
    <row r="260" spans="1:6" ht="9" customHeight="1">
      <c r="B260" s="95" t="s">
        <v>688</v>
      </c>
      <c r="E260" s="95" t="s">
        <v>688</v>
      </c>
    </row>
    <row r="261" spans="1:6" ht="30" customHeight="1">
      <c r="A261">
        <v>69</v>
      </c>
      <c r="B261" s="53" t="s">
        <v>54</v>
      </c>
      <c r="C261" t="s">
        <v>4676</v>
      </c>
      <c r="D261">
        <v>51</v>
      </c>
      <c r="E261" s="53" t="s">
        <v>4691</v>
      </c>
    </row>
    <row r="262" spans="1:6" ht="9" customHeight="1">
      <c r="B262" s="95" t="s">
        <v>688</v>
      </c>
      <c r="E262" s="95" t="s">
        <v>688</v>
      </c>
    </row>
    <row r="263" spans="1:6" ht="30" customHeight="1">
      <c r="A263">
        <v>70</v>
      </c>
      <c r="B263" s="53" t="s">
        <v>107</v>
      </c>
      <c r="C263" s="151" t="s">
        <v>4676</v>
      </c>
      <c r="D263" s="151" t="s">
        <v>4680</v>
      </c>
      <c r="E263" s="187" t="s">
        <v>5727</v>
      </c>
    </row>
    <row r="264" spans="1:6" ht="9" customHeight="1">
      <c r="B264" s="95" t="s">
        <v>688</v>
      </c>
      <c r="E264" s="95" t="s">
        <v>688</v>
      </c>
    </row>
    <row r="265" spans="1:6" ht="30" customHeight="1">
      <c r="A265">
        <v>71</v>
      </c>
      <c r="B265" s="53" t="s">
        <v>4268</v>
      </c>
      <c r="C265" s="151" t="s">
        <v>4676</v>
      </c>
      <c r="D265">
        <v>54</v>
      </c>
      <c r="E265" s="53" t="s">
        <v>76</v>
      </c>
    </row>
    <row r="266" spans="1:6" ht="9" customHeight="1">
      <c r="B266" s="95" t="s">
        <v>688</v>
      </c>
      <c r="E266" s="95" t="s">
        <v>688</v>
      </c>
    </row>
    <row r="267" spans="1:6" ht="9" customHeight="1">
      <c r="B267" s="154"/>
      <c r="F267"/>
    </row>
    <row r="268" spans="1:6" ht="30" customHeight="1">
      <c r="B268" s="66" t="s">
        <v>2</v>
      </c>
      <c r="E268" s="50" t="s">
        <v>4814</v>
      </c>
      <c r="F268"/>
    </row>
    <row r="269" spans="1:6" ht="30" customHeight="1">
      <c r="A269">
        <v>72</v>
      </c>
      <c r="B269" s="53" t="s">
        <v>105</v>
      </c>
      <c r="C269" s="151" t="s">
        <v>4676</v>
      </c>
      <c r="D269">
        <v>72</v>
      </c>
      <c r="E269" s="53" t="s">
        <v>105</v>
      </c>
    </row>
    <row r="270" spans="1:6" ht="9" customHeight="1">
      <c r="B270" s="95" t="s">
        <v>688</v>
      </c>
      <c r="E270" s="95" t="s">
        <v>688</v>
      </c>
    </row>
    <row r="271" spans="1:6" ht="30" customHeight="1">
      <c r="A271">
        <v>73</v>
      </c>
      <c r="B271" s="53" t="s">
        <v>6</v>
      </c>
      <c r="C271" s="151" t="s">
        <v>4676</v>
      </c>
      <c r="D271">
        <v>73</v>
      </c>
      <c r="E271" s="53" t="s">
        <v>4801</v>
      </c>
    </row>
    <row r="272" spans="1:6" ht="9" customHeight="1">
      <c r="B272" s="95" t="s">
        <v>688</v>
      </c>
      <c r="E272" s="95" t="s">
        <v>688</v>
      </c>
    </row>
    <row r="273" spans="1:5" ht="30" customHeight="1">
      <c r="A273">
        <v>74</v>
      </c>
      <c r="B273" s="53" t="s">
        <v>7</v>
      </c>
      <c r="C273" s="151" t="s">
        <v>4676</v>
      </c>
      <c r="D273">
        <v>74</v>
      </c>
      <c r="E273" s="53" t="s">
        <v>4802</v>
      </c>
    </row>
    <row r="274" spans="1:5" ht="9" customHeight="1">
      <c r="B274" s="95" t="s">
        <v>688</v>
      </c>
      <c r="E274" s="95" t="s">
        <v>688</v>
      </c>
    </row>
    <row r="275" spans="1:5" ht="30" customHeight="1">
      <c r="A275">
        <v>75</v>
      </c>
      <c r="B275" s="53" t="s">
        <v>8</v>
      </c>
      <c r="C275" s="151" t="s">
        <v>4676</v>
      </c>
      <c r="D275">
        <v>75</v>
      </c>
      <c r="E275" s="53" t="s">
        <v>8</v>
      </c>
    </row>
    <row r="276" spans="1:5" ht="9" customHeight="1">
      <c r="B276" s="95" t="s">
        <v>688</v>
      </c>
      <c r="E276" s="95" t="s">
        <v>688</v>
      </c>
    </row>
    <row r="277" spans="1:5" ht="30" customHeight="1">
      <c r="A277">
        <v>76</v>
      </c>
      <c r="B277" s="53" t="s">
        <v>9</v>
      </c>
      <c r="C277" s="151" t="s">
        <v>4676</v>
      </c>
      <c r="D277">
        <v>76</v>
      </c>
      <c r="E277" s="53" t="s">
        <v>9</v>
      </c>
    </row>
    <row r="278" spans="1:5" ht="9" customHeight="1">
      <c r="B278" s="95" t="s">
        <v>688</v>
      </c>
      <c r="E278" s="95" t="s">
        <v>688</v>
      </c>
    </row>
    <row r="279" spans="1:5" ht="30" customHeight="1">
      <c r="A279">
        <v>77</v>
      </c>
      <c r="B279" s="53" t="s">
        <v>10</v>
      </c>
      <c r="C279" t="s">
        <v>4676</v>
      </c>
      <c r="D279">
        <v>77</v>
      </c>
      <c r="E279" s="53" t="s">
        <v>10</v>
      </c>
    </row>
    <row r="280" spans="1:5" ht="9" customHeight="1">
      <c r="B280" s="95" t="s">
        <v>688</v>
      </c>
      <c r="E280" s="95" t="s">
        <v>688</v>
      </c>
    </row>
    <row r="281" spans="1:5" ht="30" customHeight="1">
      <c r="A281">
        <v>78</v>
      </c>
      <c r="B281" s="53" t="s">
        <v>11</v>
      </c>
      <c r="C281" t="s">
        <v>4676</v>
      </c>
      <c r="D281" t="s">
        <v>4808</v>
      </c>
      <c r="E281" s="53" t="s">
        <v>4807</v>
      </c>
    </row>
    <row r="282" spans="1:5" ht="9" customHeight="1">
      <c r="B282" s="95" t="s">
        <v>688</v>
      </c>
      <c r="E282" s="95" t="s">
        <v>688</v>
      </c>
    </row>
    <row r="283" spans="1:5" ht="30" customHeight="1">
      <c r="A283">
        <v>79</v>
      </c>
      <c r="B283" s="53" t="s">
        <v>29</v>
      </c>
      <c r="E283" s="243"/>
    </row>
    <row r="284" spans="1:5" ht="9" customHeight="1">
      <c r="B284" s="95" t="s">
        <v>688</v>
      </c>
      <c r="E284" s="243"/>
    </row>
    <row r="285" spans="1:5" ht="30" customHeight="1">
      <c r="A285">
        <v>80</v>
      </c>
      <c r="B285" s="53" t="s">
        <v>12</v>
      </c>
      <c r="C285" t="s">
        <v>4676</v>
      </c>
      <c r="D285">
        <v>80</v>
      </c>
      <c r="E285" s="53" t="s">
        <v>12</v>
      </c>
    </row>
    <row r="286" spans="1:5" ht="9" customHeight="1">
      <c r="B286" s="95" t="s">
        <v>688</v>
      </c>
      <c r="E286" s="95" t="s">
        <v>688</v>
      </c>
    </row>
    <row r="287" spans="1:5" ht="30" customHeight="1">
      <c r="A287">
        <v>81</v>
      </c>
      <c r="B287" s="53" t="s">
        <v>13</v>
      </c>
      <c r="C287" t="s">
        <v>4676</v>
      </c>
      <c r="D287">
        <v>81</v>
      </c>
      <c r="E287" s="53" t="s">
        <v>13</v>
      </c>
    </row>
    <row r="288" spans="1:5" ht="9" customHeight="1">
      <c r="B288" s="95" t="s">
        <v>688</v>
      </c>
      <c r="E288" s="95" t="s">
        <v>688</v>
      </c>
    </row>
    <row r="289" spans="1:6" ht="30" customHeight="1">
      <c r="A289">
        <v>82</v>
      </c>
      <c r="B289" s="53" t="s">
        <v>169</v>
      </c>
      <c r="C289" t="s">
        <v>4676</v>
      </c>
      <c r="D289">
        <v>82</v>
      </c>
      <c r="E289" s="53" t="s">
        <v>169</v>
      </c>
    </row>
    <row r="290" spans="1:6" ht="9" customHeight="1">
      <c r="B290" s="95" t="s">
        <v>688</v>
      </c>
      <c r="E290" s="95" t="s">
        <v>688</v>
      </c>
    </row>
    <row r="291" spans="1:6" ht="30" customHeight="1">
      <c r="A291">
        <v>83</v>
      </c>
      <c r="B291" s="53" t="s">
        <v>14</v>
      </c>
      <c r="C291" t="s">
        <v>4676</v>
      </c>
      <c r="D291">
        <v>83</v>
      </c>
      <c r="E291" s="53" t="s">
        <v>14</v>
      </c>
    </row>
    <row r="292" spans="1:6" ht="9" customHeight="1">
      <c r="B292" s="95" t="s">
        <v>688</v>
      </c>
      <c r="E292" s="95" t="s">
        <v>688</v>
      </c>
    </row>
    <row r="293" spans="1:6" ht="30" customHeight="1">
      <c r="A293">
        <v>84</v>
      </c>
      <c r="B293" s="53" t="s">
        <v>15</v>
      </c>
      <c r="C293" t="s">
        <v>4676</v>
      </c>
      <c r="D293">
        <v>84</v>
      </c>
      <c r="E293" s="53" t="s">
        <v>15</v>
      </c>
    </row>
    <row r="294" spans="1:6" ht="9" customHeight="1">
      <c r="B294" s="95" t="s">
        <v>688</v>
      </c>
      <c r="E294" s="95" t="s">
        <v>688</v>
      </c>
    </row>
    <row r="295" spans="1:6" ht="30" customHeight="1">
      <c r="A295">
        <v>85</v>
      </c>
      <c r="B295" s="53" t="s">
        <v>16</v>
      </c>
      <c r="C295" t="s">
        <v>4676</v>
      </c>
      <c r="D295">
        <v>85</v>
      </c>
      <c r="E295" s="53" t="s">
        <v>16</v>
      </c>
    </row>
    <row r="296" spans="1:6" ht="9" customHeight="1">
      <c r="B296" s="95" t="s">
        <v>688</v>
      </c>
      <c r="E296" s="95" t="s">
        <v>688</v>
      </c>
    </row>
    <row r="297" spans="1:6" ht="30" customHeight="1">
      <c r="A297">
        <v>86</v>
      </c>
      <c r="B297" s="53" t="s">
        <v>17</v>
      </c>
      <c r="C297" t="s">
        <v>4676</v>
      </c>
      <c r="D297">
        <v>86</v>
      </c>
      <c r="E297" s="53" t="s">
        <v>17</v>
      </c>
    </row>
    <row r="298" spans="1:6" ht="9" customHeight="1">
      <c r="B298" s="95" t="s">
        <v>688</v>
      </c>
      <c r="E298" s="95" t="s">
        <v>688</v>
      </c>
    </row>
    <row r="299" spans="1:6" ht="30" customHeight="1">
      <c r="A299">
        <v>87</v>
      </c>
      <c r="B299" s="53" t="s">
        <v>18</v>
      </c>
      <c r="C299" t="s">
        <v>4676</v>
      </c>
      <c r="D299">
        <v>87</v>
      </c>
      <c r="E299" s="53" t="s">
        <v>4803</v>
      </c>
      <c r="F299" s="139" t="s">
        <v>4804</v>
      </c>
    </row>
    <row r="300" spans="1:6" ht="9" customHeight="1">
      <c r="B300" s="95" t="s">
        <v>688</v>
      </c>
      <c r="E300" s="95" t="s">
        <v>688</v>
      </c>
    </row>
    <row r="301" spans="1:6" ht="30" customHeight="1">
      <c r="A301">
        <v>88</v>
      </c>
      <c r="B301" s="53" t="s">
        <v>19</v>
      </c>
      <c r="C301" t="s">
        <v>4676</v>
      </c>
      <c r="D301">
        <v>88</v>
      </c>
      <c r="E301" s="53" t="s">
        <v>19</v>
      </c>
      <c r="F301" s="139" t="s">
        <v>4804</v>
      </c>
    </row>
    <row r="302" spans="1:6" ht="9" customHeight="1">
      <c r="B302" s="95" t="s">
        <v>688</v>
      </c>
      <c r="E302" s="95" t="s">
        <v>688</v>
      </c>
    </row>
    <row r="303" spans="1:6" ht="30" customHeight="1">
      <c r="A303">
        <v>89</v>
      </c>
      <c r="B303" s="53" t="s">
        <v>20</v>
      </c>
      <c r="C303" t="s">
        <v>4676</v>
      </c>
      <c r="D303">
        <v>89</v>
      </c>
      <c r="E303" s="53" t="s">
        <v>20</v>
      </c>
    </row>
    <row r="304" spans="1:6" ht="9" customHeight="1">
      <c r="B304" s="95" t="s">
        <v>688</v>
      </c>
      <c r="E304" s="95" t="s">
        <v>688</v>
      </c>
    </row>
    <row r="305" spans="1:6" ht="30" customHeight="1">
      <c r="A305">
        <v>90</v>
      </c>
      <c r="B305" s="53" t="s">
        <v>21</v>
      </c>
      <c r="C305" t="s">
        <v>4676</v>
      </c>
      <c r="D305">
        <v>90</v>
      </c>
      <c r="E305" s="53" t="s">
        <v>21</v>
      </c>
    </row>
    <row r="306" spans="1:6" ht="9" customHeight="1">
      <c r="B306" s="95" t="s">
        <v>688</v>
      </c>
      <c r="E306" s="95" t="s">
        <v>688</v>
      </c>
    </row>
    <row r="307" spans="1:6" ht="30" customHeight="1">
      <c r="A307">
        <v>91</v>
      </c>
      <c r="B307" s="53" t="s">
        <v>28</v>
      </c>
      <c r="C307" s="151" t="s">
        <v>4676</v>
      </c>
      <c r="D307">
        <v>91</v>
      </c>
      <c r="E307" s="53" t="s">
        <v>28</v>
      </c>
    </row>
    <row r="308" spans="1:6" ht="9" customHeight="1">
      <c r="B308" s="95" t="s">
        <v>688</v>
      </c>
      <c r="E308" s="95" t="s">
        <v>688</v>
      </c>
    </row>
    <row r="309" spans="1:6" ht="30" customHeight="1">
      <c r="A309">
        <v>92</v>
      </c>
      <c r="B309" s="53" t="s">
        <v>110</v>
      </c>
      <c r="C309" t="s">
        <v>4676</v>
      </c>
      <c r="D309">
        <v>92</v>
      </c>
      <c r="E309" s="53" t="s">
        <v>110</v>
      </c>
      <c r="F309" s="139" t="s">
        <v>4804</v>
      </c>
    </row>
    <row r="310" spans="1:6" ht="9" customHeight="1">
      <c r="B310" s="95" t="s">
        <v>688</v>
      </c>
      <c r="E310" s="95" t="s">
        <v>688</v>
      </c>
    </row>
    <row r="311" spans="1:6" ht="30" customHeight="1">
      <c r="A311">
        <v>93</v>
      </c>
      <c r="B311" s="53" t="s">
        <v>111</v>
      </c>
      <c r="C311" t="s">
        <v>4676</v>
      </c>
      <c r="D311">
        <v>93</v>
      </c>
      <c r="E311" s="53" t="s">
        <v>111</v>
      </c>
    </row>
    <row r="312" spans="1:6" ht="9" customHeight="1">
      <c r="B312" s="95" t="s">
        <v>688</v>
      </c>
      <c r="E312" s="95" t="s">
        <v>688</v>
      </c>
    </row>
    <row r="313" spans="1:6" ht="30" customHeight="1">
      <c r="A313">
        <v>94</v>
      </c>
      <c r="B313" s="53" t="s">
        <v>112</v>
      </c>
      <c r="C313" t="s">
        <v>4676</v>
      </c>
      <c r="D313" t="s">
        <v>4806</v>
      </c>
      <c r="E313" s="53" t="s">
        <v>112</v>
      </c>
      <c r="F313" s="38" t="s">
        <v>4805</v>
      </c>
    </row>
    <row r="314" spans="1:6" ht="9" customHeight="1">
      <c r="B314" s="95" t="s">
        <v>688</v>
      </c>
      <c r="E314" s="95" t="s">
        <v>688</v>
      </c>
    </row>
    <row r="315" spans="1:6" ht="30" customHeight="1">
      <c r="A315">
        <v>95</v>
      </c>
      <c r="B315" s="53" t="s">
        <v>113</v>
      </c>
      <c r="C315" t="s">
        <v>4676</v>
      </c>
      <c r="E315" s="243"/>
    </row>
    <row r="316" spans="1:6" ht="9" customHeight="1">
      <c r="B316" s="95" t="s">
        <v>688</v>
      </c>
      <c r="E316" s="243"/>
    </row>
    <row r="317" spans="1:6" ht="30" customHeight="1">
      <c r="A317">
        <v>96</v>
      </c>
      <c r="B317" s="53" t="s">
        <v>114</v>
      </c>
      <c r="C317" t="s">
        <v>4676</v>
      </c>
      <c r="D317">
        <v>96</v>
      </c>
      <c r="E317" s="53" t="s">
        <v>114</v>
      </c>
    </row>
    <row r="318" spans="1:6" ht="9" customHeight="1">
      <c r="B318" s="95" t="s">
        <v>688</v>
      </c>
      <c r="E318" s="95" t="s">
        <v>688</v>
      </c>
    </row>
    <row r="319" spans="1:6" ht="30" customHeight="1">
      <c r="A319">
        <v>97</v>
      </c>
      <c r="B319" s="53" t="s">
        <v>115</v>
      </c>
      <c r="C319" t="s">
        <v>4676</v>
      </c>
      <c r="D319">
        <v>97</v>
      </c>
      <c r="E319" s="53" t="s">
        <v>115</v>
      </c>
    </row>
    <row r="320" spans="1:6" ht="9" customHeight="1">
      <c r="B320" s="95" t="s">
        <v>688</v>
      </c>
      <c r="E320" s="95" t="s">
        <v>688</v>
      </c>
    </row>
    <row r="321" spans="1:6" ht="30" customHeight="1">
      <c r="A321">
        <v>98</v>
      </c>
      <c r="B321" s="53" t="s">
        <v>116</v>
      </c>
      <c r="C321" t="s">
        <v>4676</v>
      </c>
      <c r="D321">
        <v>98</v>
      </c>
      <c r="E321" s="53" t="s">
        <v>116</v>
      </c>
    </row>
    <row r="322" spans="1:6" ht="9" customHeight="1">
      <c r="B322" s="95" t="s">
        <v>688</v>
      </c>
      <c r="E322" s="95" t="s">
        <v>688</v>
      </c>
    </row>
    <row r="323" spans="1:6" ht="30" customHeight="1">
      <c r="A323">
        <v>99</v>
      </c>
      <c r="B323" s="53" t="s">
        <v>117</v>
      </c>
      <c r="C323" t="s">
        <v>4676</v>
      </c>
      <c r="D323">
        <v>99</v>
      </c>
      <c r="E323" s="53" t="s">
        <v>117</v>
      </c>
    </row>
    <row r="324" spans="1:6" ht="9" customHeight="1">
      <c r="B324" s="95" t="s">
        <v>688</v>
      </c>
      <c r="E324" s="95" t="s">
        <v>688</v>
      </c>
    </row>
    <row r="325" spans="1:6">
      <c r="A325" s="11"/>
      <c r="B325" s="35"/>
      <c r="E325" s="66" t="s">
        <v>6091</v>
      </c>
      <c r="F325" s="139"/>
    </row>
    <row r="326" spans="1:6" ht="30" customHeight="1">
      <c r="A326" s="11"/>
      <c r="B326" s="177"/>
      <c r="D326" s="151" t="s">
        <v>4774</v>
      </c>
      <c r="E326" s="53" t="s">
        <v>4775</v>
      </c>
      <c r="F326" s="139" t="s">
        <v>4776</v>
      </c>
    </row>
    <row r="327" spans="1:6" ht="9" customHeight="1">
      <c r="A327" s="11"/>
      <c r="B327" s="35"/>
      <c r="E327" s="95" t="s">
        <v>688</v>
      </c>
    </row>
    <row r="328" spans="1:6" ht="30" customHeight="1">
      <c r="D328" t="s">
        <v>4774</v>
      </c>
      <c r="E328" s="53" t="s">
        <v>5370</v>
      </c>
    </row>
    <row r="329" spans="1:6" ht="9" customHeight="1">
      <c r="E329" s="95" t="s">
        <v>688</v>
      </c>
    </row>
    <row r="330" spans="1:6" ht="30" customHeight="1">
      <c r="D330" t="s">
        <v>4774</v>
      </c>
      <c r="E330" s="53" t="s">
        <v>5373</v>
      </c>
    </row>
    <row r="331" spans="1:6" ht="9" customHeight="1">
      <c r="B331" s="56"/>
      <c r="E331" s="95" t="s">
        <v>688</v>
      </c>
    </row>
    <row r="332" spans="1:6" ht="9" customHeight="1">
      <c r="B332" s="56"/>
    </row>
    <row r="333" spans="1:6">
      <c r="B333" s="56"/>
      <c r="E333" s="66" t="s">
        <v>73</v>
      </c>
    </row>
    <row r="334" spans="1:6" ht="30" customHeight="1">
      <c r="B334" s="56"/>
      <c r="D334">
        <v>68</v>
      </c>
      <c r="E334" s="53" t="s">
        <v>35</v>
      </c>
    </row>
    <row r="335" spans="1:6" ht="9" customHeight="1">
      <c r="B335" s="56"/>
      <c r="E335" s="95" t="s">
        <v>688</v>
      </c>
    </row>
    <row r="336" spans="1:6" ht="30" customHeight="1">
      <c r="B336" s="56"/>
      <c r="D336">
        <v>27</v>
      </c>
      <c r="E336" s="58" t="s">
        <v>60</v>
      </c>
      <c r="F336" s="139" t="s">
        <v>4809</v>
      </c>
    </row>
    <row r="337" spans="1:6" ht="9" customHeight="1">
      <c r="B337" s="56"/>
      <c r="E337" s="95" t="s">
        <v>688</v>
      </c>
    </row>
    <row r="338" spans="1:6" ht="30" customHeight="1">
      <c r="A338" s="11"/>
      <c r="B338" s="177"/>
      <c r="D338" t="s">
        <v>4774</v>
      </c>
      <c r="E338" s="58" t="s">
        <v>5140</v>
      </c>
    </row>
    <row r="339" spans="1:6" ht="9" customHeight="1">
      <c r="A339" s="11"/>
      <c r="B339" s="177"/>
      <c r="E339" s="95" t="s">
        <v>688</v>
      </c>
    </row>
    <row r="340" spans="1:6" ht="30" customHeight="1">
      <c r="A340" s="11"/>
      <c r="B340" s="177"/>
      <c r="D340" t="s">
        <v>4774</v>
      </c>
      <c r="E340" s="53" t="s">
        <v>5352</v>
      </c>
    </row>
    <row r="341" spans="1:6" ht="9" customHeight="1">
      <c r="A341" s="11"/>
      <c r="B341" s="177"/>
      <c r="E341" s="95" t="s">
        <v>688</v>
      </c>
    </row>
    <row r="342" spans="1:6" ht="18">
      <c r="A342" s="11"/>
      <c r="B342" s="177"/>
      <c r="D342">
        <v>57</v>
      </c>
      <c r="E342" s="53" t="s">
        <v>5034</v>
      </c>
    </row>
    <row r="343" spans="1:6" ht="9" customHeight="1">
      <c r="A343" s="11"/>
      <c r="B343" s="177"/>
      <c r="E343" s="95" t="s">
        <v>688</v>
      </c>
    </row>
    <row r="344" spans="1:6" ht="30" customHeight="1">
      <c r="A344" s="11"/>
      <c r="B344" s="177"/>
      <c r="D344">
        <v>26</v>
      </c>
      <c r="E344" s="53" t="s">
        <v>5033</v>
      </c>
    </row>
    <row r="345" spans="1:6" ht="9" customHeight="1">
      <c r="A345" s="11"/>
      <c r="B345" s="177"/>
      <c r="E345" s="95" t="s">
        <v>688</v>
      </c>
    </row>
    <row r="346" spans="1:6">
      <c r="A346" s="11"/>
      <c r="B346" s="177"/>
      <c r="E346" s="154"/>
    </row>
    <row r="347" spans="1:6">
      <c r="A347" s="11"/>
      <c r="B347" s="177"/>
      <c r="E347" s="181" t="s">
        <v>4825</v>
      </c>
    </row>
    <row r="348" spans="1:6" ht="30" customHeight="1">
      <c r="A348" s="11"/>
      <c r="B348" s="177"/>
      <c r="D348">
        <v>68</v>
      </c>
      <c r="E348" s="53" t="s">
        <v>4826</v>
      </c>
    </row>
    <row r="349" spans="1:6">
      <c r="A349" s="11"/>
      <c r="B349" s="35"/>
      <c r="E349" s="95" t="s">
        <v>688</v>
      </c>
    </row>
    <row r="350" spans="1:6" ht="30" customHeight="1">
      <c r="F350" s="139"/>
    </row>
    <row r="351" spans="1:6">
      <c r="B351" s="66" t="s">
        <v>201</v>
      </c>
      <c r="E351" s="66" t="s">
        <v>201</v>
      </c>
    </row>
    <row r="352" spans="1:6">
      <c r="A352">
        <v>100</v>
      </c>
      <c r="B352" s="53" t="s">
        <v>2590</v>
      </c>
      <c r="D352">
        <v>100</v>
      </c>
      <c r="E352" s="53" t="s">
        <v>2590</v>
      </c>
    </row>
    <row r="353" spans="1:5">
      <c r="B353" s="53"/>
      <c r="E353" s="95" t="s">
        <v>688</v>
      </c>
    </row>
    <row r="354" spans="1:5">
      <c r="A354">
        <v>101</v>
      </c>
      <c r="B354" s="53" t="s">
        <v>2591</v>
      </c>
      <c r="D354">
        <v>101</v>
      </c>
      <c r="E354" s="53" t="s">
        <v>2591</v>
      </c>
    </row>
    <row r="355" spans="1:5">
      <c r="B355" s="95" t="s">
        <v>688</v>
      </c>
      <c r="E355" s="95" t="s">
        <v>688</v>
      </c>
    </row>
    <row r="357" spans="1:5">
      <c r="B357" s="50" t="s">
        <v>155</v>
      </c>
      <c r="E357" s="50" t="s">
        <v>155</v>
      </c>
    </row>
    <row r="358" spans="1:5">
      <c r="B358" s="128"/>
      <c r="E358" s="128"/>
    </row>
    <row r="360" spans="1:5">
      <c r="B360" s="53" t="s">
        <v>1879</v>
      </c>
      <c r="E360" s="178" t="s">
        <v>4812</v>
      </c>
    </row>
    <row r="361" spans="1:5">
      <c r="E361" s="179" t="s">
        <v>4813</v>
      </c>
    </row>
  </sheetData>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222"/>
  <sheetViews>
    <sheetView zoomScaleNormal="100" zoomScaleSheetLayoutView="75" workbookViewId="0">
      <pane xSplit="1" ySplit="1" topLeftCell="AG38" activePane="bottomRight" state="frozen"/>
      <selection pane="topRight" activeCell="B1" sqref="B1"/>
      <selection pane="bottomLeft" activeCell="A3" sqref="A3"/>
      <selection pane="bottomRight" activeCell="A216" sqref="A216:XFD216"/>
    </sheetView>
  </sheetViews>
  <sheetFormatPr baseColWidth="10" defaultRowHeight="12.75"/>
  <cols>
    <col min="1" max="1" width="42.28515625" style="38" customWidth="1"/>
    <col min="2" max="7" width="21.7109375" style="38" customWidth="1"/>
    <col min="8" max="8" width="21.7109375" customWidth="1"/>
    <col min="9" max="9" width="21.7109375" style="38" customWidth="1"/>
    <col min="10" max="15" width="21.7109375" customWidth="1"/>
    <col min="16" max="17" width="21.7109375" style="38" customWidth="1"/>
    <col min="18" max="18" width="21.7109375" customWidth="1"/>
    <col min="19" max="19" width="21.7109375" style="38" customWidth="1"/>
    <col min="20" max="22" width="21.7109375" customWidth="1"/>
    <col min="23" max="27" width="21.7109375" style="38" customWidth="1"/>
    <col min="28" max="28" width="21.42578125" style="38" customWidth="1"/>
    <col min="29" max="33" width="21.7109375" style="38" customWidth="1"/>
    <col min="34" max="49" width="21.7109375" customWidth="1"/>
    <col min="50" max="51" width="21.7109375" style="38" customWidth="1"/>
    <col min="52" max="53" width="21.7109375" customWidth="1"/>
    <col min="54" max="56" width="21.7109375" style="38" customWidth="1"/>
    <col min="57" max="58" width="21.7109375" customWidth="1"/>
    <col min="59" max="61" width="21.7109375" style="38" customWidth="1"/>
    <col min="62" max="66" width="21.7109375" customWidth="1"/>
    <col min="67" max="67" width="21.7109375" style="38" customWidth="1"/>
    <col min="70" max="70" width="3.28515625" customWidth="1"/>
    <col min="71" max="71" width="21.7109375" customWidth="1"/>
    <col min="72" max="72" width="3.28515625" customWidth="1"/>
    <col min="73" max="75" width="22.85546875" bestFit="1" customWidth="1"/>
  </cols>
  <sheetData>
    <row r="1" spans="1:75" s="38" customFormat="1" ht="22.5" customHeight="1">
      <c r="A1" s="50" t="s">
        <v>68</v>
      </c>
      <c r="B1" s="101" t="s">
        <v>643</v>
      </c>
      <c r="C1" s="85" t="s">
        <v>3084</v>
      </c>
      <c r="D1" s="101" t="s">
        <v>3083</v>
      </c>
      <c r="E1" s="101" t="s">
        <v>1910</v>
      </c>
      <c r="F1" s="101" t="s">
        <v>1911</v>
      </c>
      <c r="G1" s="101" t="s">
        <v>634</v>
      </c>
      <c r="H1" s="101" t="s">
        <v>4167</v>
      </c>
      <c r="I1" s="101" t="s">
        <v>2685</v>
      </c>
      <c r="J1" s="101" t="s">
        <v>88</v>
      </c>
      <c r="K1" s="101" t="s">
        <v>2735</v>
      </c>
      <c r="L1" s="51" t="s">
        <v>3042</v>
      </c>
      <c r="M1" s="51" t="s">
        <v>3043</v>
      </c>
      <c r="N1" s="51" t="s">
        <v>1398</v>
      </c>
      <c r="O1" s="134" t="s">
        <v>618</v>
      </c>
      <c r="P1" s="102" t="s">
        <v>3798</v>
      </c>
      <c r="Q1" s="102" t="s">
        <v>3799</v>
      </c>
      <c r="R1" s="51" t="s">
        <v>1651</v>
      </c>
      <c r="S1" s="101" t="s">
        <v>1379</v>
      </c>
      <c r="T1" s="101" t="s">
        <v>221</v>
      </c>
      <c r="U1" s="101" t="s">
        <v>4024</v>
      </c>
      <c r="V1" s="101" t="s">
        <v>4023</v>
      </c>
      <c r="W1" s="101" t="s">
        <v>4025</v>
      </c>
      <c r="X1" s="51" t="s">
        <v>793</v>
      </c>
      <c r="Y1" s="86" t="s">
        <v>4016</v>
      </c>
      <c r="Z1" s="86" t="s">
        <v>4017</v>
      </c>
      <c r="AA1" s="86" t="s">
        <v>4018</v>
      </c>
      <c r="AB1" s="86" t="s">
        <v>4170</v>
      </c>
      <c r="AC1" s="51" t="s">
        <v>3649</v>
      </c>
      <c r="AD1" s="101" t="s">
        <v>2244</v>
      </c>
      <c r="AE1" s="101" t="s">
        <v>2243</v>
      </c>
      <c r="AF1" s="101" t="s">
        <v>2238</v>
      </c>
      <c r="AG1" s="101" t="s">
        <v>684</v>
      </c>
      <c r="AH1" s="51" t="s">
        <v>1127</v>
      </c>
      <c r="AI1" s="101" t="s">
        <v>157</v>
      </c>
      <c r="AJ1" s="101" t="s">
        <v>40</v>
      </c>
      <c r="AK1" s="101" t="s">
        <v>2451</v>
      </c>
      <c r="AL1" s="101" t="s">
        <v>84</v>
      </c>
      <c r="AM1" s="101" t="s">
        <v>469</v>
      </c>
      <c r="AN1" s="101" t="s">
        <v>308</v>
      </c>
      <c r="AO1" s="101" t="s">
        <v>104</v>
      </c>
      <c r="AP1" s="101" t="s">
        <v>3438</v>
      </c>
      <c r="AQ1" s="101" t="s">
        <v>3424</v>
      </c>
      <c r="AR1" s="101" t="s">
        <v>3437</v>
      </c>
      <c r="AS1" s="101" t="s">
        <v>152</v>
      </c>
      <c r="AT1" s="101" t="s">
        <v>527</v>
      </c>
      <c r="AU1" s="101" t="s">
        <v>528</v>
      </c>
      <c r="AV1" s="101" t="s">
        <v>1426</v>
      </c>
      <c r="AW1" s="101" t="s">
        <v>1425</v>
      </c>
      <c r="AX1" s="101" t="s">
        <v>261</v>
      </c>
      <c r="AY1" s="124" t="s">
        <v>2675</v>
      </c>
      <c r="AZ1" s="51" t="s">
        <v>3381</v>
      </c>
      <c r="BA1" s="86" t="s">
        <v>2596</v>
      </c>
      <c r="BB1" s="86" t="s">
        <v>2871</v>
      </c>
      <c r="BC1" s="51" t="s">
        <v>395</v>
      </c>
      <c r="BD1" s="102" t="s">
        <v>900</v>
      </c>
      <c r="BE1" s="103" t="s">
        <v>206</v>
      </c>
      <c r="BF1" s="103" t="s">
        <v>207</v>
      </c>
      <c r="BG1" s="101" t="s">
        <v>636</v>
      </c>
      <c r="BH1" s="101" t="s">
        <v>3186</v>
      </c>
      <c r="BI1" s="101" t="s">
        <v>3187</v>
      </c>
      <c r="BJ1" s="101" t="s">
        <v>3397</v>
      </c>
      <c r="BK1" s="101" t="s">
        <v>3398</v>
      </c>
      <c r="BL1" s="101" t="s">
        <v>2160</v>
      </c>
      <c r="BM1" s="101" t="s">
        <v>1577</v>
      </c>
      <c r="BN1" s="101" t="s">
        <v>1576</v>
      </c>
      <c r="BO1" s="101" t="s">
        <v>434</v>
      </c>
      <c r="BR1" s="35"/>
      <c r="BS1" s="35"/>
      <c r="BT1" s="35"/>
      <c r="BU1" s="35" t="s">
        <v>149</v>
      </c>
      <c r="BV1" s="35" t="s">
        <v>150</v>
      </c>
      <c r="BW1" s="35" t="s">
        <v>151</v>
      </c>
    </row>
    <row r="2" spans="1:75" s="14" customFormat="1" ht="22.5" customHeight="1">
      <c r="A2" s="53" t="s">
        <v>3745</v>
      </c>
      <c r="B2" s="54" t="s">
        <v>41</v>
      </c>
      <c r="C2" s="54" t="s">
        <v>3099</v>
      </c>
      <c r="D2" s="54" t="s">
        <v>3260</v>
      </c>
      <c r="E2" s="54" t="s">
        <v>3260</v>
      </c>
      <c r="F2" s="54" t="s">
        <v>3260</v>
      </c>
      <c r="G2" s="54" t="s">
        <v>41</v>
      </c>
      <c r="H2" s="123" t="s">
        <v>2629</v>
      </c>
      <c r="I2" s="54" t="s">
        <v>3039</v>
      </c>
      <c r="J2" s="54" t="s">
        <v>41</v>
      </c>
      <c r="K2" s="54" t="s">
        <v>41</v>
      </c>
      <c r="L2" s="54" t="s">
        <v>3049</v>
      </c>
      <c r="M2" s="54" t="s">
        <v>3049</v>
      </c>
      <c r="N2" s="54" t="s">
        <v>1909</v>
      </c>
      <c r="O2" s="54" t="s">
        <v>2818</v>
      </c>
      <c r="P2" s="54" t="s">
        <v>41</v>
      </c>
      <c r="Q2" s="54" t="s">
        <v>39</v>
      </c>
      <c r="R2" s="54" t="s">
        <v>3018</v>
      </c>
      <c r="S2" s="54" t="s">
        <v>39</v>
      </c>
      <c r="T2" s="54" t="s">
        <v>3738</v>
      </c>
      <c r="U2" s="123" t="s">
        <v>41</v>
      </c>
      <c r="V2" s="123" t="s">
        <v>41</v>
      </c>
      <c r="W2" s="123" t="s">
        <v>690</v>
      </c>
      <c r="X2" s="54" t="s">
        <v>4022</v>
      </c>
      <c r="Y2" s="54" t="s">
        <v>39</v>
      </c>
      <c r="Z2" s="54" t="s">
        <v>2140</v>
      </c>
      <c r="AA2" s="54" t="s">
        <v>4019</v>
      </c>
      <c r="AB2" s="54" t="s">
        <v>41</v>
      </c>
      <c r="AC2" s="54" t="s">
        <v>4020</v>
      </c>
      <c r="AD2" s="54" t="s">
        <v>39</v>
      </c>
      <c r="AE2" s="54" t="s">
        <v>39</v>
      </c>
      <c r="AF2" s="54" t="s">
        <v>1765</v>
      </c>
      <c r="AG2" s="54" t="s">
        <v>1765</v>
      </c>
      <c r="AH2" s="54" t="s">
        <v>41</v>
      </c>
      <c r="AI2" s="54" t="s">
        <v>41</v>
      </c>
      <c r="AJ2" s="54" t="s">
        <v>1765</v>
      </c>
      <c r="AK2" s="54" t="s">
        <v>1765</v>
      </c>
      <c r="AL2" s="54" t="s">
        <v>1878</v>
      </c>
      <c r="AM2" s="54" t="s">
        <v>2140</v>
      </c>
      <c r="AN2" s="54" t="s">
        <v>2140</v>
      </c>
      <c r="AO2" s="54" t="s">
        <v>1765</v>
      </c>
      <c r="AP2" s="54" t="s">
        <v>1765</v>
      </c>
      <c r="AQ2" s="54" t="s">
        <v>1765</v>
      </c>
      <c r="AR2" s="54" t="s">
        <v>1765</v>
      </c>
      <c r="AS2" s="54" t="s">
        <v>39</v>
      </c>
      <c r="AT2" s="54" t="s">
        <v>41</v>
      </c>
      <c r="AU2" s="54" t="s">
        <v>41</v>
      </c>
      <c r="AV2" s="54" t="s">
        <v>1492</v>
      </c>
      <c r="AW2" s="54" t="s">
        <v>690</v>
      </c>
      <c r="AX2" s="54" t="s">
        <v>362</v>
      </c>
      <c r="AY2" s="54" t="s">
        <v>2901</v>
      </c>
      <c r="AZ2" s="54" t="s">
        <v>3394</v>
      </c>
      <c r="BA2" s="54" t="s">
        <v>2616</v>
      </c>
      <c r="BB2" s="54" t="s">
        <v>41</v>
      </c>
      <c r="BC2" s="54" t="s">
        <v>883</v>
      </c>
      <c r="BD2" s="54" t="s">
        <v>883</v>
      </c>
      <c r="BE2" s="54" t="s">
        <v>1303</v>
      </c>
      <c r="BF2" s="54" t="s">
        <v>1303</v>
      </c>
      <c r="BG2" s="54" t="s">
        <v>3015</v>
      </c>
      <c r="BH2" s="54" t="s">
        <v>41</v>
      </c>
      <c r="BI2" s="54" t="s">
        <v>41</v>
      </c>
      <c r="BJ2" s="54" t="s">
        <v>3411</v>
      </c>
      <c r="BK2" s="54" t="s">
        <v>2140</v>
      </c>
      <c r="BL2" s="54" t="s">
        <v>2161</v>
      </c>
      <c r="BM2" s="54" t="s">
        <v>938</v>
      </c>
      <c r="BN2" s="54" t="s">
        <v>938</v>
      </c>
      <c r="BO2" s="54" t="s">
        <v>41</v>
      </c>
      <c r="BR2" s="30">
        <v>1</v>
      </c>
      <c r="BS2" s="99" t="s">
        <v>152</v>
      </c>
      <c r="BT2" s="30"/>
      <c r="BU2" s="30">
        <v>1</v>
      </c>
      <c r="BV2" s="30">
        <v>1</v>
      </c>
      <c r="BW2" s="30">
        <v>1</v>
      </c>
    </row>
    <row r="3" spans="1:75" s="2" customFormat="1" ht="11.25" customHeight="1">
      <c r="A3" s="95" t="s">
        <v>688</v>
      </c>
      <c r="B3" s="94"/>
      <c r="C3" s="94" t="s">
        <v>3098</v>
      </c>
      <c r="D3" s="94" t="s">
        <v>3100</v>
      </c>
      <c r="E3" s="94" t="s">
        <v>1933</v>
      </c>
      <c r="F3" s="94" t="s">
        <v>1933</v>
      </c>
      <c r="G3" s="94" t="s">
        <v>3644</v>
      </c>
      <c r="H3" s="94" t="s">
        <v>2651</v>
      </c>
      <c r="I3" s="94" t="s">
        <v>3038</v>
      </c>
      <c r="J3" s="94" t="s">
        <v>1214</v>
      </c>
      <c r="K3" s="94" t="s">
        <v>1214</v>
      </c>
      <c r="L3" s="94" t="s">
        <v>3047</v>
      </c>
      <c r="M3" s="94" t="s">
        <v>3047</v>
      </c>
      <c r="N3" s="94" t="s">
        <v>1908</v>
      </c>
      <c r="O3" s="94" t="s">
        <v>2814</v>
      </c>
      <c r="P3" s="94" t="s">
        <v>1278</v>
      </c>
      <c r="Q3" s="94" t="s">
        <v>1875</v>
      </c>
      <c r="R3" s="94" t="s">
        <v>1686</v>
      </c>
      <c r="S3" s="94" t="s">
        <v>1391</v>
      </c>
      <c r="T3" s="94" t="s">
        <v>3737</v>
      </c>
      <c r="U3" s="94" t="s">
        <v>4043</v>
      </c>
      <c r="V3" s="94" t="s">
        <v>4043</v>
      </c>
      <c r="W3" s="94" t="s">
        <v>4082</v>
      </c>
      <c r="X3" s="94" t="s">
        <v>2939</v>
      </c>
      <c r="Y3" s="94" t="s">
        <v>1875</v>
      </c>
      <c r="Z3" s="94" t="s">
        <v>3850</v>
      </c>
      <c r="AA3" s="94" t="s">
        <v>3851</v>
      </c>
      <c r="AB3" s="94" t="s">
        <v>4172</v>
      </c>
      <c r="AC3" s="94" t="s">
        <v>1214</v>
      </c>
      <c r="AD3" s="94" t="s">
        <v>2437</v>
      </c>
      <c r="AE3" s="94" t="s">
        <v>2437</v>
      </c>
      <c r="AF3" s="94" t="s">
        <v>2343</v>
      </c>
      <c r="AG3" s="94" t="s">
        <v>2279</v>
      </c>
      <c r="AH3" s="94" t="s">
        <v>1146</v>
      </c>
      <c r="AI3" s="94"/>
      <c r="AJ3" s="94" t="s">
        <v>2553</v>
      </c>
      <c r="AK3" s="94" t="s">
        <v>2513</v>
      </c>
      <c r="AL3" s="94" t="s">
        <v>1257</v>
      </c>
      <c r="AM3" s="94" t="s">
        <v>3374</v>
      </c>
      <c r="AN3" s="94" t="s">
        <v>3282</v>
      </c>
      <c r="AO3" s="94" t="s">
        <v>3558</v>
      </c>
      <c r="AP3" s="94" t="s">
        <v>3558</v>
      </c>
      <c r="AQ3" s="94" t="s">
        <v>3558</v>
      </c>
      <c r="AR3" s="94" t="s">
        <v>3558</v>
      </c>
      <c r="AS3" s="94"/>
      <c r="AT3" s="94"/>
      <c r="AU3" s="94"/>
      <c r="AV3" s="94" t="s">
        <v>1491</v>
      </c>
      <c r="AW3" s="94" t="s">
        <v>1437</v>
      </c>
      <c r="AX3" s="94"/>
      <c r="AY3" s="94" t="s">
        <v>2900</v>
      </c>
      <c r="AZ3" s="94" t="s">
        <v>3393</v>
      </c>
      <c r="BA3" s="94" t="s">
        <v>1257</v>
      </c>
      <c r="BB3" s="94" t="s">
        <v>2856</v>
      </c>
      <c r="BC3" s="94" t="s">
        <v>884</v>
      </c>
      <c r="BD3" s="94" t="s">
        <v>884</v>
      </c>
      <c r="BE3" s="94" t="s">
        <v>1300</v>
      </c>
      <c r="BF3" s="94" t="s">
        <v>1300</v>
      </c>
      <c r="BG3" s="94" t="s">
        <v>763</v>
      </c>
      <c r="BH3" s="94" t="s">
        <v>3195</v>
      </c>
      <c r="BI3" s="94" t="s">
        <v>3194</v>
      </c>
      <c r="BJ3" s="94" t="s">
        <v>2136</v>
      </c>
      <c r="BK3" s="94" t="s">
        <v>2137</v>
      </c>
      <c r="BL3" s="94" t="s">
        <v>2217</v>
      </c>
      <c r="BM3" s="94" t="s">
        <v>1616</v>
      </c>
      <c r="BN3" s="94" t="s">
        <v>1616</v>
      </c>
      <c r="BO3" s="94"/>
      <c r="BR3" s="35">
        <v>2</v>
      </c>
      <c r="BS3" s="97" t="s">
        <v>643</v>
      </c>
      <c r="BT3" s="35"/>
      <c r="BU3" s="35"/>
      <c r="BV3" s="35"/>
      <c r="BW3" s="35"/>
    </row>
    <row r="4" spans="1:75" s="14" customFormat="1" ht="156.75" customHeight="1">
      <c r="A4" s="53" t="s">
        <v>644</v>
      </c>
      <c r="B4" s="54" t="s">
        <v>39</v>
      </c>
      <c r="C4" s="54" t="s">
        <v>3095</v>
      </c>
      <c r="D4" s="54" t="s">
        <v>3095</v>
      </c>
      <c r="E4" s="54" t="s">
        <v>1934</v>
      </c>
      <c r="F4" s="54" t="s">
        <v>1920</v>
      </c>
      <c r="G4" s="54" t="s">
        <v>3645</v>
      </c>
      <c r="H4" s="123" t="s">
        <v>2648</v>
      </c>
      <c r="I4" s="54" t="s">
        <v>3037</v>
      </c>
      <c r="J4" s="54" t="s">
        <v>530</v>
      </c>
      <c r="K4" s="54" t="s">
        <v>530</v>
      </c>
      <c r="L4" s="54" t="s">
        <v>3067</v>
      </c>
      <c r="M4" s="54" t="s">
        <v>3067</v>
      </c>
      <c r="N4" s="54" t="s">
        <v>530</v>
      </c>
      <c r="O4" s="54" t="s">
        <v>2817</v>
      </c>
      <c r="P4" s="54" t="s">
        <v>3801</v>
      </c>
      <c r="Q4" s="54" t="s">
        <v>530</v>
      </c>
      <c r="R4" s="54" t="s">
        <v>530</v>
      </c>
      <c r="S4" s="54" t="s">
        <v>530</v>
      </c>
      <c r="T4" s="54" t="s">
        <v>3739</v>
      </c>
      <c r="U4" s="123" t="s">
        <v>4131</v>
      </c>
      <c r="V4" s="123" t="s">
        <v>4028</v>
      </c>
      <c r="W4" s="123" t="s">
        <v>4028</v>
      </c>
      <c r="X4" s="54" t="s">
        <v>2938</v>
      </c>
      <c r="Y4" s="54" t="s">
        <v>530</v>
      </c>
      <c r="Z4" s="54" t="s">
        <v>530</v>
      </c>
      <c r="AA4" s="54" t="s">
        <v>3852</v>
      </c>
      <c r="AB4" s="54" t="s">
        <v>4171</v>
      </c>
      <c r="AC4" s="54" t="s">
        <v>3682</v>
      </c>
      <c r="AD4" s="54" t="s">
        <v>530</v>
      </c>
      <c r="AE4" s="54" t="s">
        <v>530</v>
      </c>
      <c r="AF4" s="54" t="s">
        <v>2282</v>
      </c>
      <c r="AG4" s="54" t="s">
        <v>2282</v>
      </c>
      <c r="AH4" s="54" t="s">
        <v>530</v>
      </c>
      <c r="AI4" s="54" t="s">
        <v>39</v>
      </c>
      <c r="AJ4" s="54" t="s">
        <v>1766</v>
      </c>
      <c r="AK4" s="54" t="s">
        <v>2556</v>
      </c>
      <c r="AL4" s="54" t="s">
        <v>530</v>
      </c>
      <c r="AM4" s="54" t="s">
        <v>530</v>
      </c>
      <c r="AN4" s="54" t="s">
        <v>3283</v>
      </c>
      <c r="AO4" s="54" t="s">
        <v>3561</v>
      </c>
      <c r="AP4" s="54" t="s">
        <v>3561</v>
      </c>
      <c r="AQ4" s="54" t="s">
        <v>3494</v>
      </c>
      <c r="AR4" s="54" t="s">
        <v>3494</v>
      </c>
      <c r="AS4" s="54" t="s">
        <v>39</v>
      </c>
      <c r="AT4" s="54" t="s">
        <v>530</v>
      </c>
      <c r="AU4" s="54" t="s">
        <v>530</v>
      </c>
      <c r="AV4" s="54" t="s">
        <v>530</v>
      </c>
      <c r="AW4" s="54" t="s">
        <v>1438</v>
      </c>
      <c r="AX4" s="54" t="s">
        <v>363</v>
      </c>
      <c r="AY4" s="54" t="s">
        <v>2615</v>
      </c>
      <c r="AZ4" s="54" t="s">
        <v>2615</v>
      </c>
      <c r="BA4" s="54" t="s">
        <v>2615</v>
      </c>
      <c r="BB4" s="54" t="s">
        <v>530</v>
      </c>
      <c r="BC4" s="54" t="s">
        <v>863</v>
      </c>
      <c r="BD4" s="54" t="s">
        <v>863</v>
      </c>
      <c r="BE4" s="54" t="s">
        <v>1362</v>
      </c>
      <c r="BF4" s="54" t="s">
        <v>1301</v>
      </c>
      <c r="BG4" s="54" t="s">
        <v>530</v>
      </c>
      <c r="BH4" s="54" t="s">
        <v>3199</v>
      </c>
      <c r="BI4" s="54" t="s">
        <v>3198</v>
      </c>
      <c r="BJ4" s="54" t="s">
        <v>2138</v>
      </c>
      <c r="BK4" s="54" t="s">
        <v>2138</v>
      </c>
      <c r="BL4" s="54" t="s">
        <v>2212</v>
      </c>
      <c r="BM4" s="54" t="s">
        <v>1595</v>
      </c>
      <c r="BN4" s="54" t="s">
        <v>1595</v>
      </c>
      <c r="BO4" s="54" t="s">
        <v>41</v>
      </c>
      <c r="BR4" s="30">
        <v>3</v>
      </c>
      <c r="BS4" s="99" t="s">
        <v>3083</v>
      </c>
      <c r="BT4" s="30"/>
      <c r="BU4" s="30" t="str">
        <f>VLOOKUP(BU2,AuswMatrix,2)</f>
        <v>Keine</v>
      </c>
      <c r="BV4" s="30" t="str">
        <f>VLOOKUP(BV2,AuswMatrix,2)</f>
        <v>Keine</v>
      </c>
      <c r="BW4" s="30" t="str">
        <f>VLOOKUP(BW2,AuswMatrix,2)</f>
        <v>Keine</v>
      </c>
    </row>
    <row r="5" spans="1:75" s="2" customFormat="1" ht="11.25" customHeight="1">
      <c r="A5" s="95" t="s">
        <v>688</v>
      </c>
      <c r="B5" s="94"/>
      <c r="C5" s="94" t="s">
        <v>3096</v>
      </c>
      <c r="D5" s="94" t="s">
        <v>3096</v>
      </c>
      <c r="E5" s="94" t="s">
        <v>1932</v>
      </c>
      <c r="F5" s="94" t="s">
        <v>1958</v>
      </c>
      <c r="G5" s="94" t="s">
        <v>3644</v>
      </c>
      <c r="H5" s="94" t="s">
        <v>2649</v>
      </c>
      <c r="I5" s="94" t="s">
        <v>3035</v>
      </c>
      <c r="J5" s="94" t="s">
        <v>1257</v>
      </c>
      <c r="K5" s="94" t="s">
        <v>1257</v>
      </c>
      <c r="L5" s="94" t="s">
        <v>3048</v>
      </c>
      <c r="M5" s="94" t="s">
        <v>3048</v>
      </c>
      <c r="N5" s="94" t="s">
        <v>1908</v>
      </c>
      <c r="O5" s="94" t="s">
        <v>2813</v>
      </c>
      <c r="P5" s="94" t="s">
        <v>1278</v>
      </c>
      <c r="Q5" s="94" t="s">
        <v>1257</v>
      </c>
      <c r="R5" s="94" t="s">
        <v>1686</v>
      </c>
      <c r="S5" s="94" t="s">
        <v>1391</v>
      </c>
      <c r="T5" s="94" t="s">
        <v>3740</v>
      </c>
      <c r="U5" s="94" t="s">
        <v>4043</v>
      </c>
      <c r="V5" s="94" t="s">
        <v>4042</v>
      </c>
      <c r="W5" s="94" t="s">
        <v>4042</v>
      </c>
      <c r="X5" s="94" t="s">
        <v>803</v>
      </c>
      <c r="Y5" s="94" t="s">
        <v>1257</v>
      </c>
      <c r="Z5" s="94" t="s">
        <v>1257</v>
      </c>
      <c r="AA5" s="94" t="s">
        <v>3853</v>
      </c>
      <c r="AB5" s="94" t="s">
        <v>4172</v>
      </c>
      <c r="AC5" s="94" t="s">
        <v>3680</v>
      </c>
      <c r="AD5" s="94" t="s">
        <v>2436</v>
      </c>
      <c r="AE5" s="94" t="s">
        <v>2436</v>
      </c>
      <c r="AF5" s="94" t="s">
        <v>2346</v>
      </c>
      <c r="AG5" s="94" t="s">
        <v>2280</v>
      </c>
      <c r="AH5" s="94" t="s">
        <v>1161</v>
      </c>
      <c r="AI5" s="94"/>
      <c r="AJ5" s="94" t="s">
        <v>2555</v>
      </c>
      <c r="AK5" s="94" t="s">
        <v>2554</v>
      </c>
      <c r="AL5" s="94" t="s">
        <v>1257</v>
      </c>
      <c r="AM5" s="94" t="s">
        <v>3375</v>
      </c>
      <c r="AN5" s="94" t="s">
        <v>3284</v>
      </c>
      <c r="AO5" s="94" t="s">
        <v>3493</v>
      </c>
      <c r="AP5" s="94" t="s">
        <v>3493</v>
      </c>
      <c r="AQ5" s="94" t="s">
        <v>3493</v>
      </c>
      <c r="AR5" s="94" t="s">
        <v>3493</v>
      </c>
      <c r="AS5" s="94"/>
      <c r="AT5" s="94"/>
      <c r="AU5" s="94"/>
      <c r="AV5" s="94" t="s">
        <v>1493</v>
      </c>
      <c r="AW5" s="94" t="s">
        <v>1439</v>
      </c>
      <c r="AX5" s="94"/>
      <c r="AY5" s="94" t="s">
        <v>1257</v>
      </c>
      <c r="AZ5" s="94" t="s">
        <v>1257</v>
      </c>
      <c r="BA5" s="94" t="s">
        <v>1257</v>
      </c>
      <c r="BB5" s="94" t="s">
        <v>1734</v>
      </c>
      <c r="BC5" s="94" t="s">
        <v>2934</v>
      </c>
      <c r="BD5" s="94" t="s">
        <v>2934</v>
      </c>
      <c r="BE5" s="94" t="s">
        <v>1302</v>
      </c>
      <c r="BF5" s="94" t="s">
        <v>1361</v>
      </c>
      <c r="BG5" s="94" t="s">
        <v>763</v>
      </c>
      <c r="BH5" s="94" t="s">
        <v>3197</v>
      </c>
      <c r="BI5" s="94" t="s">
        <v>3196</v>
      </c>
      <c r="BJ5" s="94" t="s">
        <v>2136</v>
      </c>
      <c r="BK5" s="94" t="s">
        <v>2136</v>
      </c>
      <c r="BL5" s="94" t="s">
        <v>2216</v>
      </c>
      <c r="BM5" s="94" t="s">
        <v>1615</v>
      </c>
      <c r="BN5" s="94" t="s">
        <v>1615</v>
      </c>
      <c r="BO5" s="94"/>
      <c r="BR5" s="30">
        <v>4</v>
      </c>
      <c r="BS5" s="99" t="s">
        <v>3084</v>
      </c>
      <c r="BT5" s="35"/>
      <c r="BU5" s="35"/>
      <c r="BV5" s="35"/>
      <c r="BW5" s="35"/>
    </row>
    <row r="6" spans="1:75" s="14" customFormat="1" ht="22.5" customHeight="1">
      <c r="A6" s="53" t="s">
        <v>31</v>
      </c>
      <c r="B6" s="54" t="s">
        <v>271</v>
      </c>
      <c r="C6" s="54" t="s">
        <v>271</v>
      </c>
      <c r="D6" s="54" t="s">
        <v>271</v>
      </c>
      <c r="E6" s="54" t="s">
        <v>271</v>
      </c>
      <c r="F6" s="54" t="s">
        <v>271</v>
      </c>
      <c r="G6" s="54" t="s">
        <v>271</v>
      </c>
      <c r="H6" s="123" t="s">
        <v>271</v>
      </c>
      <c r="I6" s="54" t="s">
        <v>41</v>
      </c>
      <c r="J6" s="54" t="s">
        <v>2739</v>
      </c>
      <c r="K6" s="54" t="s">
        <v>2739</v>
      </c>
      <c r="L6" s="54" t="s">
        <v>1767</v>
      </c>
      <c r="M6" s="54" t="s">
        <v>1767</v>
      </c>
      <c r="N6" s="54" t="s">
        <v>1907</v>
      </c>
      <c r="O6" s="54" t="s">
        <v>2819</v>
      </c>
      <c r="P6" s="54" t="s">
        <v>3802</v>
      </c>
      <c r="Q6" s="54" t="s">
        <v>1683</v>
      </c>
      <c r="R6" s="54" t="s">
        <v>1683</v>
      </c>
      <c r="S6" s="54" t="s">
        <v>1148</v>
      </c>
      <c r="T6" s="54" t="s">
        <v>1754</v>
      </c>
      <c r="U6" s="123" t="s">
        <v>1767</v>
      </c>
      <c r="V6" s="123" t="s">
        <v>1767</v>
      </c>
      <c r="W6" s="123" t="s">
        <v>1767</v>
      </c>
      <c r="X6" s="54" t="s">
        <v>1767</v>
      </c>
      <c r="Y6" s="54" t="s">
        <v>1148</v>
      </c>
      <c r="Z6" s="54" t="s">
        <v>3854</v>
      </c>
      <c r="AA6" s="54" t="s">
        <v>3854</v>
      </c>
      <c r="AB6" s="54" t="s">
        <v>1767</v>
      </c>
      <c r="AC6" s="54" t="s">
        <v>1767</v>
      </c>
      <c r="AD6" s="54" t="s">
        <v>1148</v>
      </c>
      <c r="AE6" s="54" t="s">
        <v>1148</v>
      </c>
      <c r="AF6" s="54" t="s">
        <v>1767</v>
      </c>
      <c r="AG6" s="54" t="s">
        <v>1767</v>
      </c>
      <c r="AH6" s="54" t="s">
        <v>1148</v>
      </c>
      <c r="AI6" s="54" t="s">
        <v>41</v>
      </c>
      <c r="AJ6" s="54" t="s">
        <v>1767</v>
      </c>
      <c r="AK6" s="54" t="s">
        <v>1767</v>
      </c>
      <c r="AL6" s="54" t="s">
        <v>1767</v>
      </c>
      <c r="AM6" s="54" t="s">
        <v>3373</v>
      </c>
      <c r="AN6" s="54" t="s">
        <v>1767</v>
      </c>
      <c r="AO6" s="54" t="s">
        <v>364</v>
      </c>
      <c r="AP6" s="54" t="s">
        <v>364</v>
      </c>
      <c r="AQ6" s="54" t="s">
        <v>41</v>
      </c>
      <c r="AR6" s="54" t="s">
        <v>41</v>
      </c>
      <c r="AS6" s="54" t="s">
        <v>39</v>
      </c>
      <c r="AT6" s="54" t="s">
        <v>41</v>
      </c>
      <c r="AU6" s="54" t="s">
        <v>41</v>
      </c>
      <c r="AV6" s="54" t="s">
        <v>39</v>
      </c>
      <c r="AW6" s="54" t="s">
        <v>364</v>
      </c>
      <c r="AX6" s="54" t="s">
        <v>364</v>
      </c>
      <c r="AY6" s="54" t="s">
        <v>1148</v>
      </c>
      <c r="AZ6" s="54" t="s">
        <v>1683</v>
      </c>
      <c r="BA6" s="54" t="s">
        <v>1683</v>
      </c>
      <c r="BB6" s="54" t="s">
        <v>2739</v>
      </c>
      <c r="BC6" s="54" t="s">
        <v>1683</v>
      </c>
      <c r="BD6" s="54" t="s">
        <v>1683</v>
      </c>
      <c r="BE6" s="54" t="s">
        <v>1299</v>
      </c>
      <c r="BF6" s="54" t="s">
        <v>1299</v>
      </c>
      <c r="BG6" s="54" t="s">
        <v>41</v>
      </c>
      <c r="BH6" s="54" t="s">
        <v>1299</v>
      </c>
      <c r="BI6" s="54" t="s">
        <v>1299</v>
      </c>
      <c r="BJ6" s="54" t="s">
        <v>3427</v>
      </c>
      <c r="BK6" s="54" t="s">
        <v>3427</v>
      </c>
      <c r="BL6" s="54" t="s">
        <v>1299</v>
      </c>
      <c r="BM6" s="54" t="s">
        <v>1299</v>
      </c>
      <c r="BN6" s="54" t="s">
        <v>1299</v>
      </c>
      <c r="BO6" s="54" t="s">
        <v>438</v>
      </c>
      <c r="BR6" s="30">
        <v>5</v>
      </c>
      <c r="BS6" s="99" t="s">
        <v>1910</v>
      </c>
      <c r="BT6" s="30"/>
      <c r="BU6" s="110"/>
      <c r="BV6" s="110"/>
      <c r="BW6" s="110"/>
    </row>
    <row r="7" spans="1:75" s="2" customFormat="1" ht="11.25" customHeight="1">
      <c r="A7" s="95" t="s">
        <v>688</v>
      </c>
      <c r="B7" s="94"/>
      <c r="C7" s="94" t="s">
        <v>3097</v>
      </c>
      <c r="D7" s="94" t="s">
        <v>3097</v>
      </c>
      <c r="E7" s="94" t="s">
        <v>1928</v>
      </c>
      <c r="F7" s="94" t="s">
        <v>1959</v>
      </c>
      <c r="G7" s="94" t="s">
        <v>3644</v>
      </c>
      <c r="H7" s="94" t="s">
        <v>2650</v>
      </c>
      <c r="I7" s="94" t="s">
        <v>2732</v>
      </c>
      <c r="J7" s="94" t="s">
        <v>1214</v>
      </c>
      <c r="K7" s="94" t="s">
        <v>1214</v>
      </c>
      <c r="L7" s="94" t="s">
        <v>2501</v>
      </c>
      <c r="M7" s="94" t="s">
        <v>2501</v>
      </c>
      <c r="N7" s="94" t="s">
        <v>1257</v>
      </c>
      <c r="O7" s="94" t="s">
        <v>2812</v>
      </c>
      <c r="P7" s="94" t="s">
        <v>1278</v>
      </c>
      <c r="Q7" s="94" t="s">
        <v>1390</v>
      </c>
      <c r="R7" s="94" t="s">
        <v>1684</v>
      </c>
      <c r="S7" s="94" t="s">
        <v>1390</v>
      </c>
      <c r="T7" s="94" t="s">
        <v>1390</v>
      </c>
      <c r="U7" s="94" t="s">
        <v>4043</v>
      </c>
      <c r="V7" s="94" t="s">
        <v>4043</v>
      </c>
      <c r="W7" s="94" t="s">
        <v>4043</v>
      </c>
      <c r="X7" s="94" t="s">
        <v>804</v>
      </c>
      <c r="Y7" s="94" t="s">
        <v>1390</v>
      </c>
      <c r="Z7" s="94" t="s">
        <v>3855</v>
      </c>
      <c r="AA7" s="94" t="s">
        <v>3856</v>
      </c>
      <c r="AB7" s="94" t="s">
        <v>4173</v>
      </c>
      <c r="AC7" s="94" t="s">
        <v>3681</v>
      </c>
      <c r="AD7" s="94" t="s">
        <v>2438</v>
      </c>
      <c r="AE7" s="94" t="s">
        <v>2438</v>
      </c>
      <c r="AF7" s="94" t="s">
        <v>2347</v>
      </c>
      <c r="AG7" s="94" t="s">
        <v>2281</v>
      </c>
      <c r="AH7" s="94" t="s">
        <v>1146</v>
      </c>
      <c r="AI7" s="94"/>
      <c r="AJ7" s="94" t="s">
        <v>2557</v>
      </c>
      <c r="AK7" s="94" t="s">
        <v>2514</v>
      </c>
      <c r="AL7" s="94" t="s">
        <v>1257</v>
      </c>
      <c r="AM7" s="94" t="s">
        <v>3372</v>
      </c>
      <c r="AN7" s="94" t="s">
        <v>3281</v>
      </c>
      <c r="AO7" s="94" t="s">
        <v>3530</v>
      </c>
      <c r="AP7" s="94" t="s">
        <v>3530</v>
      </c>
      <c r="AQ7" s="94" t="s">
        <v>3530</v>
      </c>
      <c r="AR7" s="94" t="s">
        <v>3530</v>
      </c>
      <c r="AS7" s="94"/>
      <c r="AT7" s="94"/>
      <c r="AU7" s="94"/>
      <c r="AV7" s="94" t="s">
        <v>39</v>
      </c>
      <c r="AW7" s="94" t="s">
        <v>1436</v>
      </c>
      <c r="AX7" s="94"/>
      <c r="AY7" s="94" t="s">
        <v>1390</v>
      </c>
      <c r="AZ7" s="94" t="s">
        <v>1390</v>
      </c>
      <c r="BA7" s="94" t="s">
        <v>1390</v>
      </c>
      <c r="BB7" s="94" t="s">
        <v>2856</v>
      </c>
      <c r="BC7" s="94" t="s">
        <v>2935</v>
      </c>
      <c r="BD7" s="94" t="s">
        <v>2935</v>
      </c>
      <c r="BE7" s="94" t="s">
        <v>1298</v>
      </c>
      <c r="BF7" s="94" t="s">
        <v>1298</v>
      </c>
      <c r="BG7" s="94" t="s">
        <v>764</v>
      </c>
      <c r="BH7" s="94" t="s">
        <v>3218</v>
      </c>
      <c r="BI7" s="94" t="s">
        <v>3218</v>
      </c>
      <c r="BJ7" s="94" t="s">
        <v>2136</v>
      </c>
      <c r="BK7" s="94" t="s">
        <v>2136</v>
      </c>
      <c r="BL7" s="94" t="s">
        <v>2211</v>
      </c>
      <c r="BM7" s="94" t="s">
        <v>1594</v>
      </c>
      <c r="BN7" s="94" t="s">
        <v>1594</v>
      </c>
      <c r="BO7" s="94"/>
      <c r="BR7" s="30">
        <v>6</v>
      </c>
      <c r="BS7" s="99" t="s">
        <v>1911</v>
      </c>
      <c r="BT7" s="35"/>
      <c r="BU7" s="35"/>
      <c r="BV7" s="35"/>
      <c r="BW7" s="35"/>
    </row>
    <row r="8" spans="1:75" s="14" customFormat="1" ht="22.5" customHeight="1">
      <c r="A8" s="53" t="s">
        <v>3188</v>
      </c>
      <c r="B8" s="54" t="s">
        <v>41</v>
      </c>
      <c r="C8" s="54" t="s">
        <v>901</v>
      </c>
      <c r="D8" s="54" t="s">
        <v>901</v>
      </c>
      <c r="E8" s="54" t="s">
        <v>41</v>
      </c>
      <c r="F8" s="54" t="s">
        <v>41</v>
      </c>
      <c r="G8" s="54" t="s">
        <v>41</v>
      </c>
      <c r="H8" s="123" t="s">
        <v>901</v>
      </c>
      <c r="I8" s="54" t="s">
        <v>901</v>
      </c>
      <c r="J8" s="54" t="s">
        <v>901</v>
      </c>
      <c r="K8" s="54" t="s">
        <v>901</v>
      </c>
      <c r="L8" s="54" t="s">
        <v>901</v>
      </c>
      <c r="M8" s="54" t="s">
        <v>901</v>
      </c>
      <c r="N8" s="54" t="s">
        <v>901</v>
      </c>
      <c r="O8" s="54" t="s">
        <v>2820</v>
      </c>
      <c r="P8" s="54" t="s">
        <v>41</v>
      </c>
      <c r="Q8" s="54" t="s">
        <v>41</v>
      </c>
      <c r="R8" s="54" t="s">
        <v>41</v>
      </c>
      <c r="S8" s="54" t="s">
        <v>39</v>
      </c>
      <c r="T8" s="54" t="s">
        <v>3741</v>
      </c>
      <c r="U8" s="123" t="s">
        <v>41</v>
      </c>
      <c r="V8" s="123" t="s">
        <v>41</v>
      </c>
      <c r="W8" s="123" t="s">
        <v>41</v>
      </c>
      <c r="X8" s="54" t="s">
        <v>3286</v>
      </c>
      <c r="Y8" s="54" t="s">
        <v>39</v>
      </c>
      <c r="Z8" s="54" t="s">
        <v>41</v>
      </c>
      <c r="AA8" s="54" t="s">
        <v>41</v>
      </c>
      <c r="AB8" s="54" t="s">
        <v>4174</v>
      </c>
      <c r="AC8" s="54" t="s">
        <v>41</v>
      </c>
      <c r="AD8" s="54" t="s">
        <v>3741</v>
      </c>
      <c r="AE8" s="54" t="s">
        <v>3741</v>
      </c>
      <c r="AF8" s="54" t="s">
        <v>3741</v>
      </c>
      <c r="AG8" s="54" t="s">
        <v>3286</v>
      </c>
      <c r="AH8" s="54" t="s">
        <v>41</v>
      </c>
      <c r="AI8" s="54" t="s">
        <v>41</v>
      </c>
      <c r="AJ8" s="54" t="s">
        <v>3286</v>
      </c>
      <c r="AK8" s="54" t="s">
        <v>3286</v>
      </c>
      <c r="AL8" s="54" t="s">
        <v>3741</v>
      </c>
      <c r="AM8" s="54" t="s">
        <v>3286</v>
      </c>
      <c r="AN8" s="54" t="s">
        <v>3286</v>
      </c>
      <c r="AO8" s="54" t="s">
        <v>1292</v>
      </c>
      <c r="AP8" s="54" t="s">
        <v>1292</v>
      </c>
      <c r="AQ8" s="54" t="s">
        <v>1292</v>
      </c>
      <c r="AR8" s="54" t="s">
        <v>1292</v>
      </c>
      <c r="AS8" s="54" t="s">
        <v>39</v>
      </c>
      <c r="AT8" s="54" t="s">
        <v>41</v>
      </c>
      <c r="AU8" s="54" t="s">
        <v>41</v>
      </c>
      <c r="AV8" s="54" t="s">
        <v>41</v>
      </c>
      <c r="AW8" s="54" t="s">
        <v>41</v>
      </c>
      <c r="AX8" s="54" t="s">
        <v>365</v>
      </c>
      <c r="AY8" s="54" t="s">
        <v>2892</v>
      </c>
      <c r="AZ8" s="54" t="s">
        <v>901</v>
      </c>
      <c r="BA8" s="54" t="s">
        <v>901</v>
      </c>
      <c r="BB8" s="54" t="s">
        <v>901</v>
      </c>
      <c r="BC8" s="54" t="s">
        <v>901</v>
      </c>
      <c r="BD8" s="54" t="s">
        <v>901</v>
      </c>
      <c r="BE8" s="54" t="s">
        <v>1292</v>
      </c>
      <c r="BF8" s="54" t="s">
        <v>1292</v>
      </c>
      <c r="BG8" s="54" t="s">
        <v>2958</v>
      </c>
      <c r="BH8" s="54" t="s">
        <v>3208</v>
      </c>
      <c r="BI8" s="54" t="s">
        <v>3208</v>
      </c>
      <c r="BJ8" s="54" t="s">
        <v>1292</v>
      </c>
      <c r="BK8" s="54" t="s">
        <v>1292</v>
      </c>
      <c r="BL8" s="54" t="s">
        <v>41</v>
      </c>
      <c r="BM8" s="54" t="s">
        <v>901</v>
      </c>
      <c r="BN8" s="54" t="s">
        <v>901</v>
      </c>
      <c r="BO8" s="54" t="s">
        <v>420</v>
      </c>
      <c r="BR8" s="30">
        <v>7</v>
      </c>
      <c r="BS8" s="99" t="s">
        <v>634</v>
      </c>
      <c r="BT8" s="30"/>
      <c r="BU8" s="30"/>
      <c r="BV8" s="30"/>
      <c r="BW8" s="30"/>
    </row>
    <row r="9" spans="1:75" s="2" customFormat="1" ht="11.25" customHeight="1">
      <c r="A9" s="95" t="s">
        <v>688</v>
      </c>
      <c r="B9" s="94"/>
      <c r="C9" s="94" t="s">
        <v>3090</v>
      </c>
      <c r="D9" s="94" t="s">
        <v>3090</v>
      </c>
      <c r="E9" s="94" t="s">
        <v>1986</v>
      </c>
      <c r="F9" s="94" t="s">
        <v>1986</v>
      </c>
      <c r="G9" s="94"/>
      <c r="H9" s="94" t="s">
        <v>2065</v>
      </c>
      <c r="I9" s="94" t="s">
        <v>3020</v>
      </c>
      <c r="J9" s="94" t="s">
        <v>2737</v>
      </c>
      <c r="K9" s="94" t="s">
        <v>2737</v>
      </c>
      <c r="L9" s="94" t="s">
        <v>2597</v>
      </c>
      <c r="M9" s="94" t="s">
        <v>2597</v>
      </c>
      <c r="N9" s="94" t="s">
        <v>1403</v>
      </c>
      <c r="O9" s="94" t="s">
        <v>2815</v>
      </c>
      <c r="P9" s="94" t="s">
        <v>2454</v>
      </c>
      <c r="Q9" s="94" t="s">
        <v>2463</v>
      </c>
      <c r="R9" s="94" t="s">
        <v>1658</v>
      </c>
      <c r="S9" s="94" t="s">
        <v>39</v>
      </c>
      <c r="T9" s="94" t="s">
        <v>2598</v>
      </c>
      <c r="U9" s="94" t="s">
        <v>4103</v>
      </c>
      <c r="V9" s="94" t="s">
        <v>4103</v>
      </c>
      <c r="W9" s="94" t="s">
        <v>4103</v>
      </c>
      <c r="X9" s="94" t="s">
        <v>797</v>
      </c>
      <c r="Y9" s="94" t="s">
        <v>39</v>
      </c>
      <c r="Z9" s="94" t="s">
        <v>3857</v>
      </c>
      <c r="AA9" s="94" t="s">
        <v>3858</v>
      </c>
      <c r="AB9" s="94" t="s">
        <v>4175</v>
      </c>
      <c r="AC9" s="94" t="s">
        <v>3383</v>
      </c>
      <c r="AD9" s="94" t="s">
        <v>2406</v>
      </c>
      <c r="AE9" s="94" t="s">
        <v>2362</v>
      </c>
      <c r="AF9" s="94" t="s">
        <v>2298</v>
      </c>
      <c r="AG9" s="94" t="s">
        <v>695</v>
      </c>
      <c r="AH9" s="94" t="s">
        <v>1146</v>
      </c>
      <c r="AI9" s="94"/>
      <c r="AJ9" s="94" t="s">
        <v>2457</v>
      </c>
      <c r="AK9" s="94" t="s">
        <v>2457</v>
      </c>
      <c r="AL9" s="94" t="s">
        <v>1212</v>
      </c>
      <c r="AM9" s="94" t="s">
        <v>3285</v>
      </c>
      <c r="AN9" s="94" t="s">
        <v>3285</v>
      </c>
      <c r="AO9" s="94" t="s">
        <v>3486</v>
      </c>
      <c r="AP9" s="94" t="s">
        <v>3486</v>
      </c>
      <c r="AQ9" s="94" t="s">
        <v>3486</v>
      </c>
      <c r="AR9" s="94" t="s">
        <v>3486</v>
      </c>
      <c r="AS9" s="94"/>
      <c r="AT9" s="94"/>
      <c r="AU9" s="94"/>
      <c r="AV9" s="94" t="s">
        <v>1445</v>
      </c>
      <c r="AW9" s="94" t="s">
        <v>1445</v>
      </c>
      <c r="AX9" s="94"/>
      <c r="AY9" s="94" t="s">
        <v>2597</v>
      </c>
      <c r="AZ9" s="94" t="s">
        <v>1213</v>
      </c>
      <c r="BA9" s="94" t="s">
        <v>2597</v>
      </c>
      <c r="BB9" s="94" t="s">
        <v>1706</v>
      </c>
      <c r="BC9" s="94" t="s">
        <v>875</v>
      </c>
      <c r="BD9" s="94" t="s">
        <v>875</v>
      </c>
      <c r="BE9" s="94" t="s">
        <v>1291</v>
      </c>
      <c r="BF9" s="94" t="s">
        <v>1291</v>
      </c>
      <c r="BG9" s="94" t="s">
        <v>765</v>
      </c>
      <c r="BH9" s="94" t="s">
        <v>3207</v>
      </c>
      <c r="BI9" s="94" t="s">
        <v>3207</v>
      </c>
      <c r="BJ9" s="94" t="s">
        <v>2142</v>
      </c>
      <c r="BK9" s="94" t="s">
        <v>2142</v>
      </c>
      <c r="BL9" s="94" t="s">
        <v>2175</v>
      </c>
      <c r="BM9" s="94" t="s">
        <v>1591</v>
      </c>
      <c r="BN9" s="94" t="s">
        <v>1591</v>
      </c>
      <c r="BO9" s="94"/>
      <c r="BR9" s="30">
        <v>8</v>
      </c>
      <c r="BS9" s="97" t="s">
        <v>4167</v>
      </c>
      <c r="BT9" s="35"/>
      <c r="BU9" s="35"/>
      <c r="BV9" s="35"/>
      <c r="BW9" s="35"/>
    </row>
    <row r="10" spans="1:75" s="14" customFormat="1" ht="22.5" customHeight="1">
      <c r="A10" s="53" t="s">
        <v>123</v>
      </c>
      <c r="B10" s="54" t="s">
        <v>41</v>
      </c>
      <c r="C10" s="54" t="s">
        <v>41</v>
      </c>
      <c r="D10" s="54" t="s">
        <v>41</v>
      </c>
      <c r="E10" s="54" t="s">
        <v>41</v>
      </c>
      <c r="F10" s="54" t="s">
        <v>41</v>
      </c>
      <c r="G10" s="54" t="s">
        <v>41</v>
      </c>
      <c r="H10" s="123" t="s">
        <v>41</v>
      </c>
      <c r="I10" s="54" t="s">
        <v>41</v>
      </c>
      <c r="J10" s="54" t="s">
        <v>41</v>
      </c>
      <c r="K10" s="54" t="s">
        <v>41</v>
      </c>
      <c r="L10" s="54" t="s">
        <v>41</v>
      </c>
      <c r="M10" s="54" t="s">
        <v>41</v>
      </c>
      <c r="N10" s="54" t="s">
        <v>41</v>
      </c>
      <c r="O10" s="54" t="s">
        <v>39</v>
      </c>
      <c r="P10" s="54" t="s">
        <v>41</v>
      </c>
      <c r="Q10" s="54" t="s">
        <v>39</v>
      </c>
      <c r="R10" s="54" t="s">
        <v>41</v>
      </c>
      <c r="S10" s="54" t="s">
        <v>39</v>
      </c>
      <c r="T10" s="54" t="s">
        <v>41</v>
      </c>
      <c r="U10" s="123" t="s">
        <v>41</v>
      </c>
      <c r="V10" s="123" t="s">
        <v>41</v>
      </c>
      <c r="W10" s="123" t="s">
        <v>41</v>
      </c>
      <c r="X10" s="54" t="s">
        <v>41</v>
      </c>
      <c r="Y10" s="54" t="s">
        <v>41</v>
      </c>
      <c r="Z10" s="54" t="s">
        <v>41</v>
      </c>
      <c r="AA10" s="54" t="s">
        <v>41</v>
      </c>
      <c r="AB10" s="54" t="s">
        <v>4176</v>
      </c>
      <c r="AC10" s="54" t="s">
        <v>41</v>
      </c>
      <c r="AD10" s="54" t="s">
        <v>41</v>
      </c>
      <c r="AE10" s="54" t="s">
        <v>41</v>
      </c>
      <c r="AF10" s="54" t="s">
        <v>41</v>
      </c>
      <c r="AG10" s="54" t="s">
        <v>41</v>
      </c>
      <c r="AH10" s="54" t="s">
        <v>41</v>
      </c>
      <c r="AI10" s="54" t="s">
        <v>41</v>
      </c>
      <c r="AJ10" s="54" t="s">
        <v>41</v>
      </c>
      <c r="AK10" s="54" t="s">
        <v>41</v>
      </c>
      <c r="AL10" s="54" t="s">
        <v>41</v>
      </c>
      <c r="AM10" s="54" t="s">
        <v>41</v>
      </c>
      <c r="AN10" s="54" t="s">
        <v>41</v>
      </c>
      <c r="AO10" s="54" t="s">
        <v>41</v>
      </c>
      <c r="AP10" s="54" t="s">
        <v>41</v>
      </c>
      <c r="AQ10" s="54" t="s">
        <v>41</v>
      </c>
      <c r="AR10" s="54" t="s">
        <v>41</v>
      </c>
      <c r="AS10" s="54" t="s">
        <v>39</v>
      </c>
      <c r="AT10" s="54" t="s">
        <v>41</v>
      </c>
      <c r="AU10" s="54" t="s">
        <v>41</v>
      </c>
      <c r="AV10" s="54" t="s">
        <v>39</v>
      </c>
      <c r="AW10" s="54" t="s">
        <v>41</v>
      </c>
      <c r="AX10" s="54" t="s">
        <v>41</v>
      </c>
      <c r="AY10" s="54" t="s">
        <v>41</v>
      </c>
      <c r="AZ10" s="54" t="s">
        <v>41</v>
      </c>
      <c r="BA10" s="54" t="s">
        <v>41</v>
      </c>
      <c r="BB10" s="54" t="s">
        <v>41</v>
      </c>
      <c r="BC10" s="54" t="s">
        <v>41</v>
      </c>
      <c r="BD10" s="54" t="s">
        <v>41</v>
      </c>
      <c r="BE10" s="54" t="s">
        <v>41</v>
      </c>
      <c r="BF10" s="54" t="s">
        <v>41</v>
      </c>
      <c r="BG10" s="54" t="s">
        <v>41</v>
      </c>
      <c r="BH10" s="54" t="s">
        <v>41</v>
      </c>
      <c r="BI10" s="54" t="s">
        <v>41</v>
      </c>
      <c r="BJ10" s="54" t="s">
        <v>41</v>
      </c>
      <c r="BK10" s="54" t="s">
        <v>41</v>
      </c>
      <c r="BL10" s="54" t="s">
        <v>41</v>
      </c>
      <c r="BM10" s="54" t="s">
        <v>41</v>
      </c>
      <c r="BN10" s="54" t="s">
        <v>41</v>
      </c>
      <c r="BO10" s="54" t="s">
        <v>41</v>
      </c>
      <c r="BR10" s="30">
        <v>9</v>
      </c>
      <c r="BS10" s="99" t="s">
        <v>2685</v>
      </c>
      <c r="BT10" s="30"/>
      <c r="BU10" s="30"/>
      <c r="BV10" s="30"/>
      <c r="BW10" s="30"/>
    </row>
    <row r="11" spans="1:75" s="2" customFormat="1" ht="11.25" customHeight="1">
      <c r="A11" s="95" t="s">
        <v>688</v>
      </c>
      <c r="B11" s="94"/>
      <c r="C11" s="94" t="s">
        <v>3092</v>
      </c>
      <c r="D11" s="94" t="s">
        <v>3092</v>
      </c>
      <c r="E11" s="94" t="s">
        <v>1989</v>
      </c>
      <c r="F11" s="94" t="s">
        <v>1989</v>
      </c>
      <c r="G11" s="94"/>
      <c r="H11" s="94" t="s">
        <v>2068</v>
      </c>
      <c r="I11" s="94" t="s">
        <v>3021</v>
      </c>
      <c r="J11" s="94" t="s">
        <v>1206</v>
      </c>
      <c r="K11" s="94" t="s">
        <v>1206</v>
      </c>
      <c r="L11" s="94" t="s">
        <v>2598</v>
      </c>
      <c r="M11" s="94" t="s">
        <v>2598</v>
      </c>
      <c r="N11" s="94" t="s">
        <v>1400</v>
      </c>
      <c r="O11" s="94" t="s">
        <v>39</v>
      </c>
      <c r="P11" s="94" t="s">
        <v>3800</v>
      </c>
      <c r="Q11" s="94" t="s">
        <v>39</v>
      </c>
      <c r="R11" s="94" t="s">
        <v>1658</v>
      </c>
      <c r="S11" s="94" t="s">
        <v>39</v>
      </c>
      <c r="T11" s="94" t="s">
        <v>1399</v>
      </c>
      <c r="U11" s="94" t="s">
        <v>4041</v>
      </c>
      <c r="V11" s="94" t="s">
        <v>4041</v>
      </c>
      <c r="W11" s="94" t="s">
        <v>4041</v>
      </c>
      <c r="X11" s="94" t="s">
        <v>800</v>
      </c>
      <c r="Y11" s="94" t="s">
        <v>3859</v>
      </c>
      <c r="Z11" s="94" t="s">
        <v>3860</v>
      </c>
      <c r="AA11" s="94" t="s">
        <v>3861</v>
      </c>
      <c r="AB11" s="94" t="s">
        <v>4180</v>
      </c>
      <c r="AC11" s="94" t="s">
        <v>2738</v>
      </c>
      <c r="AD11" s="94" t="s">
        <v>2407</v>
      </c>
      <c r="AE11" s="94" t="s">
        <v>2363</v>
      </c>
      <c r="AF11" s="94" t="s">
        <v>2299</v>
      </c>
      <c r="AG11" s="94" t="s">
        <v>696</v>
      </c>
      <c r="AH11" s="94" t="s">
        <v>1146</v>
      </c>
      <c r="AI11" s="94"/>
      <c r="AJ11" s="94" t="s">
        <v>2455</v>
      </c>
      <c r="AK11" s="94" t="s">
        <v>2455</v>
      </c>
      <c r="AL11" s="94" t="s">
        <v>2565</v>
      </c>
      <c r="AM11" s="94" t="s">
        <v>3330</v>
      </c>
      <c r="AN11" s="94" t="s">
        <v>3278</v>
      </c>
      <c r="AO11" s="94" t="s">
        <v>3491</v>
      </c>
      <c r="AP11" s="94" t="s">
        <v>3491</v>
      </c>
      <c r="AQ11" s="94" t="s">
        <v>3491</v>
      </c>
      <c r="AR11" s="94" t="s">
        <v>3491</v>
      </c>
      <c r="AS11" s="94"/>
      <c r="AT11" s="94"/>
      <c r="AU11" s="94"/>
      <c r="AV11" s="94" t="s">
        <v>39</v>
      </c>
      <c r="AW11" s="94" t="s">
        <v>1431</v>
      </c>
      <c r="AX11" s="94"/>
      <c r="AY11" s="94" t="s">
        <v>2599</v>
      </c>
      <c r="AZ11" s="94" t="s">
        <v>2737</v>
      </c>
      <c r="BA11" s="94" t="s">
        <v>2599</v>
      </c>
      <c r="BB11" s="94" t="s">
        <v>1708</v>
      </c>
      <c r="BC11" s="94" t="s">
        <v>876</v>
      </c>
      <c r="BD11" s="94" t="s">
        <v>876</v>
      </c>
      <c r="BE11" s="94" t="s">
        <v>1363</v>
      </c>
      <c r="BF11" s="94" t="s">
        <v>1305</v>
      </c>
      <c r="BG11" s="94" t="s">
        <v>766</v>
      </c>
      <c r="BH11" s="94" t="s">
        <v>3202</v>
      </c>
      <c r="BI11" s="94" t="s">
        <v>3202</v>
      </c>
      <c r="BJ11" s="94" t="s">
        <v>2147</v>
      </c>
      <c r="BK11" s="94" t="s">
        <v>2147</v>
      </c>
      <c r="BL11" s="94" t="s">
        <v>2171</v>
      </c>
      <c r="BM11" s="94" t="s">
        <v>1590</v>
      </c>
      <c r="BN11" s="94" t="s">
        <v>1590</v>
      </c>
      <c r="BO11" s="94"/>
      <c r="BR11" s="30">
        <v>10</v>
      </c>
      <c r="BS11" s="97" t="s">
        <v>88</v>
      </c>
      <c r="BT11" s="35"/>
      <c r="BU11" s="35"/>
      <c r="BV11" s="35"/>
      <c r="BW11" s="35"/>
    </row>
    <row r="12" spans="1:75" s="14" customFormat="1" ht="22.5" customHeight="1">
      <c r="A12" s="53" t="s">
        <v>67</v>
      </c>
      <c r="B12" s="54" t="s">
        <v>41</v>
      </c>
      <c r="C12" s="54" t="s">
        <v>41</v>
      </c>
      <c r="D12" s="54" t="s">
        <v>41</v>
      </c>
      <c r="E12" s="54" t="s">
        <v>41</v>
      </c>
      <c r="F12" s="54" t="s">
        <v>41</v>
      </c>
      <c r="G12" s="54" t="s">
        <v>41</v>
      </c>
      <c r="H12" s="123" t="s">
        <v>41</v>
      </c>
      <c r="I12" s="54" t="s">
        <v>41</v>
      </c>
      <c r="J12" s="54" t="s">
        <v>41</v>
      </c>
      <c r="K12" s="54" t="s">
        <v>41</v>
      </c>
      <c r="L12" s="54" t="s">
        <v>41</v>
      </c>
      <c r="M12" s="54" t="s">
        <v>41</v>
      </c>
      <c r="N12" s="54" t="s">
        <v>41</v>
      </c>
      <c r="O12" s="54" t="s">
        <v>39</v>
      </c>
      <c r="P12" s="54" t="s">
        <v>41</v>
      </c>
      <c r="Q12" s="54" t="s">
        <v>39</v>
      </c>
      <c r="R12" s="54" t="s">
        <v>41</v>
      </c>
      <c r="S12" s="54" t="s">
        <v>39</v>
      </c>
      <c r="T12" s="54" t="s">
        <v>41</v>
      </c>
      <c r="U12" s="123" t="s">
        <v>41</v>
      </c>
      <c r="V12" s="123" t="s">
        <v>41</v>
      </c>
      <c r="W12" s="123" t="s">
        <v>41</v>
      </c>
      <c r="X12" s="54" t="s">
        <v>41</v>
      </c>
      <c r="Y12" s="54" t="s">
        <v>39</v>
      </c>
      <c r="Z12" s="54" t="s">
        <v>41</v>
      </c>
      <c r="AA12" s="54" t="s">
        <v>41</v>
      </c>
      <c r="AB12" s="54" t="s">
        <v>4176</v>
      </c>
      <c r="AC12" s="54" t="s">
        <v>41</v>
      </c>
      <c r="AD12" s="54" t="s">
        <v>41</v>
      </c>
      <c r="AE12" s="54" t="s">
        <v>41</v>
      </c>
      <c r="AF12" s="54" t="s">
        <v>41</v>
      </c>
      <c r="AG12" s="54" t="s">
        <v>41</v>
      </c>
      <c r="AH12" s="54" t="s">
        <v>39</v>
      </c>
      <c r="AI12" s="54" t="s">
        <v>39</v>
      </c>
      <c r="AJ12" s="54" t="s">
        <v>41</v>
      </c>
      <c r="AK12" s="54" t="s">
        <v>41</v>
      </c>
      <c r="AL12" s="73" t="s">
        <v>39</v>
      </c>
      <c r="AM12" s="54" t="s">
        <v>41</v>
      </c>
      <c r="AN12" s="54" t="s">
        <v>41</v>
      </c>
      <c r="AO12" s="54" t="s">
        <v>41</v>
      </c>
      <c r="AP12" s="54" t="s">
        <v>41</v>
      </c>
      <c r="AQ12" s="54" t="s">
        <v>41</v>
      </c>
      <c r="AR12" s="54" t="s">
        <v>41</v>
      </c>
      <c r="AS12" s="54" t="s">
        <v>39</v>
      </c>
      <c r="AT12" s="54" t="s">
        <v>41</v>
      </c>
      <c r="AU12" s="54" t="s">
        <v>41</v>
      </c>
      <c r="AV12" s="54" t="s">
        <v>39</v>
      </c>
      <c r="AW12" s="54" t="s">
        <v>41</v>
      </c>
      <c r="AX12" s="54" t="s">
        <v>41</v>
      </c>
      <c r="AY12" s="54" t="s">
        <v>41</v>
      </c>
      <c r="AZ12" s="54" t="s">
        <v>41</v>
      </c>
      <c r="BA12" s="54" t="s">
        <v>41</v>
      </c>
      <c r="BB12" s="54" t="s">
        <v>41</v>
      </c>
      <c r="BC12" s="54" t="s">
        <v>41</v>
      </c>
      <c r="BD12" s="54" t="s">
        <v>41</v>
      </c>
      <c r="BE12" s="54" t="s">
        <v>41</v>
      </c>
      <c r="BF12" s="54" t="s">
        <v>41</v>
      </c>
      <c r="BG12" s="54" t="s">
        <v>41</v>
      </c>
      <c r="BH12" s="54" t="s">
        <v>2173</v>
      </c>
      <c r="BI12" s="54" t="s">
        <v>2173</v>
      </c>
      <c r="BJ12" s="54" t="s">
        <v>41</v>
      </c>
      <c r="BK12" s="54" t="s">
        <v>41</v>
      </c>
      <c r="BL12" s="54" t="s">
        <v>2173</v>
      </c>
      <c r="BM12" s="54" t="s">
        <v>41</v>
      </c>
      <c r="BN12" s="54" t="s">
        <v>41</v>
      </c>
      <c r="BO12" s="54" t="s">
        <v>41</v>
      </c>
      <c r="BR12" s="30">
        <v>11</v>
      </c>
      <c r="BS12" s="99" t="s">
        <v>2735</v>
      </c>
      <c r="BT12" s="30"/>
      <c r="BU12" s="30"/>
      <c r="BV12" s="30"/>
      <c r="BW12" s="30"/>
    </row>
    <row r="13" spans="1:75" s="2" customFormat="1" ht="11.25" customHeight="1">
      <c r="A13" s="95" t="s">
        <v>688</v>
      </c>
      <c r="B13" s="94"/>
      <c r="C13" s="94" t="s">
        <v>3094</v>
      </c>
      <c r="D13" s="94" t="s">
        <v>3094</v>
      </c>
      <c r="E13" s="94" t="s">
        <v>1989</v>
      </c>
      <c r="F13" s="94" t="s">
        <v>1989</v>
      </c>
      <c r="G13" s="94"/>
      <c r="H13" s="94" t="s">
        <v>2069</v>
      </c>
      <c r="I13" s="94" t="s">
        <v>3021</v>
      </c>
      <c r="J13" s="94" t="s">
        <v>1208</v>
      </c>
      <c r="K13" s="94" t="s">
        <v>1208</v>
      </c>
      <c r="L13" s="94" t="s">
        <v>2599</v>
      </c>
      <c r="M13" s="94" t="s">
        <v>2599</v>
      </c>
      <c r="N13" s="94" t="s">
        <v>1401</v>
      </c>
      <c r="O13" s="94" t="s">
        <v>39</v>
      </c>
      <c r="P13" s="94" t="s">
        <v>1276</v>
      </c>
      <c r="Q13" s="94" t="s">
        <v>39</v>
      </c>
      <c r="R13" s="94" t="s">
        <v>1658</v>
      </c>
      <c r="S13" s="94" t="s">
        <v>39</v>
      </c>
      <c r="T13" s="94" t="s">
        <v>1399</v>
      </c>
      <c r="U13" s="94" t="s">
        <v>4099</v>
      </c>
      <c r="V13" s="94" t="s">
        <v>4099</v>
      </c>
      <c r="W13" s="94" t="s">
        <v>4099</v>
      </c>
      <c r="X13" s="94" t="s">
        <v>800</v>
      </c>
      <c r="Y13" s="94" t="s">
        <v>39</v>
      </c>
      <c r="Z13" s="94" t="s">
        <v>3862</v>
      </c>
      <c r="AA13" s="94" t="s">
        <v>3863</v>
      </c>
      <c r="AB13" s="94" t="s">
        <v>4175</v>
      </c>
      <c r="AC13" s="94" t="s">
        <v>3383</v>
      </c>
      <c r="AD13" s="94" t="s">
        <v>2408</v>
      </c>
      <c r="AE13" s="94" t="s">
        <v>2364</v>
      </c>
      <c r="AF13" s="94" t="s">
        <v>2300</v>
      </c>
      <c r="AG13" s="94" t="s">
        <v>697</v>
      </c>
      <c r="AH13" s="94" t="s">
        <v>39</v>
      </c>
      <c r="AI13" s="94"/>
      <c r="AJ13" s="94" t="s">
        <v>2455</v>
      </c>
      <c r="AK13" s="94" t="s">
        <v>2455</v>
      </c>
      <c r="AL13" s="94" t="s">
        <v>39</v>
      </c>
      <c r="AM13" s="94" t="s">
        <v>3331</v>
      </c>
      <c r="AN13" s="94" t="s">
        <v>3279</v>
      </c>
      <c r="AO13" s="94" t="s">
        <v>3490</v>
      </c>
      <c r="AP13" s="94" t="s">
        <v>3490</v>
      </c>
      <c r="AQ13" s="94" t="s">
        <v>3490</v>
      </c>
      <c r="AR13" s="94" t="s">
        <v>3490</v>
      </c>
      <c r="AS13" s="94"/>
      <c r="AT13" s="94"/>
      <c r="AU13" s="94"/>
      <c r="AV13" s="94" t="s">
        <v>39</v>
      </c>
      <c r="AW13" s="94" t="s">
        <v>1432</v>
      </c>
      <c r="AX13" s="94"/>
      <c r="AY13" s="94" t="s">
        <v>2600</v>
      </c>
      <c r="AZ13" s="94" t="s">
        <v>1223</v>
      </c>
      <c r="BA13" s="94" t="s">
        <v>2600</v>
      </c>
      <c r="BB13" s="94" t="s">
        <v>1710</v>
      </c>
      <c r="BC13" s="94" t="s">
        <v>877</v>
      </c>
      <c r="BD13" s="94" t="s">
        <v>877</v>
      </c>
      <c r="BE13" s="94" t="s">
        <v>1369</v>
      </c>
      <c r="BF13" s="94" t="s">
        <v>1314</v>
      </c>
      <c r="BG13" s="94" t="s">
        <v>767</v>
      </c>
      <c r="BH13" s="94" t="s">
        <v>3202</v>
      </c>
      <c r="BI13" s="94" t="s">
        <v>3202</v>
      </c>
      <c r="BJ13" s="94" t="s">
        <v>2147</v>
      </c>
      <c r="BK13" s="94" t="s">
        <v>2147</v>
      </c>
      <c r="BL13" s="94" t="s">
        <v>2172</v>
      </c>
      <c r="BM13" s="94" t="s">
        <v>1638</v>
      </c>
      <c r="BN13" s="94" t="s">
        <v>1638</v>
      </c>
      <c r="BO13" s="94"/>
      <c r="BR13" s="96">
        <v>12</v>
      </c>
      <c r="BS13" s="99" t="s">
        <v>3042</v>
      </c>
      <c r="BT13" s="35"/>
      <c r="BU13" s="35"/>
      <c r="BV13" s="35"/>
      <c r="BW13" s="35"/>
    </row>
    <row r="14" spans="1:75" s="14" customFormat="1" ht="22.5" customHeight="1">
      <c r="A14" s="53" t="s">
        <v>122</v>
      </c>
      <c r="B14" s="54" t="s">
        <v>41</v>
      </c>
      <c r="C14" s="54" t="s">
        <v>41</v>
      </c>
      <c r="D14" s="54" t="s">
        <v>41</v>
      </c>
      <c r="E14" s="54" t="s">
        <v>41</v>
      </c>
      <c r="F14" s="54" t="s">
        <v>41</v>
      </c>
      <c r="G14" s="54" t="s">
        <v>39</v>
      </c>
      <c r="H14" s="123" t="s">
        <v>41</v>
      </c>
      <c r="I14" s="54" t="s">
        <v>41</v>
      </c>
      <c r="J14" s="54" t="s">
        <v>39</v>
      </c>
      <c r="K14" s="54" t="s">
        <v>39</v>
      </c>
      <c r="L14" s="54" t="s">
        <v>39</v>
      </c>
      <c r="M14" s="54" t="s">
        <v>39</v>
      </c>
      <c r="N14" s="54" t="s">
        <v>39</v>
      </c>
      <c r="O14" s="54" t="s">
        <v>39</v>
      </c>
      <c r="P14" s="54" t="s">
        <v>39</v>
      </c>
      <c r="Q14" s="54" t="s">
        <v>39</v>
      </c>
      <c r="R14" s="54" t="s">
        <v>39</v>
      </c>
      <c r="S14" s="54" t="s">
        <v>39</v>
      </c>
      <c r="T14" s="54" t="s">
        <v>41</v>
      </c>
      <c r="U14" s="123" t="s">
        <v>41</v>
      </c>
      <c r="V14" s="123" t="s">
        <v>41</v>
      </c>
      <c r="W14" s="123" t="s">
        <v>41</v>
      </c>
      <c r="X14" s="54" t="s">
        <v>41</v>
      </c>
      <c r="Y14" s="54" t="s">
        <v>39</v>
      </c>
      <c r="Z14" s="54" t="s">
        <v>41</v>
      </c>
      <c r="AA14" s="54" t="s">
        <v>41</v>
      </c>
      <c r="AB14" s="54" t="s">
        <v>4177</v>
      </c>
      <c r="AC14" s="54" t="s">
        <v>41</v>
      </c>
      <c r="AD14" s="54" t="s">
        <v>39</v>
      </c>
      <c r="AE14" s="54" t="s">
        <v>41</v>
      </c>
      <c r="AF14" s="54" t="s">
        <v>41</v>
      </c>
      <c r="AG14" s="54" t="s">
        <v>41</v>
      </c>
      <c r="AH14" s="54" t="s">
        <v>39</v>
      </c>
      <c r="AI14" s="54" t="s">
        <v>39</v>
      </c>
      <c r="AJ14" s="54" t="s">
        <v>41</v>
      </c>
      <c r="AK14" s="54" t="s">
        <v>41</v>
      </c>
      <c r="AL14" s="73" t="s">
        <v>39</v>
      </c>
      <c r="AM14" s="54" t="s">
        <v>41</v>
      </c>
      <c r="AN14" s="54" t="s">
        <v>41</v>
      </c>
      <c r="AO14" s="54" t="s">
        <v>41</v>
      </c>
      <c r="AP14" s="54" t="s">
        <v>41</v>
      </c>
      <c r="AQ14" s="54" t="s">
        <v>41</v>
      </c>
      <c r="AR14" s="54" t="s">
        <v>41</v>
      </c>
      <c r="AS14" s="54" t="s">
        <v>39</v>
      </c>
      <c r="AT14" s="54" t="s">
        <v>39</v>
      </c>
      <c r="AU14" s="54" t="s">
        <v>39</v>
      </c>
      <c r="AV14" s="54" t="s">
        <v>39</v>
      </c>
      <c r="AW14" s="54" t="s">
        <v>41</v>
      </c>
      <c r="AX14" s="54" t="s">
        <v>39</v>
      </c>
      <c r="AY14" s="54" t="s">
        <v>39</v>
      </c>
      <c r="AZ14" s="54" t="s">
        <v>39</v>
      </c>
      <c r="BA14" s="54" t="s">
        <v>39</v>
      </c>
      <c r="BB14" s="54" t="s">
        <v>39</v>
      </c>
      <c r="BC14" s="54" t="s">
        <v>41</v>
      </c>
      <c r="BD14" s="54" t="s">
        <v>41</v>
      </c>
      <c r="BE14" s="54" t="s">
        <v>41</v>
      </c>
      <c r="BF14" s="54" t="s">
        <v>41</v>
      </c>
      <c r="BG14" s="54" t="s">
        <v>41</v>
      </c>
      <c r="BH14" s="54" t="s">
        <v>39</v>
      </c>
      <c r="BI14" s="54" t="s">
        <v>39</v>
      </c>
      <c r="BJ14" s="54" t="s">
        <v>41</v>
      </c>
      <c r="BK14" s="54" t="s">
        <v>41</v>
      </c>
      <c r="BL14" s="54" t="s">
        <v>2181</v>
      </c>
      <c r="BM14" s="54" t="s">
        <v>39</v>
      </c>
      <c r="BN14" s="54" t="s">
        <v>39</v>
      </c>
      <c r="BO14" s="54" t="s">
        <v>39</v>
      </c>
      <c r="BR14" s="112">
        <v>13</v>
      </c>
      <c r="BS14" s="99" t="s">
        <v>3043</v>
      </c>
      <c r="BT14" s="30"/>
      <c r="BU14" s="30"/>
      <c r="BV14" s="30"/>
      <c r="BW14" s="30"/>
    </row>
    <row r="15" spans="1:75" s="2" customFormat="1" ht="11.25" customHeight="1">
      <c r="A15" s="95" t="s">
        <v>688</v>
      </c>
      <c r="B15" s="94"/>
      <c r="C15" s="94" t="s">
        <v>3113</v>
      </c>
      <c r="D15" s="94" t="s">
        <v>3114</v>
      </c>
      <c r="E15" s="94" t="s">
        <v>1990</v>
      </c>
      <c r="F15" s="94" t="s">
        <v>1990</v>
      </c>
      <c r="G15" s="94"/>
      <c r="H15" s="94" t="s">
        <v>2070</v>
      </c>
      <c r="I15" s="94" t="s">
        <v>3021</v>
      </c>
      <c r="J15" s="94" t="s">
        <v>39</v>
      </c>
      <c r="K15" s="94" t="s">
        <v>39</v>
      </c>
      <c r="L15" s="94" t="s">
        <v>39</v>
      </c>
      <c r="M15" s="94" t="s">
        <v>39</v>
      </c>
      <c r="N15" s="94" t="s">
        <v>39</v>
      </c>
      <c r="O15" s="94" t="s">
        <v>39</v>
      </c>
      <c r="P15" s="94" t="s">
        <v>39</v>
      </c>
      <c r="Q15" s="94" t="s">
        <v>39</v>
      </c>
      <c r="R15" s="94" t="s">
        <v>39</v>
      </c>
      <c r="S15" s="94" t="s">
        <v>39</v>
      </c>
      <c r="T15" s="94" t="s">
        <v>1399</v>
      </c>
      <c r="U15" s="94" t="s">
        <v>4100</v>
      </c>
      <c r="V15" s="94" t="s">
        <v>4100</v>
      </c>
      <c r="W15" s="94" t="s">
        <v>4100</v>
      </c>
      <c r="X15" s="94" t="s">
        <v>800</v>
      </c>
      <c r="Y15" s="94" t="s">
        <v>39</v>
      </c>
      <c r="Z15" s="94" t="s">
        <v>3864</v>
      </c>
      <c r="AA15" s="94" t="s">
        <v>3865</v>
      </c>
      <c r="AB15" s="94" t="s">
        <v>4178</v>
      </c>
      <c r="AC15" s="94" t="s">
        <v>3383</v>
      </c>
      <c r="AD15" s="94" t="s">
        <v>39</v>
      </c>
      <c r="AE15" s="94" t="s">
        <v>2365</v>
      </c>
      <c r="AF15" s="94" t="s">
        <v>2301</v>
      </c>
      <c r="AG15" s="94" t="s">
        <v>698</v>
      </c>
      <c r="AH15" s="94" t="s">
        <v>39</v>
      </c>
      <c r="AI15" s="94"/>
      <c r="AJ15" s="94" t="s">
        <v>2456</v>
      </c>
      <c r="AK15" s="94" t="s">
        <v>2456</v>
      </c>
      <c r="AL15" s="94" t="s">
        <v>39</v>
      </c>
      <c r="AM15" s="94" t="s">
        <v>3332</v>
      </c>
      <c r="AN15" s="94" t="s">
        <v>3280</v>
      </c>
      <c r="AO15" s="94" t="s">
        <v>3488</v>
      </c>
      <c r="AP15" s="94" t="s">
        <v>3488</v>
      </c>
      <c r="AQ15" s="94" t="s">
        <v>3488</v>
      </c>
      <c r="AR15" s="94" t="s">
        <v>3488</v>
      </c>
      <c r="AS15" s="94"/>
      <c r="AT15" s="94"/>
      <c r="AU15" s="94"/>
      <c r="AV15" s="94" t="s">
        <v>39</v>
      </c>
      <c r="AW15" s="94" t="s">
        <v>1433</v>
      </c>
      <c r="AX15" s="94"/>
      <c r="AY15" s="94" t="s">
        <v>39</v>
      </c>
      <c r="AZ15" s="94" t="s">
        <v>39</v>
      </c>
      <c r="BA15" s="94" t="s">
        <v>39</v>
      </c>
      <c r="BB15" s="94" t="s">
        <v>39</v>
      </c>
      <c r="BC15" s="94" t="s">
        <v>878</v>
      </c>
      <c r="BD15" s="94" t="s">
        <v>878</v>
      </c>
      <c r="BE15" s="94" t="s">
        <v>1306</v>
      </c>
      <c r="BF15" s="94" t="s">
        <v>1307</v>
      </c>
      <c r="BG15" s="94" t="s">
        <v>768</v>
      </c>
      <c r="BH15" s="94" t="s">
        <v>39</v>
      </c>
      <c r="BI15" s="94" t="s">
        <v>39</v>
      </c>
      <c r="BJ15" s="94" t="s">
        <v>2147</v>
      </c>
      <c r="BK15" s="94" t="s">
        <v>2147</v>
      </c>
      <c r="BL15" s="94" t="s">
        <v>2180</v>
      </c>
      <c r="BM15" s="94" t="s">
        <v>39</v>
      </c>
      <c r="BN15" s="94" t="s">
        <v>39</v>
      </c>
      <c r="BO15" s="94"/>
      <c r="BR15" s="100">
        <v>14</v>
      </c>
      <c r="BS15" s="99" t="s">
        <v>1398</v>
      </c>
      <c r="BT15" s="35"/>
      <c r="BU15" s="35"/>
      <c r="BV15" s="35"/>
      <c r="BW15" s="35"/>
    </row>
    <row r="16" spans="1:75" s="14" customFormat="1" ht="22.5" customHeight="1">
      <c r="A16" s="53" t="s">
        <v>1</v>
      </c>
      <c r="B16" s="54" t="s">
        <v>41</v>
      </c>
      <c r="C16" s="54" t="s">
        <v>41</v>
      </c>
      <c r="D16" s="54" t="s">
        <v>41</v>
      </c>
      <c r="E16" s="54" t="s">
        <v>41</v>
      </c>
      <c r="F16" s="54" t="s">
        <v>41</v>
      </c>
      <c r="G16" s="54" t="s">
        <v>41</v>
      </c>
      <c r="H16" s="123" t="s">
        <v>41</v>
      </c>
      <c r="I16" s="54" t="s">
        <v>41</v>
      </c>
      <c r="J16" s="54" t="s">
        <v>41</v>
      </c>
      <c r="K16" s="54" t="s">
        <v>41</v>
      </c>
      <c r="L16" s="54" t="s">
        <v>41</v>
      </c>
      <c r="M16" s="54" t="s">
        <v>41</v>
      </c>
      <c r="N16" s="54" t="s">
        <v>41</v>
      </c>
      <c r="O16" s="54" t="s">
        <v>662</v>
      </c>
      <c r="P16" s="54" t="s">
        <v>41</v>
      </c>
      <c r="Q16" s="54" t="s">
        <v>39</v>
      </c>
      <c r="R16" s="54" t="s">
        <v>41</v>
      </c>
      <c r="S16" s="54" t="s">
        <v>39</v>
      </c>
      <c r="T16" s="54" t="s">
        <v>41</v>
      </c>
      <c r="U16" s="123" t="s">
        <v>41</v>
      </c>
      <c r="V16" s="123" t="s">
        <v>41</v>
      </c>
      <c r="W16" s="123" t="s">
        <v>41</v>
      </c>
      <c r="X16" s="54" t="s">
        <v>41</v>
      </c>
      <c r="Y16" s="54" t="s">
        <v>41</v>
      </c>
      <c r="Z16" s="54" t="s">
        <v>41</v>
      </c>
      <c r="AA16" s="54" t="s">
        <v>41</v>
      </c>
      <c r="AB16" s="54" t="s">
        <v>41</v>
      </c>
      <c r="AC16" s="54" t="s">
        <v>41</v>
      </c>
      <c r="AD16" s="54" t="s">
        <v>41</v>
      </c>
      <c r="AE16" s="54" t="s">
        <v>41</v>
      </c>
      <c r="AF16" s="54" t="s">
        <v>41</v>
      </c>
      <c r="AG16" s="54" t="s">
        <v>41</v>
      </c>
      <c r="AH16" s="54" t="s">
        <v>41</v>
      </c>
      <c r="AI16" s="54" t="s">
        <v>41</v>
      </c>
      <c r="AJ16" s="54" t="s">
        <v>41</v>
      </c>
      <c r="AK16" s="54" t="s">
        <v>41</v>
      </c>
      <c r="AL16" s="54" t="s">
        <v>41</v>
      </c>
      <c r="AM16" s="54" t="s">
        <v>41</v>
      </c>
      <c r="AN16" s="54" t="s">
        <v>41</v>
      </c>
      <c r="AO16" s="54" t="s">
        <v>41</v>
      </c>
      <c r="AP16" s="54" t="s">
        <v>41</v>
      </c>
      <c r="AQ16" s="54" t="s">
        <v>41</v>
      </c>
      <c r="AR16" s="54" t="s">
        <v>41</v>
      </c>
      <c r="AS16" s="54" t="s">
        <v>39</v>
      </c>
      <c r="AT16" s="54" t="s">
        <v>41</v>
      </c>
      <c r="AU16" s="54" t="s">
        <v>41</v>
      </c>
      <c r="AV16" s="54" t="s">
        <v>41</v>
      </c>
      <c r="AW16" s="54" t="s">
        <v>41</v>
      </c>
      <c r="AX16" s="54" t="s">
        <v>360</v>
      </c>
      <c r="AY16" s="54" t="s">
        <v>41</v>
      </c>
      <c r="AZ16" s="54" t="s">
        <v>41</v>
      </c>
      <c r="BA16" s="54" t="s">
        <v>41</v>
      </c>
      <c r="BB16" s="54" t="s">
        <v>41</v>
      </c>
      <c r="BC16" s="54" t="s">
        <v>41</v>
      </c>
      <c r="BD16" s="54" t="s">
        <v>41</v>
      </c>
      <c r="BE16" s="54" t="s">
        <v>41</v>
      </c>
      <c r="BF16" s="54" t="s">
        <v>41</v>
      </c>
      <c r="BG16" s="54" t="s">
        <v>41</v>
      </c>
      <c r="BH16" s="54" t="s">
        <v>41</v>
      </c>
      <c r="BI16" s="54" t="s">
        <v>41</v>
      </c>
      <c r="BJ16" s="54" t="s">
        <v>41</v>
      </c>
      <c r="BK16" s="54" t="s">
        <v>41</v>
      </c>
      <c r="BL16" s="54" t="s">
        <v>41</v>
      </c>
      <c r="BM16" s="54" t="s">
        <v>41</v>
      </c>
      <c r="BN16" s="54" t="s">
        <v>41</v>
      </c>
      <c r="BO16" s="54" t="s">
        <v>41</v>
      </c>
      <c r="BR16" s="113">
        <v>15</v>
      </c>
      <c r="BS16" s="99" t="s">
        <v>618</v>
      </c>
      <c r="BT16" s="30"/>
      <c r="BU16" s="110"/>
      <c r="BV16" s="30"/>
      <c r="BW16" s="30"/>
    </row>
    <row r="17" spans="1:75" s="2" customFormat="1" ht="11.25" customHeight="1">
      <c r="A17" s="95" t="s">
        <v>688</v>
      </c>
      <c r="B17" s="94"/>
      <c r="C17" s="94" t="s">
        <v>3092</v>
      </c>
      <c r="D17" s="94" t="s">
        <v>3092</v>
      </c>
      <c r="E17" s="94" t="s">
        <v>1991</v>
      </c>
      <c r="F17" s="94" t="s">
        <v>1991</v>
      </c>
      <c r="G17" s="94"/>
      <c r="H17" s="94" t="s">
        <v>2066</v>
      </c>
      <c r="I17" s="94" t="s">
        <v>2733</v>
      </c>
      <c r="J17" s="94" t="s">
        <v>1206</v>
      </c>
      <c r="K17" s="94" t="s">
        <v>1206</v>
      </c>
      <c r="L17" s="94" t="s">
        <v>2598</v>
      </c>
      <c r="M17" s="94" t="s">
        <v>2598</v>
      </c>
      <c r="N17" s="94" t="s">
        <v>1399</v>
      </c>
      <c r="O17" s="94" t="s">
        <v>2807</v>
      </c>
      <c r="P17" s="94" t="s">
        <v>1354</v>
      </c>
      <c r="Q17" s="94" t="s">
        <v>39</v>
      </c>
      <c r="R17" s="94" t="s">
        <v>1658</v>
      </c>
      <c r="S17" s="94" t="s">
        <v>39</v>
      </c>
      <c r="T17" s="94" t="s">
        <v>1400</v>
      </c>
      <c r="U17" s="94" t="s">
        <v>4041</v>
      </c>
      <c r="V17" s="94" t="s">
        <v>4041</v>
      </c>
      <c r="W17" s="94" t="s">
        <v>4041</v>
      </c>
      <c r="X17" s="94" t="s">
        <v>799</v>
      </c>
      <c r="Y17" s="94" t="s">
        <v>3859</v>
      </c>
      <c r="Z17" s="94" t="s">
        <v>3860</v>
      </c>
      <c r="AA17" s="94" t="s">
        <v>3861</v>
      </c>
      <c r="AB17" s="94" t="s">
        <v>4178</v>
      </c>
      <c r="AC17" s="94" t="s">
        <v>2738</v>
      </c>
      <c r="AD17" s="94" t="s">
        <v>2409</v>
      </c>
      <c r="AE17" s="94" t="s">
        <v>2366</v>
      </c>
      <c r="AF17" s="94" t="s">
        <v>2303</v>
      </c>
      <c r="AG17" s="94" t="s">
        <v>2245</v>
      </c>
      <c r="AH17" s="94" t="s">
        <v>1146</v>
      </c>
      <c r="AI17" s="94"/>
      <c r="AJ17" s="94" t="s">
        <v>2458</v>
      </c>
      <c r="AK17" s="94" t="s">
        <v>2458</v>
      </c>
      <c r="AL17" s="94" t="s">
        <v>2565</v>
      </c>
      <c r="AM17" s="94" t="s">
        <v>3330</v>
      </c>
      <c r="AN17" s="94" t="s">
        <v>3278</v>
      </c>
      <c r="AO17" s="94" t="s">
        <v>3492</v>
      </c>
      <c r="AP17" s="94" t="s">
        <v>3492</v>
      </c>
      <c r="AQ17" s="94" t="s">
        <v>3492</v>
      </c>
      <c r="AR17" s="94" t="s">
        <v>3492</v>
      </c>
      <c r="AS17" s="94"/>
      <c r="AT17" s="94"/>
      <c r="AU17" s="94"/>
      <c r="AV17" s="94" t="s">
        <v>1432</v>
      </c>
      <c r="AW17" s="94" t="s">
        <v>1440</v>
      </c>
      <c r="AX17" s="94"/>
      <c r="AY17" s="94" t="s">
        <v>2599</v>
      </c>
      <c r="AZ17" s="94" t="s">
        <v>2738</v>
      </c>
      <c r="BA17" s="94" t="s">
        <v>2599</v>
      </c>
      <c r="BB17" s="94" t="s">
        <v>1708</v>
      </c>
      <c r="BC17" s="94" t="s">
        <v>2917</v>
      </c>
      <c r="BD17" s="94" t="s">
        <v>2917</v>
      </c>
      <c r="BE17" s="94" t="s">
        <v>1305</v>
      </c>
      <c r="BF17" s="94" t="s">
        <v>1306</v>
      </c>
      <c r="BG17" s="94" t="s">
        <v>769</v>
      </c>
      <c r="BH17" s="94" t="s">
        <v>3202</v>
      </c>
      <c r="BI17" s="94" t="s">
        <v>3202</v>
      </c>
      <c r="BJ17" s="94" t="s">
        <v>2147</v>
      </c>
      <c r="BK17" s="94" t="s">
        <v>2147</v>
      </c>
      <c r="BL17" s="94" t="s">
        <v>2170</v>
      </c>
      <c r="BM17" s="94" t="s">
        <v>1590</v>
      </c>
      <c r="BN17" s="94" t="s">
        <v>1590</v>
      </c>
      <c r="BO17" s="94"/>
      <c r="BR17" s="100">
        <v>16</v>
      </c>
      <c r="BS17" s="99" t="s">
        <v>3798</v>
      </c>
      <c r="BT17" s="35"/>
      <c r="BU17" s="35"/>
      <c r="BV17" s="35"/>
      <c r="BW17" s="35"/>
    </row>
    <row r="18" spans="1:75" s="14" customFormat="1" ht="22.5" customHeight="1">
      <c r="A18" s="53" t="s">
        <v>0</v>
      </c>
      <c r="B18" s="54" t="s">
        <v>41</v>
      </c>
      <c r="C18" s="54" t="s">
        <v>613</v>
      </c>
      <c r="D18" s="54" t="s">
        <v>613</v>
      </c>
      <c r="E18" s="54" t="s">
        <v>613</v>
      </c>
      <c r="F18" s="54" t="s">
        <v>613</v>
      </c>
      <c r="G18" s="54" t="s">
        <v>34</v>
      </c>
      <c r="H18" s="123" t="s">
        <v>613</v>
      </c>
      <c r="I18" s="54" t="s">
        <v>613</v>
      </c>
      <c r="J18" s="54" t="s">
        <v>613</v>
      </c>
      <c r="K18" s="54" t="s">
        <v>613</v>
      </c>
      <c r="L18" s="54" t="s">
        <v>39</v>
      </c>
      <c r="M18" s="54" t="s">
        <v>39</v>
      </c>
      <c r="N18" s="54" t="s">
        <v>613</v>
      </c>
      <c r="O18" s="54" t="s">
        <v>39</v>
      </c>
      <c r="P18" s="54" t="s">
        <v>41</v>
      </c>
      <c r="Q18" s="54" t="s">
        <v>39</v>
      </c>
      <c r="R18" s="54" t="s">
        <v>613</v>
      </c>
      <c r="S18" s="54" t="s">
        <v>39</v>
      </c>
      <c r="T18" s="54" t="s">
        <v>613</v>
      </c>
      <c r="U18" s="123" t="s">
        <v>41</v>
      </c>
      <c r="V18" s="123" t="s">
        <v>41</v>
      </c>
      <c r="W18" s="123" t="s">
        <v>41</v>
      </c>
      <c r="X18" s="54" t="s">
        <v>613</v>
      </c>
      <c r="Y18" s="54" t="s">
        <v>613</v>
      </c>
      <c r="Z18" s="54" t="s">
        <v>613</v>
      </c>
      <c r="AA18" s="54" t="s">
        <v>613</v>
      </c>
      <c r="AB18" s="54" t="s">
        <v>41</v>
      </c>
      <c r="AC18" s="54" t="s">
        <v>41</v>
      </c>
      <c r="AD18" s="54" t="s">
        <v>613</v>
      </c>
      <c r="AE18" s="54" t="s">
        <v>613</v>
      </c>
      <c r="AF18" s="54" t="s">
        <v>613</v>
      </c>
      <c r="AG18" s="54" t="s">
        <v>613</v>
      </c>
      <c r="AH18" s="54" t="s">
        <v>41</v>
      </c>
      <c r="AI18" s="54" t="s">
        <v>41</v>
      </c>
      <c r="AJ18" s="54" t="s">
        <v>613</v>
      </c>
      <c r="AK18" s="54" t="s">
        <v>613</v>
      </c>
      <c r="AL18" s="54" t="s">
        <v>613</v>
      </c>
      <c r="AM18" s="54" t="s">
        <v>613</v>
      </c>
      <c r="AN18" s="54" t="s">
        <v>613</v>
      </c>
      <c r="AO18" s="54" t="s">
        <v>613</v>
      </c>
      <c r="AP18" s="54" t="s">
        <v>613</v>
      </c>
      <c r="AQ18" s="54" t="s">
        <v>613</v>
      </c>
      <c r="AR18" s="54" t="s">
        <v>613</v>
      </c>
      <c r="AS18" s="54" t="s">
        <v>39</v>
      </c>
      <c r="AT18" s="54" t="s">
        <v>613</v>
      </c>
      <c r="AU18" s="54" t="s">
        <v>613</v>
      </c>
      <c r="AV18" s="54" t="s">
        <v>41</v>
      </c>
      <c r="AW18" s="54" t="s">
        <v>41</v>
      </c>
      <c r="AX18" s="54" t="s">
        <v>613</v>
      </c>
      <c r="AY18" s="54" t="s">
        <v>613</v>
      </c>
      <c r="AZ18" s="54" t="s">
        <v>613</v>
      </c>
      <c r="BA18" s="54" t="s">
        <v>613</v>
      </c>
      <c r="BB18" s="54" t="s">
        <v>613</v>
      </c>
      <c r="BC18" s="54" t="s">
        <v>879</v>
      </c>
      <c r="BD18" s="54" t="s">
        <v>879</v>
      </c>
      <c r="BE18" s="54" t="s">
        <v>613</v>
      </c>
      <c r="BF18" s="54" t="s">
        <v>613</v>
      </c>
      <c r="BG18" s="54" t="s">
        <v>613</v>
      </c>
      <c r="BH18" s="54" t="s">
        <v>613</v>
      </c>
      <c r="BI18" s="54" t="s">
        <v>613</v>
      </c>
      <c r="BJ18" s="54" t="s">
        <v>613</v>
      </c>
      <c r="BK18" s="54" t="s">
        <v>613</v>
      </c>
      <c r="BL18" s="54" t="s">
        <v>41</v>
      </c>
      <c r="BM18" s="54" t="s">
        <v>41</v>
      </c>
      <c r="BN18" s="54" t="s">
        <v>41</v>
      </c>
      <c r="BO18" s="54" t="s">
        <v>41</v>
      </c>
      <c r="BR18" s="113">
        <v>17</v>
      </c>
      <c r="BS18" s="99" t="s">
        <v>3799</v>
      </c>
      <c r="BT18" s="30"/>
      <c r="BU18" s="30"/>
      <c r="BV18" s="30"/>
      <c r="BW18" s="30"/>
    </row>
    <row r="19" spans="1:75" s="2" customFormat="1" ht="11.25" customHeight="1">
      <c r="A19" s="95" t="s">
        <v>688</v>
      </c>
      <c r="B19" s="94"/>
      <c r="C19" s="94" t="s">
        <v>3089</v>
      </c>
      <c r="D19" s="94" t="s">
        <v>3089</v>
      </c>
      <c r="E19" s="94" t="s">
        <v>1992</v>
      </c>
      <c r="F19" s="94" t="s">
        <v>1992</v>
      </c>
      <c r="G19" s="94"/>
      <c r="H19" s="94" t="s">
        <v>2067</v>
      </c>
      <c r="I19" s="94" t="s">
        <v>2730</v>
      </c>
      <c r="J19" s="94" t="s">
        <v>2738</v>
      </c>
      <c r="K19" s="94" t="s">
        <v>2738</v>
      </c>
      <c r="L19" s="94" t="s">
        <v>39</v>
      </c>
      <c r="M19" s="94" t="s">
        <v>39</v>
      </c>
      <c r="N19" s="94" t="s">
        <v>1402</v>
      </c>
      <c r="O19" s="94" t="s">
        <v>39</v>
      </c>
      <c r="P19" s="94" t="s">
        <v>2463</v>
      </c>
      <c r="Q19" s="94" t="s">
        <v>39</v>
      </c>
      <c r="R19" s="94" t="s">
        <v>1658</v>
      </c>
      <c r="S19" s="94" t="s">
        <v>39</v>
      </c>
      <c r="T19" s="94" t="s">
        <v>2597</v>
      </c>
      <c r="U19" s="94" t="s">
        <v>4100</v>
      </c>
      <c r="V19" s="94" t="s">
        <v>4100</v>
      </c>
      <c r="W19" s="94" t="s">
        <v>4100</v>
      </c>
      <c r="X19" s="94" t="s">
        <v>794</v>
      </c>
      <c r="Y19" s="94" t="s">
        <v>3866</v>
      </c>
      <c r="Z19" s="94" t="s">
        <v>3867</v>
      </c>
      <c r="AA19" s="94" t="s">
        <v>3868</v>
      </c>
      <c r="AB19" s="94" t="s">
        <v>4179</v>
      </c>
      <c r="AC19" s="94" t="s">
        <v>3383</v>
      </c>
      <c r="AD19" s="94" t="s">
        <v>2410</v>
      </c>
      <c r="AE19" s="94" t="s">
        <v>2303</v>
      </c>
      <c r="AF19" s="94" t="s">
        <v>2345</v>
      </c>
      <c r="AG19" s="94" t="s">
        <v>2344</v>
      </c>
      <c r="AH19" s="94" t="s">
        <v>1146</v>
      </c>
      <c r="AI19" s="94"/>
      <c r="AJ19" s="94" t="s">
        <v>2459</v>
      </c>
      <c r="AK19" s="94" t="s">
        <v>2459</v>
      </c>
      <c r="AL19" s="94" t="s">
        <v>2565</v>
      </c>
      <c r="AM19" s="94" t="s">
        <v>3285</v>
      </c>
      <c r="AN19" s="94" t="s">
        <v>3285</v>
      </c>
      <c r="AO19" s="94" t="s">
        <v>3485</v>
      </c>
      <c r="AP19" s="94" t="s">
        <v>3485</v>
      </c>
      <c r="AQ19" s="94" t="s">
        <v>3485</v>
      </c>
      <c r="AR19" s="94" t="s">
        <v>3485</v>
      </c>
      <c r="AS19" s="94"/>
      <c r="AT19" s="94"/>
      <c r="AU19" s="94"/>
      <c r="AV19" s="94" t="s">
        <v>1444</v>
      </c>
      <c r="AW19" s="94" t="s">
        <v>1444</v>
      </c>
      <c r="AX19" s="94"/>
      <c r="AY19" s="94" t="s">
        <v>2598</v>
      </c>
      <c r="AZ19" s="94" t="s">
        <v>1256</v>
      </c>
      <c r="BA19" s="94" t="s">
        <v>2598</v>
      </c>
      <c r="BB19" s="94" t="s">
        <v>1709</v>
      </c>
      <c r="BC19" s="94" t="s">
        <v>880</v>
      </c>
      <c r="BD19" s="94" t="s">
        <v>880</v>
      </c>
      <c r="BE19" s="94" t="s">
        <v>1290</v>
      </c>
      <c r="BF19" s="94" t="s">
        <v>1290</v>
      </c>
      <c r="BG19" s="94" t="s">
        <v>770</v>
      </c>
      <c r="BH19" s="94" t="s">
        <v>3206</v>
      </c>
      <c r="BI19" s="94" t="s">
        <v>3206</v>
      </c>
      <c r="BJ19" s="94" t="s">
        <v>2141</v>
      </c>
      <c r="BK19" s="94" t="s">
        <v>2141</v>
      </c>
      <c r="BL19" s="94" t="s">
        <v>2174</v>
      </c>
      <c r="BM19" s="94" t="s">
        <v>1589</v>
      </c>
      <c r="BN19" s="94" t="s">
        <v>1589</v>
      </c>
      <c r="BO19" s="94"/>
      <c r="BR19" s="100">
        <v>18</v>
      </c>
      <c r="BS19" s="97" t="s">
        <v>1651</v>
      </c>
      <c r="BT19" s="35"/>
      <c r="BU19" s="35"/>
      <c r="BV19" s="35"/>
      <c r="BW19" s="35"/>
    </row>
    <row r="20" spans="1:75" s="14" customFormat="1" ht="22.5" customHeight="1">
      <c r="A20" s="53" t="s">
        <v>83</v>
      </c>
      <c r="B20" s="54" t="s">
        <v>41</v>
      </c>
      <c r="C20" s="54" t="s">
        <v>2210</v>
      </c>
      <c r="D20" s="54" t="s">
        <v>2210</v>
      </c>
      <c r="E20" s="54" t="s">
        <v>41</v>
      </c>
      <c r="F20" s="54" t="s">
        <v>41</v>
      </c>
      <c r="G20" s="54" t="s">
        <v>3643</v>
      </c>
      <c r="H20" s="123" t="s">
        <v>2210</v>
      </c>
      <c r="I20" s="54" t="s">
        <v>2731</v>
      </c>
      <c r="J20" s="54" t="s">
        <v>2587</v>
      </c>
      <c r="K20" s="54" t="s">
        <v>2587</v>
      </c>
      <c r="L20" s="54" t="s">
        <v>39</v>
      </c>
      <c r="M20" s="54" t="s">
        <v>39</v>
      </c>
      <c r="N20" s="54" t="s">
        <v>1904</v>
      </c>
      <c r="O20" s="54" t="s">
        <v>2821</v>
      </c>
      <c r="P20" s="54" t="s">
        <v>2210</v>
      </c>
      <c r="Q20" s="54" t="s">
        <v>39</v>
      </c>
      <c r="R20" s="54" t="s">
        <v>39</v>
      </c>
      <c r="S20" s="54" t="s">
        <v>39</v>
      </c>
      <c r="T20" s="54" t="s">
        <v>3736</v>
      </c>
      <c r="U20" s="123" t="s">
        <v>2210</v>
      </c>
      <c r="V20" s="123" t="s">
        <v>2210</v>
      </c>
      <c r="W20" s="123" t="s">
        <v>2210</v>
      </c>
      <c r="X20" s="54" t="s">
        <v>2210</v>
      </c>
      <c r="Y20" s="54" t="s">
        <v>2210</v>
      </c>
      <c r="Z20" s="54" t="s">
        <v>2210</v>
      </c>
      <c r="AA20" s="54" t="s">
        <v>2210</v>
      </c>
      <c r="AB20" s="54" t="s">
        <v>41</v>
      </c>
      <c r="AC20" s="54" t="s">
        <v>3669</v>
      </c>
      <c r="AD20" s="54" t="s">
        <v>2210</v>
      </c>
      <c r="AE20" s="54" t="s">
        <v>2210</v>
      </c>
      <c r="AF20" s="54" t="s">
        <v>306</v>
      </c>
      <c r="AG20" s="54" t="s">
        <v>306</v>
      </c>
      <c r="AH20" s="54" t="s">
        <v>1159</v>
      </c>
      <c r="AI20" s="54" t="s">
        <v>159</v>
      </c>
      <c r="AJ20" s="54" t="s">
        <v>2210</v>
      </c>
      <c r="AK20" s="54" t="s">
        <v>2210</v>
      </c>
      <c r="AL20" s="54" t="s">
        <v>2587</v>
      </c>
      <c r="AM20" s="54" t="s">
        <v>306</v>
      </c>
      <c r="AN20" s="54" t="s">
        <v>306</v>
      </c>
      <c r="AO20" s="54" t="s">
        <v>312</v>
      </c>
      <c r="AP20" s="54" t="s">
        <v>312</v>
      </c>
      <c r="AQ20" s="54" t="s">
        <v>312</v>
      </c>
      <c r="AR20" s="54" t="s">
        <v>312</v>
      </c>
      <c r="AS20" s="54" t="s">
        <v>39</v>
      </c>
      <c r="AT20" s="54" t="s">
        <v>41</v>
      </c>
      <c r="AU20" s="54" t="s">
        <v>41</v>
      </c>
      <c r="AV20" s="54" t="s">
        <v>1499</v>
      </c>
      <c r="AW20" s="54" t="s">
        <v>1499</v>
      </c>
      <c r="AX20" s="54" t="s">
        <v>361</v>
      </c>
      <c r="AY20" s="54" t="s">
        <v>2210</v>
      </c>
      <c r="AZ20" s="54" t="s">
        <v>1159</v>
      </c>
      <c r="BA20" s="54" t="s">
        <v>39</v>
      </c>
      <c r="BB20" s="54" t="s">
        <v>1313</v>
      </c>
      <c r="BC20" s="54" t="s">
        <v>1159</v>
      </c>
      <c r="BD20" s="54" t="s">
        <v>1159</v>
      </c>
      <c r="BE20" s="54" t="s">
        <v>1313</v>
      </c>
      <c r="BF20" s="54" t="s">
        <v>1313</v>
      </c>
      <c r="BG20" s="54" t="s">
        <v>1313</v>
      </c>
      <c r="BH20" s="54" t="s">
        <v>3217</v>
      </c>
      <c r="BI20" s="54" t="s">
        <v>3217</v>
      </c>
      <c r="BJ20" s="54" t="s">
        <v>312</v>
      </c>
      <c r="BK20" s="54" t="s">
        <v>312</v>
      </c>
      <c r="BL20" s="54" t="s">
        <v>2210</v>
      </c>
      <c r="BM20" s="54" t="s">
        <v>1600</v>
      </c>
      <c r="BN20" s="54" t="s">
        <v>1600</v>
      </c>
      <c r="BO20" s="54" t="s">
        <v>41</v>
      </c>
      <c r="BR20" s="113">
        <v>19</v>
      </c>
      <c r="BS20" s="111" t="s">
        <v>1379</v>
      </c>
      <c r="BT20" s="30"/>
      <c r="BU20" s="30"/>
      <c r="BV20" s="30"/>
      <c r="BW20" s="30"/>
    </row>
    <row r="21" spans="1:75" s="2" customFormat="1" ht="11.25" customHeight="1">
      <c r="A21" s="95" t="s">
        <v>688</v>
      </c>
      <c r="B21" s="94"/>
      <c r="C21" s="94" t="s">
        <v>3119</v>
      </c>
      <c r="D21" s="94" t="s">
        <v>3117</v>
      </c>
      <c r="E21" s="94" t="s">
        <v>1995</v>
      </c>
      <c r="F21" s="94" t="s">
        <v>1995</v>
      </c>
      <c r="G21" s="94" t="s">
        <v>3642</v>
      </c>
      <c r="H21" s="94" t="s">
        <v>2047</v>
      </c>
      <c r="I21" s="94" t="s">
        <v>2566</v>
      </c>
      <c r="J21" s="94" t="s">
        <v>1213</v>
      </c>
      <c r="K21" s="94" t="s">
        <v>1213</v>
      </c>
      <c r="L21" s="94" t="s">
        <v>1389</v>
      </c>
      <c r="M21" s="94" t="s">
        <v>1389</v>
      </c>
      <c r="N21" s="94" t="s">
        <v>1389</v>
      </c>
      <c r="O21" s="94" t="s">
        <v>2816</v>
      </c>
      <c r="P21" s="94" t="s">
        <v>3807</v>
      </c>
      <c r="Q21" s="94" t="s">
        <v>1389</v>
      </c>
      <c r="R21" s="94" t="s">
        <v>1685</v>
      </c>
      <c r="S21" s="94" t="s">
        <v>1389</v>
      </c>
      <c r="T21" s="94" t="s">
        <v>3717</v>
      </c>
      <c r="U21" s="94" t="s">
        <v>4104</v>
      </c>
      <c r="V21" s="94" t="s">
        <v>4104</v>
      </c>
      <c r="W21" s="94" t="s">
        <v>4104</v>
      </c>
      <c r="X21" s="94" t="s">
        <v>815</v>
      </c>
      <c r="Y21" s="94" t="s">
        <v>3869</v>
      </c>
      <c r="Z21" s="94" t="s">
        <v>3870</v>
      </c>
      <c r="AA21" s="94" t="s">
        <v>3871</v>
      </c>
      <c r="AB21" s="94" t="s">
        <v>4181</v>
      </c>
      <c r="AC21" s="94" t="s">
        <v>3668</v>
      </c>
      <c r="AD21" s="94" t="s">
        <v>2422</v>
      </c>
      <c r="AE21" s="94" t="s">
        <v>2390</v>
      </c>
      <c r="AF21" s="94" t="s">
        <v>2342</v>
      </c>
      <c r="AG21" s="94" t="s">
        <v>2278</v>
      </c>
      <c r="AH21" s="94" t="s">
        <v>1160</v>
      </c>
      <c r="AI21" s="94"/>
      <c r="AJ21" s="94" t="s">
        <v>2495</v>
      </c>
      <c r="AK21" s="94" t="s">
        <v>2512</v>
      </c>
      <c r="AL21" s="94" t="s">
        <v>1389</v>
      </c>
      <c r="AM21" s="94" t="s">
        <v>3371</v>
      </c>
      <c r="AN21" s="94" t="s">
        <v>3292</v>
      </c>
      <c r="AO21" s="94" t="s">
        <v>3529</v>
      </c>
      <c r="AP21" s="94" t="s">
        <v>3529</v>
      </c>
      <c r="AQ21" s="94" t="s">
        <v>3529</v>
      </c>
      <c r="AR21" s="94" t="s">
        <v>3529</v>
      </c>
      <c r="AS21" s="94"/>
      <c r="AT21" s="94"/>
      <c r="AU21" s="94"/>
      <c r="AV21" s="94" t="s">
        <v>1461</v>
      </c>
      <c r="AW21" s="94" t="s">
        <v>1461</v>
      </c>
      <c r="AX21" s="94"/>
      <c r="AY21" s="94" t="s">
        <v>2890</v>
      </c>
      <c r="AZ21" s="94" t="s">
        <v>1214</v>
      </c>
      <c r="BA21" s="94" t="s">
        <v>1389</v>
      </c>
      <c r="BB21" s="94" t="s">
        <v>1715</v>
      </c>
      <c r="BC21" s="94" t="s">
        <v>2918</v>
      </c>
      <c r="BD21" s="94" t="s">
        <v>2918</v>
      </c>
      <c r="BE21" s="94" t="s">
        <v>1367</v>
      </c>
      <c r="BF21" s="94" t="s">
        <v>1312</v>
      </c>
      <c r="BG21" s="94" t="s">
        <v>771</v>
      </c>
      <c r="BH21" s="94" t="s">
        <v>3216</v>
      </c>
      <c r="BI21" s="94" t="s">
        <v>3216</v>
      </c>
      <c r="BJ21" s="94" t="s">
        <v>2145</v>
      </c>
      <c r="BK21" s="94" t="s">
        <v>2145</v>
      </c>
      <c r="BL21" s="94" t="s">
        <v>1394</v>
      </c>
      <c r="BM21" s="94" t="s">
        <v>1599</v>
      </c>
      <c r="BN21" s="94" t="s">
        <v>1599</v>
      </c>
      <c r="BO21" s="94"/>
      <c r="BR21" s="100">
        <v>20</v>
      </c>
      <c r="BS21" s="98" t="s">
        <v>221</v>
      </c>
      <c r="BT21" s="35"/>
      <c r="BU21" s="35"/>
      <c r="BV21" s="35"/>
      <c r="BW21" s="35"/>
    </row>
    <row r="22" spans="1:75" s="14" customFormat="1" ht="22.5" customHeight="1">
      <c r="A22" s="53" t="s">
        <v>30</v>
      </c>
      <c r="B22" s="54" t="s">
        <v>2099</v>
      </c>
      <c r="C22" s="54" t="s">
        <v>2099</v>
      </c>
      <c r="D22" s="54" t="s">
        <v>2340</v>
      </c>
      <c r="E22" s="54" t="s">
        <v>41</v>
      </c>
      <c r="F22" s="54" t="s">
        <v>1771</v>
      </c>
      <c r="G22" s="54" t="s">
        <v>3639</v>
      </c>
      <c r="H22" s="123" t="s">
        <v>2099</v>
      </c>
      <c r="I22" s="54" t="s">
        <v>3026</v>
      </c>
      <c r="J22" s="54" t="s">
        <v>39</v>
      </c>
      <c r="K22" s="54" t="s">
        <v>39</v>
      </c>
      <c r="L22" s="54" t="s">
        <v>41</v>
      </c>
      <c r="M22" s="54" t="s">
        <v>41</v>
      </c>
      <c r="N22" s="54" t="s">
        <v>39</v>
      </c>
      <c r="O22" s="54" t="s">
        <v>39</v>
      </c>
      <c r="P22" s="54" t="s">
        <v>3804</v>
      </c>
      <c r="Q22" s="54" t="s">
        <v>3842</v>
      </c>
      <c r="R22" s="54" t="s">
        <v>41</v>
      </c>
      <c r="S22" s="54" t="s">
        <v>39</v>
      </c>
      <c r="T22" s="54" t="s">
        <v>1755</v>
      </c>
      <c r="U22" s="123" t="s">
        <v>2389</v>
      </c>
      <c r="V22" s="123" t="s">
        <v>4073</v>
      </c>
      <c r="W22" s="123" t="s">
        <v>4073</v>
      </c>
      <c r="X22" s="54" t="s">
        <v>2950</v>
      </c>
      <c r="Y22" s="54" t="s">
        <v>41</v>
      </c>
      <c r="Z22" s="54" t="s">
        <v>3288</v>
      </c>
      <c r="AA22" s="54" t="s">
        <v>3288</v>
      </c>
      <c r="AB22" s="54" t="s">
        <v>41</v>
      </c>
      <c r="AC22" s="54" t="s">
        <v>3665</v>
      </c>
      <c r="AD22" s="54" t="s">
        <v>2389</v>
      </c>
      <c r="AE22" s="54" t="s">
        <v>2389</v>
      </c>
      <c r="AF22" s="54" t="s">
        <v>2340</v>
      </c>
      <c r="AG22" s="54" t="s">
        <v>2239</v>
      </c>
      <c r="AH22" s="54" t="s">
        <v>41</v>
      </c>
      <c r="AI22" s="54" t="s">
        <v>39</v>
      </c>
      <c r="AJ22" s="54" t="s">
        <v>41</v>
      </c>
      <c r="AK22" s="54" t="s">
        <v>2510</v>
      </c>
      <c r="AL22" s="73" t="s">
        <v>39</v>
      </c>
      <c r="AM22" s="54" t="s">
        <v>3334</v>
      </c>
      <c r="AN22" s="54" t="s">
        <v>3288</v>
      </c>
      <c r="AO22" s="54" t="s">
        <v>3526</v>
      </c>
      <c r="AP22" s="54" t="s">
        <v>3526</v>
      </c>
      <c r="AQ22" s="54" t="s">
        <v>3526</v>
      </c>
      <c r="AR22" s="54" t="s">
        <v>3526</v>
      </c>
      <c r="AS22" s="54" t="s">
        <v>39</v>
      </c>
      <c r="AT22" s="54" t="s">
        <v>41</v>
      </c>
      <c r="AU22" s="54" t="s">
        <v>41</v>
      </c>
      <c r="AV22" s="54" t="s">
        <v>1497</v>
      </c>
      <c r="AW22" s="54" t="s">
        <v>41</v>
      </c>
      <c r="AX22" s="54" t="s">
        <v>41</v>
      </c>
      <c r="AY22" s="54" t="s">
        <v>41</v>
      </c>
      <c r="AZ22" s="54" t="s">
        <v>39</v>
      </c>
      <c r="BA22" s="54" t="s">
        <v>41</v>
      </c>
      <c r="BB22" s="54" t="s">
        <v>39</v>
      </c>
      <c r="BC22" s="54" t="s">
        <v>2920</v>
      </c>
      <c r="BD22" s="54" t="s">
        <v>2920</v>
      </c>
      <c r="BE22" s="54" t="s">
        <v>1310</v>
      </c>
      <c r="BF22" s="54" t="s">
        <v>1310</v>
      </c>
      <c r="BG22" s="54" t="s">
        <v>41</v>
      </c>
      <c r="BH22" s="54" t="s">
        <v>39</v>
      </c>
      <c r="BI22" s="54" t="s">
        <v>3209</v>
      </c>
      <c r="BJ22" s="54" t="s">
        <v>2116</v>
      </c>
      <c r="BK22" s="54" t="s">
        <v>2116</v>
      </c>
      <c r="BL22" s="54" t="s">
        <v>41</v>
      </c>
      <c r="BM22" s="54" t="s">
        <v>1580</v>
      </c>
      <c r="BN22" s="54" t="s">
        <v>903</v>
      </c>
      <c r="BO22" s="54" t="s">
        <v>39</v>
      </c>
      <c r="BR22" s="112">
        <v>21</v>
      </c>
      <c r="BS22" s="111" t="s">
        <v>4024</v>
      </c>
      <c r="BT22" s="30"/>
      <c r="BU22" s="110"/>
      <c r="BV22" s="30"/>
      <c r="BW22" s="30"/>
    </row>
    <row r="23" spans="1:75" s="2" customFormat="1" ht="11.25" customHeight="1">
      <c r="A23" s="95" t="s">
        <v>688</v>
      </c>
      <c r="B23" s="94"/>
      <c r="C23" s="94" t="s">
        <v>3104</v>
      </c>
      <c r="D23" s="94" t="s">
        <v>3105</v>
      </c>
      <c r="E23" s="94" t="s">
        <v>1927</v>
      </c>
      <c r="F23" s="94" t="s">
        <v>1957</v>
      </c>
      <c r="G23" s="94" t="s">
        <v>3638</v>
      </c>
      <c r="H23" s="94" t="s">
        <v>2044</v>
      </c>
      <c r="I23" s="94" t="s">
        <v>3025</v>
      </c>
      <c r="J23" s="94" t="s">
        <v>1388</v>
      </c>
      <c r="K23" s="94" t="s">
        <v>1388</v>
      </c>
      <c r="L23" s="94" t="s">
        <v>1388</v>
      </c>
      <c r="M23" s="94" t="s">
        <v>1388</v>
      </c>
      <c r="N23" s="94" t="s">
        <v>1388</v>
      </c>
      <c r="O23" s="94" t="s">
        <v>2806</v>
      </c>
      <c r="P23" s="94" t="s">
        <v>3803</v>
      </c>
      <c r="Q23" s="94" t="s">
        <v>3843</v>
      </c>
      <c r="R23" s="94" t="s">
        <v>1681</v>
      </c>
      <c r="S23" s="94" t="s">
        <v>1388</v>
      </c>
      <c r="T23" s="94" t="s">
        <v>3714</v>
      </c>
      <c r="U23" s="94" t="s">
        <v>4071</v>
      </c>
      <c r="V23" s="94" t="s">
        <v>4070</v>
      </c>
      <c r="W23" s="94" t="s">
        <v>4070</v>
      </c>
      <c r="X23" s="94" t="s">
        <v>2949</v>
      </c>
      <c r="Y23" s="94" t="s">
        <v>3872</v>
      </c>
      <c r="Z23" s="94" t="s">
        <v>3873</v>
      </c>
      <c r="AA23" s="94" t="s">
        <v>3874</v>
      </c>
      <c r="AB23" s="94" t="s">
        <v>4182</v>
      </c>
      <c r="AC23" s="94" t="s">
        <v>3664</v>
      </c>
      <c r="AD23" s="94" t="s">
        <v>2419</v>
      </c>
      <c r="AE23" s="94" t="s">
        <v>2387</v>
      </c>
      <c r="AF23" s="94" t="s">
        <v>2339</v>
      </c>
      <c r="AG23" s="94" t="s">
        <v>2277</v>
      </c>
      <c r="AH23" s="94" t="s">
        <v>1146</v>
      </c>
      <c r="AI23" s="94"/>
      <c r="AJ23" s="94" t="s">
        <v>1322</v>
      </c>
      <c r="AK23" s="94" t="s">
        <v>2509</v>
      </c>
      <c r="AL23" s="94" t="s">
        <v>39</v>
      </c>
      <c r="AM23" s="94" t="s">
        <v>3333</v>
      </c>
      <c r="AN23" s="94" t="s">
        <v>3317</v>
      </c>
      <c r="AO23" s="94" t="s">
        <v>3525</v>
      </c>
      <c r="AP23" s="94" t="s">
        <v>3525</v>
      </c>
      <c r="AQ23" s="94" t="s">
        <v>3525</v>
      </c>
      <c r="AR23" s="94" t="s">
        <v>3525</v>
      </c>
      <c r="AS23" s="94"/>
      <c r="AT23" s="94"/>
      <c r="AU23" s="94"/>
      <c r="AV23" s="94" t="s">
        <v>1496</v>
      </c>
      <c r="AW23" s="94" t="s">
        <v>1459</v>
      </c>
      <c r="AX23" s="94"/>
      <c r="AY23" s="94" t="s">
        <v>2882</v>
      </c>
      <c r="AZ23" s="94" t="s">
        <v>1388</v>
      </c>
      <c r="BA23" s="94" t="s">
        <v>1388</v>
      </c>
      <c r="BB23" s="94" t="s">
        <v>1733</v>
      </c>
      <c r="BC23" s="94" t="s">
        <v>2919</v>
      </c>
      <c r="BD23" s="94" t="s">
        <v>2919</v>
      </c>
      <c r="BE23" s="94" t="s">
        <v>1366</v>
      </c>
      <c r="BF23" s="94" t="s">
        <v>1311</v>
      </c>
      <c r="BG23" s="94" t="s">
        <v>772</v>
      </c>
      <c r="BH23" s="94" t="s">
        <v>3211</v>
      </c>
      <c r="BI23" s="94" t="s">
        <v>3210</v>
      </c>
      <c r="BJ23" s="94" t="s">
        <v>2121</v>
      </c>
      <c r="BK23" s="94" t="s">
        <v>2121</v>
      </c>
      <c r="BL23" s="94" t="s">
        <v>2209</v>
      </c>
      <c r="BM23" s="94" t="s">
        <v>1579</v>
      </c>
      <c r="BN23" s="94" t="s">
        <v>1592</v>
      </c>
      <c r="BO23" s="94"/>
      <c r="BR23" s="96">
        <v>22</v>
      </c>
      <c r="BS23" s="111" t="s">
        <v>4023</v>
      </c>
      <c r="BT23" s="35"/>
      <c r="BU23" s="35"/>
      <c r="BV23" s="35"/>
      <c r="BW23" s="35"/>
    </row>
    <row r="24" spans="1:75" s="14" customFormat="1" ht="22.5" customHeight="1">
      <c r="A24" s="53" t="s">
        <v>3086</v>
      </c>
      <c r="B24" s="54" t="s">
        <v>1319</v>
      </c>
      <c r="C24" s="54" t="s">
        <v>41</v>
      </c>
      <c r="D24" s="54" t="s">
        <v>41</v>
      </c>
      <c r="E24" s="54" t="s">
        <v>1922</v>
      </c>
      <c r="F24" s="54" t="s">
        <v>1922</v>
      </c>
      <c r="G24" s="54" t="s">
        <v>41</v>
      </c>
      <c r="H24" s="123" t="s">
        <v>2653</v>
      </c>
      <c r="I24" s="54" t="s">
        <v>41</v>
      </c>
      <c r="J24" s="54" t="s">
        <v>2785</v>
      </c>
      <c r="K24" s="54" t="s">
        <v>2785</v>
      </c>
      <c r="L24" s="54" t="s">
        <v>943</v>
      </c>
      <c r="M24" s="54" t="s">
        <v>943</v>
      </c>
      <c r="N24" s="54" t="s">
        <v>1906</v>
      </c>
      <c r="O24" s="54" t="s">
        <v>943</v>
      </c>
      <c r="P24" s="54" t="s">
        <v>41</v>
      </c>
      <c r="Q24" s="54" t="s">
        <v>943</v>
      </c>
      <c r="R24" s="54" t="s">
        <v>943</v>
      </c>
      <c r="S24" s="54" t="s">
        <v>1319</v>
      </c>
      <c r="T24" s="54" t="s">
        <v>41</v>
      </c>
      <c r="U24" s="123" t="s">
        <v>943</v>
      </c>
      <c r="V24" s="123" t="s">
        <v>41</v>
      </c>
      <c r="W24" s="123" t="s">
        <v>41</v>
      </c>
      <c r="X24" s="54" t="s">
        <v>41</v>
      </c>
      <c r="Y24" s="54" t="s">
        <v>943</v>
      </c>
      <c r="Z24" s="54" t="s">
        <v>41</v>
      </c>
      <c r="AA24" s="54" t="s">
        <v>307</v>
      </c>
      <c r="AB24" s="54" t="s">
        <v>41</v>
      </c>
      <c r="AC24" s="54" t="s">
        <v>41</v>
      </c>
      <c r="AD24" s="54" t="s">
        <v>943</v>
      </c>
      <c r="AE24" s="54" t="s">
        <v>41</v>
      </c>
      <c r="AF24" s="54" t="s">
        <v>2254</v>
      </c>
      <c r="AG24" s="54" t="s">
        <v>2254</v>
      </c>
      <c r="AH24" s="54" t="s">
        <v>1319</v>
      </c>
      <c r="AI24" s="54" t="s">
        <v>41</v>
      </c>
      <c r="AJ24" s="54" t="s">
        <v>2529</v>
      </c>
      <c r="AK24" s="54" t="s">
        <v>2529</v>
      </c>
      <c r="AL24" s="54" t="s">
        <v>943</v>
      </c>
      <c r="AM24" s="54" t="s">
        <v>41</v>
      </c>
      <c r="AN24" s="54" t="s">
        <v>307</v>
      </c>
      <c r="AO24" s="54" t="s">
        <v>41</v>
      </c>
      <c r="AP24" s="54" t="s">
        <v>41</v>
      </c>
      <c r="AQ24" s="54" t="s">
        <v>41</v>
      </c>
      <c r="AR24" s="54" t="s">
        <v>41</v>
      </c>
      <c r="AS24" s="54" t="s">
        <v>39</v>
      </c>
      <c r="AT24" s="54" t="s">
        <v>41</v>
      </c>
      <c r="AU24" s="54" t="s">
        <v>41</v>
      </c>
      <c r="AV24" s="54" t="s">
        <v>1320</v>
      </c>
      <c r="AW24" s="54" t="s">
        <v>41</v>
      </c>
      <c r="AX24" s="54" t="s">
        <v>1321</v>
      </c>
      <c r="AY24" s="54" t="s">
        <v>41</v>
      </c>
      <c r="AZ24" s="54" t="s">
        <v>943</v>
      </c>
      <c r="BA24" s="54" t="s">
        <v>943</v>
      </c>
      <c r="BB24" s="54" t="s">
        <v>2785</v>
      </c>
      <c r="BC24" s="54" t="s">
        <v>861</v>
      </c>
      <c r="BD24" s="54" t="s">
        <v>861</v>
      </c>
      <c r="BE24" s="54" t="s">
        <v>41</v>
      </c>
      <c r="BF24" s="54" t="s">
        <v>41</v>
      </c>
      <c r="BG24" s="54" t="s">
        <v>41</v>
      </c>
      <c r="BH24" s="54" t="s">
        <v>41</v>
      </c>
      <c r="BI24" s="54" t="s">
        <v>41</v>
      </c>
      <c r="BJ24" s="54" t="s">
        <v>943</v>
      </c>
      <c r="BK24" s="54" t="s">
        <v>41</v>
      </c>
      <c r="BL24" s="54" t="s">
        <v>41</v>
      </c>
      <c r="BM24" s="54" t="s">
        <v>943</v>
      </c>
      <c r="BN24" s="54" t="s">
        <v>943</v>
      </c>
      <c r="BO24" s="54" t="s">
        <v>421</v>
      </c>
      <c r="BR24" s="112">
        <v>23</v>
      </c>
      <c r="BS24" s="111" t="s">
        <v>4025</v>
      </c>
      <c r="BT24" s="30"/>
      <c r="BV24" s="30"/>
      <c r="BW24" s="30"/>
    </row>
    <row r="25" spans="1:75" s="2" customFormat="1" ht="11.25" customHeight="1">
      <c r="A25" s="95" t="s">
        <v>688</v>
      </c>
      <c r="B25" s="94"/>
      <c r="C25" s="94" t="s">
        <v>3107</v>
      </c>
      <c r="D25" s="94" t="s">
        <v>3106</v>
      </c>
      <c r="E25" s="94" t="s">
        <v>1931</v>
      </c>
      <c r="F25" s="94" t="s">
        <v>1962</v>
      </c>
      <c r="G25" s="94"/>
      <c r="H25" s="94" t="s">
        <v>2051</v>
      </c>
      <c r="I25" s="94" t="s">
        <v>1256</v>
      </c>
      <c r="J25" s="94" t="s">
        <v>2784</v>
      </c>
      <c r="K25" s="94" t="s">
        <v>2784</v>
      </c>
      <c r="L25" s="94" t="s">
        <v>2617</v>
      </c>
      <c r="M25" s="94" t="s">
        <v>2617</v>
      </c>
      <c r="N25" s="94" t="s">
        <v>1905</v>
      </c>
      <c r="O25" s="94" t="s">
        <v>2822</v>
      </c>
      <c r="P25" s="94" t="s">
        <v>2532</v>
      </c>
      <c r="Q25" s="94" t="s">
        <v>3841</v>
      </c>
      <c r="R25" s="94" t="s">
        <v>1688</v>
      </c>
      <c r="S25" s="94" t="s">
        <v>1382</v>
      </c>
      <c r="T25" s="94" t="s">
        <v>3703</v>
      </c>
      <c r="U25" s="94" t="s">
        <v>4102</v>
      </c>
      <c r="V25" s="94" t="s">
        <v>4037</v>
      </c>
      <c r="W25" s="94" t="s">
        <v>4037</v>
      </c>
      <c r="X25" s="94" t="s">
        <v>802</v>
      </c>
      <c r="Y25" s="94" t="s">
        <v>3875</v>
      </c>
      <c r="Z25" s="94" t="s">
        <v>3876</v>
      </c>
      <c r="AA25" s="94" t="s">
        <v>3877</v>
      </c>
      <c r="AB25" s="94" t="s">
        <v>4183</v>
      </c>
      <c r="AC25" s="94" t="s">
        <v>3384</v>
      </c>
      <c r="AD25" s="94" t="s">
        <v>2434</v>
      </c>
      <c r="AE25" s="94" t="s">
        <v>2368</v>
      </c>
      <c r="AF25" s="94" t="s">
        <v>2316</v>
      </c>
      <c r="AG25" s="94" t="s">
        <v>2307</v>
      </c>
      <c r="AH25" s="94" t="s">
        <v>1145</v>
      </c>
      <c r="AI25" s="94"/>
      <c r="AJ25" s="94" t="s">
        <v>2462</v>
      </c>
      <c r="AK25" s="94" t="s">
        <v>2462</v>
      </c>
      <c r="AL25" s="94" t="s">
        <v>1382</v>
      </c>
      <c r="AM25" s="94" t="s">
        <v>3379</v>
      </c>
      <c r="AN25" s="94" t="s">
        <v>3316</v>
      </c>
      <c r="AO25" s="94" t="s">
        <v>3484</v>
      </c>
      <c r="AP25" s="94" t="s">
        <v>3484</v>
      </c>
      <c r="AQ25" s="94" t="s">
        <v>3484</v>
      </c>
      <c r="AR25" s="94" t="s">
        <v>3484</v>
      </c>
      <c r="AS25" s="94"/>
      <c r="AT25" s="94"/>
      <c r="AU25" s="94"/>
      <c r="AV25" s="94" t="s">
        <v>1431</v>
      </c>
      <c r="AW25" s="94" t="s">
        <v>1434</v>
      </c>
      <c r="AX25" s="94"/>
      <c r="AY25" s="94" t="s">
        <v>2886</v>
      </c>
      <c r="AZ25" s="94" t="s">
        <v>1382</v>
      </c>
      <c r="BA25" s="94" t="s">
        <v>2617</v>
      </c>
      <c r="BB25" s="94" t="s">
        <v>2858</v>
      </c>
      <c r="BC25" s="94" t="s">
        <v>2917</v>
      </c>
      <c r="BD25" s="94" t="s">
        <v>2917</v>
      </c>
      <c r="BE25" s="94" t="s">
        <v>1314</v>
      </c>
      <c r="BF25" s="94" t="s">
        <v>1316</v>
      </c>
      <c r="BG25" s="94" t="s">
        <v>773</v>
      </c>
      <c r="BH25" s="94" t="s">
        <v>3203</v>
      </c>
      <c r="BI25" s="94" t="s">
        <v>3203</v>
      </c>
      <c r="BJ25" s="94" t="s">
        <v>1382</v>
      </c>
      <c r="BK25" s="94" t="s">
        <v>2159</v>
      </c>
      <c r="BL25" s="94" t="s">
        <v>2169</v>
      </c>
      <c r="BM25" s="94" t="s">
        <v>1639</v>
      </c>
      <c r="BN25" s="94" t="s">
        <v>1639</v>
      </c>
      <c r="BO25" s="94"/>
      <c r="BR25" s="96">
        <v>24</v>
      </c>
      <c r="BS25" s="111" t="s">
        <v>4016</v>
      </c>
      <c r="BT25" s="35"/>
      <c r="BU25" s="35"/>
      <c r="BV25" s="35"/>
      <c r="BW25" s="35"/>
    </row>
    <row r="26" spans="1:75" s="14" customFormat="1" ht="22.5" customHeight="1">
      <c r="A26" s="53" t="s">
        <v>173</v>
      </c>
      <c r="B26" s="54" t="s">
        <v>39</v>
      </c>
      <c r="C26" s="54" t="s">
        <v>41</v>
      </c>
      <c r="D26" s="54" t="s">
        <v>41</v>
      </c>
      <c r="E26" s="54" t="s">
        <v>39</v>
      </c>
      <c r="F26" s="54" t="s">
        <v>1912</v>
      </c>
      <c r="G26" s="54" t="s">
        <v>3633</v>
      </c>
      <c r="H26" s="123" t="s">
        <v>41</v>
      </c>
      <c r="I26" s="54" t="s">
        <v>41</v>
      </c>
      <c r="J26" s="54" t="s">
        <v>39</v>
      </c>
      <c r="K26" s="54" t="s">
        <v>39</v>
      </c>
      <c r="L26" s="54" t="s">
        <v>39</v>
      </c>
      <c r="M26" s="54" t="s">
        <v>39</v>
      </c>
      <c r="N26" s="54" t="s">
        <v>39</v>
      </c>
      <c r="O26" s="54" t="s">
        <v>39</v>
      </c>
      <c r="P26" s="54" t="s">
        <v>41</v>
      </c>
      <c r="Q26" s="54" t="s">
        <v>39</v>
      </c>
      <c r="R26" s="54" t="s">
        <v>39</v>
      </c>
      <c r="S26" s="54" t="s">
        <v>39</v>
      </c>
      <c r="T26" s="54" t="s">
        <v>41</v>
      </c>
      <c r="U26" s="123" t="s">
        <v>39</v>
      </c>
      <c r="V26" s="123" t="s">
        <v>39</v>
      </c>
      <c r="W26" s="123" t="s">
        <v>4081</v>
      </c>
      <c r="X26" s="54" t="s">
        <v>41</v>
      </c>
      <c r="Y26" s="54" t="s">
        <v>39</v>
      </c>
      <c r="Z26" s="54" t="s">
        <v>39</v>
      </c>
      <c r="AA26" s="54" t="s">
        <v>41</v>
      </c>
      <c r="AB26" s="54" t="s">
        <v>41</v>
      </c>
      <c r="AC26" s="54" t="s">
        <v>41</v>
      </c>
      <c r="AD26" s="54" t="s">
        <v>39</v>
      </c>
      <c r="AE26" s="54" t="s">
        <v>39</v>
      </c>
      <c r="AF26" s="54" t="s">
        <v>39</v>
      </c>
      <c r="AG26" s="54" t="s">
        <v>41</v>
      </c>
      <c r="AH26" s="54" t="s">
        <v>39</v>
      </c>
      <c r="AI26" s="54" t="s">
        <v>39</v>
      </c>
      <c r="AJ26" s="54" t="s">
        <v>2529</v>
      </c>
      <c r="AK26" s="54" t="s">
        <v>2529</v>
      </c>
      <c r="AL26" s="54" t="s">
        <v>39</v>
      </c>
      <c r="AM26" s="54" t="s">
        <v>39</v>
      </c>
      <c r="AN26" s="54" t="s">
        <v>41</v>
      </c>
      <c r="AO26" s="54" t="s">
        <v>39</v>
      </c>
      <c r="AP26" s="54" t="s">
        <v>39</v>
      </c>
      <c r="AQ26" s="54" t="s">
        <v>41</v>
      </c>
      <c r="AR26" s="54" t="s">
        <v>41</v>
      </c>
      <c r="AS26" s="54" t="s">
        <v>39</v>
      </c>
      <c r="AT26" s="54" t="s">
        <v>39</v>
      </c>
      <c r="AU26" s="54" t="s">
        <v>39</v>
      </c>
      <c r="AV26" s="54" t="s">
        <v>39</v>
      </c>
      <c r="AW26" s="54" t="s">
        <v>39</v>
      </c>
      <c r="AX26" s="54" t="s">
        <v>39</v>
      </c>
      <c r="AY26" s="54" t="s">
        <v>41</v>
      </c>
      <c r="AZ26" s="54" t="s">
        <v>39</v>
      </c>
      <c r="BA26" s="54" t="s">
        <v>39</v>
      </c>
      <c r="BB26" s="54" t="s">
        <v>39</v>
      </c>
      <c r="BC26" s="54" t="s">
        <v>39</v>
      </c>
      <c r="BD26" s="54" t="s">
        <v>39</v>
      </c>
      <c r="BE26" s="54" t="s">
        <v>39</v>
      </c>
      <c r="BF26" s="54" t="s">
        <v>41</v>
      </c>
      <c r="BG26" s="54" t="s">
        <v>41</v>
      </c>
      <c r="BH26" s="54" t="s">
        <v>39</v>
      </c>
      <c r="BI26" s="54" t="s">
        <v>3205</v>
      </c>
      <c r="BJ26" s="54" t="s">
        <v>39</v>
      </c>
      <c r="BK26" s="54" t="s">
        <v>41</v>
      </c>
      <c r="BL26" s="54" t="s">
        <v>41</v>
      </c>
      <c r="BM26" s="54" t="s">
        <v>39</v>
      </c>
      <c r="BN26" s="54" t="s">
        <v>39</v>
      </c>
      <c r="BO26" s="54" t="s">
        <v>39</v>
      </c>
      <c r="BR26" s="112">
        <v>25</v>
      </c>
      <c r="BS26" s="111" t="s">
        <v>4017</v>
      </c>
    </row>
    <row r="27" spans="1:75" s="2" customFormat="1" ht="11.25" customHeight="1">
      <c r="A27" s="95" t="s">
        <v>688</v>
      </c>
      <c r="B27" s="94"/>
      <c r="C27" s="94" t="s">
        <v>3107</v>
      </c>
      <c r="D27" s="94" t="s">
        <v>3106</v>
      </c>
      <c r="E27" s="94" t="s">
        <v>39</v>
      </c>
      <c r="F27" s="94" t="s">
        <v>1963</v>
      </c>
      <c r="G27" s="94" t="s">
        <v>3634</v>
      </c>
      <c r="H27" s="94" t="s">
        <v>4156</v>
      </c>
      <c r="I27" s="94" t="s">
        <v>3019</v>
      </c>
      <c r="J27" s="94" t="s">
        <v>39</v>
      </c>
      <c r="K27" s="94" t="s">
        <v>39</v>
      </c>
      <c r="L27" s="94" t="s">
        <v>39</v>
      </c>
      <c r="M27" s="94" t="s">
        <v>39</v>
      </c>
      <c r="N27" s="94" t="s">
        <v>39</v>
      </c>
      <c r="O27" s="94" t="s">
        <v>39</v>
      </c>
      <c r="P27" s="94" t="s">
        <v>2532</v>
      </c>
      <c r="Q27" s="94" t="s">
        <v>39</v>
      </c>
      <c r="R27" s="94" t="s">
        <v>39</v>
      </c>
      <c r="S27" s="94" t="s">
        <v>39</v>
      </c>
      <c r="T27" s="94" t="s">
        <v>3703</v>
      </c>
      <c r="U27" s="94" t="s">
        <v>4038</v>
      </c>
      <c r="V27" s="94" t="s">
        <v>4038</v>
      </c>
      <c r="W27" s="94" t="s">
        <v>4080</v>
      </c>
      <c r="X27" s="94" t="s">
        <v>802</v>
      </c>
      <c r="Y27" s="94" t="s">
        <v>39</v>
      </c>
      <c r="Z27" s="94" t="s">
        <v>39</v>
      </c>
      <c r="AA27" s="94" t="s">
        <v>3878</v>
      </c>
      <c r="AB27" s="94" t="s">
        <v>4184</v>
      </c>
      <c r="AC27" s="94" t="s">
        <v>1213</v>
      </c>
      <c r="AD27" s="94" t="s">
        <v>39</v>
      </c>
      <c r="AE27" s="94" t="s">
        <v>39</v>
      </c>
      <c r="AF27" s="94" t="s">
        <v>39</v>
      </c>
      <c r="AG27" s="94" t="s">
        <v>2308</v>
      </c>
      <c r="AH27" s="94" t="s">
        <v>39</v>
      </c>
      <c r="AI27" s="94"/>
      <c r="AJ27" s="94" t="s">
        <v>2462</v>
      </c>
      <c r="AK27" s="94" t="s">
        <v>2462</v>
      </c>
      <c r="AL27" s="94" t="s">
        <v>39</v>
      </c>
      <c r="AM27" s="94" t="s">
        <v>39</v>
      </c>
      <c r="AN27" s="94" t="s">
        <v>3277</v>
      </c>
      <c r="AO27" s="94" t="s">
        <v>39</v>
      </c>
      <c r="AP27" s="94" t="s">
        <v>39</v>
      </c>
      <c r="AQ27" s="94" t="s">
        <v>3484</v>
      </c>
      <c r="AR27" s="94" t="s">
        <v>3484</v>
      </c>
      <c r="AS27" s="94"/>
      <c r="AT27" s="94"/>
      <c r="AU27" s="94"/>
      <c r="AV27" s="94" t="s">
        <v>1435</v>
      </c>
      <c r="AW27" s="94" t="s">
        <v>1435</v>
      </c>
      <c r="AX27" s="94"/>
      <c r="AY27" s="94" t="s">
        <v>2886</v>
      </c>
      <c r="AZ27" s="94" t="s">
        <v>39</v>
      </c>
      <c r="BA27" s="94" t="s">
        <v>39</v>
      </c>
      <c r="BB27" s="94" t="s">
        <v>39</v>
      </c>
      <c r="BC27" s="94" t="s">
        <v>39</v>
      </c>
      <c r="BD27" s="94" t="s">
        <v>39</v>
      </c>
      <c r="BE27" s="94" t="s">
        <v>39</v>
      </c>
      <c r="BF27" s="94" t="s">
        <v>1316</v>
      </c>
      <c r="BG27" s="94" t="s">
        <v>773</v>
      </c>
      <c r="BH27" s="94" t="s">
        <v>39</v>
      </c>
      <c r="BI27" s="94" t="s">
        <v>3204</v>
      </c>
      <c r="BJ27" s="94" t="s">
        <v>39</v>
      </c>
      <c r="BK27" s="94" t="s">
        <v>2114</v>
      </c>
      <c r="BL27" s="94" t="s">
        <v>2169</v>
      </c>
      <c r="BM27" s="94" t="s">
        <v>39</v>
      </c>
      <c r="BN27" s="94" t="s">
        <v>39</v>
      </c>
      <c r="BO27" s="94"/>
      <c r="BR27" s="96">
        <v>26</v>
      </c>
      <c r="BS27" s="111" t="s">
        <v>4018</v>
      </c>
      <c r="BT27" s="11"/>
      <c r="BU27" s="19"/>
      <c r="BV27" s="19"/>
      <c r="BW27" s="19"/>
    </row>
    <row r="28" spans="1:75" s="14" customFormat="1" ht="22.5" customHeight="1">
      <c r="A28" s="53" t="s">
        <v>77</v>
      </c>
      <c r="B28" s="54" t="s">
        <v>43</v>
      </c>
      <c r="C28" s="54" t="s">
        <v>3101</v>
      </c>
      <c r="D28" s="54" t="s">
        <v>3085</v>
      </c>
      <c r="E28" s="54" t="s">
        <v>1919</v>
      </c>
      <c r="F28" s="54" t="s">
        <v>1919</v>
      </c>
      <c r="G28" s="54" t="s">
        <v>43</v>
      </c>
      <c r="H28" s="123" t="s">
        <v>2647</v>
      </c>
      <c r="I28" s="54" t="s">
        <v>1457</v>
      </c>
      <c r="J28" s="54" t="s">
        <v>44</v>
      </c>
      <c r="K28" s="54" t="s">
        <v>109</v>
      </c>
      <c r="L28" s="54" t="s">
        <v>3062</v>
      </c>
      <c r="M28" s="54" t="s">
        <v>3062</v>
      </c>
      <c r="N28" s="76" t="s">
        <v>231</v>
      </c>
      <c r="O28" s="54" t="s">
        <v>934</v>
      </c>
      <c r="P28" s="54" t="s">
        <v>3806</v>
      </c>
      <c r="Q28" s="76" t="s">
        <v>231</v>
      </c>
      <c r="R28" s="54" t="s">
        <v>1680</v>
      </c>
      <c r="S28" s="54" t="s">
        <v>934</v>
      </c>
      <c r="T28" s="54" t="s">
        <v>1751</v>
      </c>
      <c r="U28" s="123" t="s">
        <v>44</v>
      </c>
      <c r="V28" s="123" t="s">
        <v>4072</v>
      </c>
      <c r="W28" s="123" t="s">
        <v>4072</v>
      </c>
      <c r="X28" s="54" t="s">
        <v>2948</v>
      </c>
      <c r="Y28" s="54" t="s">
        <v>3879</v>
      </c>
      <c r="Z28" s="54" t="s">
        <v>3880</v>
      </c>
      <c r="AA28" s="54" t="s">
        <v>3881</v>
      </c>
      <c r="AB28" s="54" t="s">
        <v>4185</v>
      </c>
      <c r="AC28" s="54" t="s">
        <v>1457</v>
      </c>
      <c r="AD28" s="54" t="s">
        <v>2421</v>
      </c>
      <c r="AE28" s="54" t="s">
        <v>2386</v>
      </c>
      <c r="AF28" s="54" t="s">
        <v>2241</v>
      </c>
      <c r="AG28" s="54" t="s">
        <v>2242</v>
      </c>
      <c r="AH28" s="54" t="s">
        <v>1677</v>
      </c>
      <c r="AI28" s="54" t="s">
        <v>43</v>
      </c>
      <c r="AJ28" s="54" t="s">
        <v>1204</v>
      </c>
      <c r="AK28" s="54" t="s">
        <v>2242</v>
      </c>
      <c r="AL28" s="54" t="s">
        <v>1779</v>
      </c>
      <c r="AM28" s="54" t="s">
        <v>1779</v>
      </c>
      <c r="AN28" s="54" t="s">
        <v>1780</v>
      </c>
      <c r="AO28" s="54" t="s">
        <v>3523</v>
      </c>
      <c r="AP28" s="54" t="s">
        <v>3541</v>
      </c>
      <c r="AQ28" s="54" t="s">
        <v>3523</v>
      </c>
      <c r="AR28" s="54" t="s">
        <v>3541</v>
      </c>
      <c r="AS28" s="54" t="s">
        <v>39</v>
      </c>
      <c r="AT28" s="54" t="s">
        <v>241</v>
      </c>
      <c r="AU28" s="54" t="s">
        <v>241</v>
      </c>
      <c r="AV28" s="54" t="s">
        <v>44</v>
      </c>
      <c r="AW28" s="54" t="s">
        <v>1457</v>
      </c>
      <c r="AX28" s="54" t="s">
        <v>39</v>
      </c>
      <c r="AY28" s="54" t="s">
        <v>1751</v>
      </c>
      <c r="AZ28" s="54" t="s">
        <v>44</v>
      </c>
      <c r="BA28" s="54" t="s">
        <v>39</v>
      </c>
      <c r="BB28" s="54" t="s">
        <v>44</v>
      </c>
      <c r="BC28" s="54" t="s">
        <v>2922</v>
      </c>
      <c r="BD28" s="54" t="s">
        <v>2922</v>
      </c>
      <c r="BE28" s="54" t="s">
        <v>1364</v>
      </c>
      <c r="BF28" s="54" t="s">
        <v>1309</v>
      </c>
      <c r="BG28" s="54" t="s">
        <v>44</v>
      </c>
      <c r="BH28" s="54" t="s">
        <v>3212</v>
      </c>
      <c r="BI28" s="54" t="s">
        <v>3212</v>
      </c>
      <c r="BJ28" s="54" t="s">
        <v>3421</v>
      </c>
      <c r="BK28" s="54" t="s">
        <v>3213</v>
      </c>
      <c r="BL28" s="54" t="s">
        <v>3214</v>
      </c>
      <c r="BM28" s="54" t="s">
        <v>906</v>
      </c>
      <c r="BN28" s="54" t="s">
        <v>906</v>
      </c>
      <c r="BO28" s="54" t="s">
        <v>1884</v>
      </c>
      <c r="BR28" s="112">
        <v>27</v>
      </c>
      <c r="BS28" s="111" t="s">
        <v>793</v>
      </c>
    </row>
    <row r="29" spans="1:75" s="2" customFormat="1" ht="11.25" customHeight="1">
      <c r="A29" s="95" t="s">
        <v>688</v>
      </c>
      <c r="B29" s="94"/>
      <c r="C29" s="94" t="s">
        <v>3102</v>
      </c>
      <c r="D29" s="94" t="s">
        <v>3103</v>
      </c>
      <c r="E29" s="94" t="s">
        <v>1994</v>
      </c>
      <c r="F29" s="94" t="s">
        <v>1993</v>
      </c>
      <c r="G29" s="94"/>
      <c r="H29" s="94" t="s">
        <v>2044</v>
      </c>
      <c r="I29" s="94" t="s">
        <v>3027</v>
      </c>
      <c r="J29" s="94" t="s">
        <v>1209</v>
      </c>
      <c r="K29" s="94" t="s">
        <v>1209</v>
      </c>
      <c r="L29" s="94" t="s">
        <v>1388</v>
      </c>
      <c r="M29" s="94" t="s">
        <v>1388</v>
      </c>
      <c r="N29" s="94" t="s">
        <v>1388</v>
      </c>
      <c r="O29" s="94" t="s">
        <v>2806</v>
      </c>
      <c r="P29" s="94" t="s">
        <v>3805</v>
      </c>
      <c r="Q29" s="94" t="s">
        <v>1388</v>
      </c>
      <c r="R29" s="94" t="s">
        <v>1675</v>
      </c>
      <c r="S29" s="94" t="s">
        <v>1388</v>
      </c>
      <c r="T29" s="94" t="s">
        <v>3720</v>
      </c>
      <c r="U29" s="94" t="s">
        <v>4071</v>
      </c>
      <c r="V29" s="94" t="s">
        <v>4070</v>
      </c>
      <c r="W29" s="94" t="s">
        <v>4070</v>
      </c>
      <c r="X29" s="94" t="s">
        <v>2947</v>
      </c>
      <c r="Y29" s="94" t="s">
        <v>3882</v>
      </c>
      <c r="Z29" s="94" t="s">
        <v>3883</v>
      </c>
      <c r="AA29" s="94" t="s">
        <v>3884</v>
      </c>
      <c r="AB29" s="94" t="s">
        <v>4186</v>
      </c>
      <c r="AC29" s="94" t="s">
        <v>3666</v>
      </c>
      <c r="AD29" s="94" t="s">
        <v>2420</v>
      </c>
      <c r="AE29" s="94" t="s">
        <v>2388</v>
      </c>
      <c r="AF29" s="94" t="s">
        <v>2338</v>
      </c>
      <c r="AG29" s="94" t="s">
        <v>2276</v>
      </c>
      <c r="AH29" s="94" t="s">
        <v>1157</v>
      </c>
      <c r="AI29" s="94"/>
      <c r="AJ29" s="94" t="s">
        <v>1323</v>
      </c>
      <c r="AK29" s="94" t="s">
        <v>2508</v>
      </c>
      <c r="AL29" s="94" t="s">
        <v>1388</v>
      </c>
      <c r="AM29" s="94" t="s">
        <v>3335</v>
      </c>
      <c r="AN29" s="94" t="s">
        <v>3318</v>
      </c>
      <c r="AO29" s="94" t="s">
        <v>3524</v>
      </c>
      <c r="AP29" s="94" t="s">
        <v>3591</v>
      </c>
      <c r="AQ29" s="94" t="s">
        <v>3524</v>
      </c>
      <c r="AR29" s="94" t="s">
        <v>3542</v>
      </c>
      <c r="AS29" s="94"/>
      <c r="AT29" s="94"/>
      <c r="AU29" s="94"/>
      <c r="AV29" s="94" t="s">
        <v>1498</v>
      </c>
      <c r="AW29" s="94" t="s">
        <v>1458</v>
      </c>
      <c r="AX29" s="94"/>
      <c r="AY29" s="94" t="s">
        <v>2899</v>
      </c>
      <c r="AZ29" s="94" t="s">
        <v>3383</v>
      </c>
      <c r="BA29" s="94" t="s">
        <v>1388</v>
      </c>
      <c r="BB29" s="94" t="s">
        <v>1711</v>
      </c>
      <c r="BC29" s="94" t="s">
        <v>2921</v>
      </c>
      <c r="BD29" s="94" t="s">
        <v>2921</v>
      </c>
      <c r="BE29" s="94" t="s">
        <v>1365</v>
      </c>
      <c r="BF29" s="94" t="s">
        <v>1308</v>
      </c>
      <c r="BG29" s="94" t="s">
        <v>772</v>
      </c>
      <c r="BH29" s="94" t="s">
        <v>3211</v>
      </c>
      <c r="BI29" s="94" t="s">
        <v>3211</v>
      </c>
      <c r="BJ29" s="94" t="s">
        <v>2121</v>
      </c>
      <c r="BK29" s="94" t="s">
        <v>2122</v>
      </c>
      <c r="BL29" s="94" t="s">
        <v>2209</v>
      </c>
      <c r="BM29" s="94" t="s">
        <v>1593</v>
      </c>
      <c r="BN29" s="94" t="s">
        <v>1593</v>
      </c>
      <c r="BO29" s="94" t="s">
        <v>1885</v>
      </c>
      <c r="BR29" s="96">
        <v>28</v>
      </c>
      <c r="BS29" s="135" t="s">
        <v>4170</v>
      </c>
      <c r="BT29" s="11"/>
      <c r="BU29" s="19"/>
      <c r="BV29" s="19"/>
      <c r="BW29" s="19"/>
    </row>
    <row r="30" spans="1:75" s="14" customFormat="1" ht="22.5" customHeight="1">
      <c r="A30" s="53" t="s">
        <v>80</v>
      </c>
      <c r="B30" s="54" t="s">
        <v>78</v>
      </c>
      <c r="C30" s="54" t="s">
        <v>3116</v>
      </c>
      <c r="D30" s="54" t="s">
        <v>3116</v>
      </c>
      <c r="E30" s="54" t="s">
        <v>161</v>
      </c>
      <c r="F30" s="54" t="s">
        <v>161</v>
      </c>
      <c r="G30" s="54" t="s">
        <v>3641</v>
      </c>
      <c r="H30" s="123" t="s">
        <v>2046</v>
      </c>
      <c r="I30" s="54" t="s">
        <v>2178</v>
      </c>
      <c r="J30" s="54" t="s">
        <v>232</v>
      </c>
      <c r="K30" s="54" t="s">
        <v>232</v>
      </c>
      <c r="L30" s="54" t="s">
        <v>232</v>
      </c>
      <c r="M30" s="54" t="s">
        <v>232</v>
      </c>
      <c r="N30" s="54" t="s">
        <v>232</v>
      </c>
      <c r="O30" s="54" t="s">
        <v>2824</v>
      </c>
      <c r="P30" s="54" t="s">
        <v>3584</v>
      </c>
      <c r="Q30" s="54" t="s">
        <v>232</v>
      </c>
      <c r="R30" s="54" t="s">
        <v>232</v>
      </c>
      <c r="S30" s="54" t="s">
        <v>232</v>
      </c>
      <c r="T30" s="54" t="s">
        <v>3584</v>
      </c>
      <c r="U30" s="123" t="s">
        <v>3076</v>
      </c>
      <c r="V30" s="123" t="s">
        <v>4026</v>
      </c>
      <c r="W30" s="123" t="s">
        <v>4027</v>
      </c>
      <c r="X30" s="54" t="s">
        <v>795</v>
      </c>
      <c r="Y30" s="54" t="s">
        <v>3289</v>
      </c>
      <c r="Z30" s="54" t="s">
        <v>3289</v>
      </c>
      <c r="AA30" s="54" t="s">
        <v>3289</v>
      </c>
      <c r="AB30" s="54" t="s">
        <v>41</v>
      </c>
      <c r="AC30" s="54" t="s">
        <v>3584</v>
      </c>
      <c r="AD30" s="54" t="s">
        <v>795</v>
      </c>
      <c r="AE30" s="54" t="s">
        <v>795</v>
      </c>
      <c r="AF30" s="54" t="s">
        <v>795</v>
      </c>
      <c r="AG30" s="54" t="s">
        <v>795</v>
      </c>
      <c r="AH30" s="54" t="s">
        <v>1080</v>
      </c>
      <c r="AI30" s="54" t="s">
        <v>161</v>
      </c>
      <c r="AJ30" s="54" t="s">
        <v>161</v>
      </c>
      <c r="AK30" s="54" t="s">
        <v>161</v>
      </c>
      <c r="AL30" s="54" t="s">
        <v>161</v>
      </c>
      <c r="AM30" s="54" t="s">
        <v>3289</v>
      </c>
      <c r="AN30" s="54" t="s">
        <v>3289</v>
      </c>
      <c r="AO30" s="54" t="s">
        <v>3584</v>
      </c>
      <c r="AP30" s="54" t="s">
        <v>3584</v>
      </c>
      <c r="AQ30" s="54" t="s">
        <v>3528</v>
      </c>
      <c r="AR30" s="54" t="s">
        <v>3528</v>
      </c>
      <c r="AS30" s="54" t="s">
        <v>39</v>
      </c>
      <c r="AT30" s="54" t="s">
        <v>247</v>
      </c>
      <c r="AU30" s="54" t="s">
        <v>247</v>
      </c>
      <c r="AV30" s="54" t="s">
        <v>78</v>
      </c>
      <c r="AW30" s="54" t="s">
        <v>81</v>
      </c>
      <c r="AX30" s="54" t="s">
        <v>368</v>
      </c>
      <c r="AY30" s="54" t="s">
        <v>161</v>
      </c>
      <c r="AZ30" s="54" t="s">
        <v>3388</v>
      </c>
      <c r="BA30" s="54" t="s">
        <v>232</v>
      </c>
      <c r="BB30" s="54" t="s">
        <v>232</v>
      </c>
      <c r="BC30" s="54" t="s">
        <v>881</v>
      </c>
      <c r="BD30" s="54" t="s">
        <v>881</v>
      </c>
      <c r="BE30" s="54" t="s">
        <v>3289</v>
      </c>
      <c r="BF30" s="54" t="s">
        <v>2178</v>
      </c>
      <c r="BG30" s="54" t="s">
        <v>705</v>
      </c>
      <c r="BH30" s="54" t="s">
        <v>3191</v>
      </c>
      <c r="BI30" s="54" t="s">
        <v>3191</v>
      </c>
      <c r="BJ30" s="54" t="s">
        <v>3289</v>
      </c>
      <c r="BK30" s="54" t="s">
        <v>2178</v>
      </c>
      <c r="BL30" s="54" t="s">
        <v>2177</v>
      </c>
      <c r="BM30" s="54" t="s">
        <v>1597</v>
      </c>
      <c r="BN30" s="54" t="s">
        <v>1597</v>
      </c>
      <c r="BO30" s="54" t="s">
        <v>440</v>
      </c>
      <c r="BR30" s="112">
        <v>29</v>
      </c>
      <c r="BS30" s="111" t="s">
        <v>3649</v>
      </c>
    </row>
    <row r="31" spans="1:75" s="2" customFormat="1" ht="11.25" customHeight="1">
      <c r="A31" s="95" t="s">
        <v>688</v>
      </c>
      <c r="B31" s="94"/>
      <c r="C31" s="94" t="s">
        <v>3117</v>
      </c>
      <c r="D31" s="94" t="s">
        <v>3118</v>
      </c>
      <c r="E31" s="94" t="s">
        <v>1996</v>
      </c>
      <c r="F31" s="94" t="s">
        <v>1996</v>
      </c>
      <c r="G31" s="94" t="s">
        <v>3640</v>
      </c>
      <c r="H31" s="94" t="s">
        <v>2045</v>
      </c>
      <c r="I31" s="94" t="s">
        <v>3029</v>
      </c>
      <c r="J31" s="94" t="s">
        <v>1255</v>
      </c>
      <c r="K31" s="94" t="s">
        <v>1255</v>
      </c>
      <c r="L31" s="94" t="s">
        <v>1255</v>
      </c>
      <c r="M31" s="94" t="s">
        <v>1255</v>
      </c>
      <c r="N31" s="94" t="s">
        <v>1418</v>
      </c>
      <c r="O31" s="94" t="s">
        <v>2823</v>
      </c>
      <c r="P31" s="94" t="s">
        <v>3809</v>
      </c>
      <c r="Q31" s="94" t="s">
        <v>1255</v>
      </c>
      <c r="R31" s="94" t="s">
        <v>1682</v>
      </c>
      <c r="S31" s="94" t="s">
        <v>1255</v>
      </c>
      <c r="T31" s="94" t="s">
        <v>1255</v>
      </c>
      <c r="U31" s="94" t="s">
        <v>4119</v>
      </c>
      <c r="V31" s="94" t="s">
        <v>4120</v>
      </c>
      <c r="W31" s="94" t="s">
        <v>4121</v>
      </c>
      <c r="X31" s="94" t="s">
        <v>796</v>
      </c>
      <c r="Y31" s="94" t="s">
        <v>3885</v>
      </c>
      <c r="Z31" s="94" t="s">
        <v>3886</v>
      </c>
      <c r="AA31" s="94" t="s">
        <v>3887</v>
      </c>
      <c r="AB31" s="94" t="s">
        <v>4187</v>
      </c>
      <c r="AC31" s="94" t="s">
        <v>3667</v>
      </c>
      <c r="AD31" s="94" t="s">
        <v>2411</v>
      </c>
      <c r="AE31" s="94" t="s">
        <v>2367</v>
      </c>
      <c r="AF31" s="94" t="s">
        <v>2305</v>
      </c>
      <c r="AG31" s="94" t="s">
        <v>2306</v>
      </c>
      <c r="AH31" s="94" t="s">
        <v>1158</v>
      </c>
      <c r="AI31" s="94"/>
      <c r="AJ31" s="94" t="s">
        <v>1325</v>
      </c>
      <c r="AK31" s="94" t="s">
        <v>2511</v>
      </c>
      <c r="AL31" s="94" t="s">
        <v>1255</v>
      </c>
      <c r="AM31" s="94" t="s">
        <v>3370</v>
      </c>
      <c r="AN31" s="94" t="s">
        <v>3291</v>
      </c>
      <c r="AO31" s="94" t="s">
        <v>3527</v>
      </c>
      <c r="AP31" s="94" t="s">
        <v>3527</v>
      </c>
      <c r="AQ31" s="94" t="s">
        <v>3527</v>
      </c>
      <c r="AR31" s="94" t="s">
        <v>3527</v>
      </c>
      <c r="AS31" s="94"/>
      <c r="AT31" s="94"/>
      <c r="AU31" s="94"/>
      <c r="AV31" s="94" t="s">
        <v>1460</v>
      </c>
      <c r="AW31" s="94" t="s">
        <v>1460</v>
      </c>
      <c r="AX31" s="94"/>
      <c r="AY31" s="94" t="s">
        <v>1255</v>
      </c>
      <c r="AZ31" s="94" t="s">
        <v>3387</v>
      </c>
      <c r="BA31" s="94" t="s">
        <v>1255</v>
      </c>
      <c r="BB31" s="94" t="s">
        <v>1736</v>
      </c>
      <c r="BC31" s="94" t="s">
        <v>882</v>
      </c>
      <c r="BD31" s="94" t="s">
        <v>882</v>
      </c>
      <c r="BE31" s="94" t="s">
        <v>1368</v>
      </c>
      <c r="BF31" s="94" t="s">
        <v>1327</v>
      </c>
      <c r="BG31" s="94" t="s">
        <v>774</v>
      </c>
      <c r="BH31" s="94" t="s">
        <v>3215</v>
      </c>
      <c r="BI31" s="94" t="s">
        <v>3215</v>
      </c>
      <c r="BJ31" s="94" t="s">
        <v>3420</v>
      </c>
      <c r="BK31" s="94" t="s">
        <v>2149</v>
      </c>
      <c r="BL31" s="94" t="s">
        <v>2176</v>
      </c>
      <c r="BM31" s="94" t="s">
        <v>1598</v>
      </c>
      <c r="BN31" s="94" t="s">
        <v>1598</v>
      </c>
      <c r="BO31" s="94"/>
      <c r="BR31" s="96">
        <v>30</v>
      </c>
      <c r="BS31" s="111" t="s">
        <v>2244</v>
      </c>
      <c r="BT31" s="11"/>
      <c r="BU31" s="19"/>
      <c r="BV31" s="19"/>
      <c r="BW31" s="19"/>
    </row>
    <row r="32" spans="1:75" s="14" customFormat="1" ht="22.5" customHeight="1">
      <c r="A32" s="53" t="s">
        <v>32</v>
      </c>
      <c r="B32" s="54" t="s">
        <v>41</v>
      </c>
      <c r="C32" s="54" t="s">
        <v>41</v>
      </c>
      <c r="D32" s="54" t="s">
        <v>41</v>
      </c>
      <c r="E32" s="54" t="s">
        <v>41</v>
      </c>
      <c r="F32" s="54" t="s">
        <v>41</v>
      </c>
      <c r="G32" s="54" t="s">
        <v>41</v>
      </c>
      <c r="H32" s="123" t="s">
        <v>2652</v>
      </c>
      <c r="I32" s="54" t="s">
        <v>41</v>
      </c>
      <c r="J32" s="54" t="s">
        <v>2769</v>
      </c>
      <c r="K32" s="54" t="s">
        <v>326</v>
      </c>
      <c r="L32" s="54" t="s">
        <v>94</v>
      </c>
      <c r="M32" s="54" t="s">
        <v>94</v>
      </c>
      <c r="N32" s="54" t="s">
        <v>41</v>
      </c>
      <c r="O32" s="54" t="s">
        <v>664</v>
      </c>
      <c r="P32" s="54" t="s">
        <v>41</v>
      </c>
      <c r="Q32" s="54" t="s">
        <v>39</v>
      </c>
      <c r="R32" s="54" t="s">
        <v>39</v>
      </c>
      <c r="S32" s="54" t="s">
        <v>39</v>
      </c>
      <c r="T32" s="54" t="s">
        <v>41</v>
      </c>
      <c r="U32" s="123" t="s">
        <v>4076</v>
      </c>
      <c r="V32" s="123" t="s">
        <v>3287</v>
      </c>
      <c r="W32" s="123" t="s">
        <v>3287</v>
      </c>
      <c r="X32" s="54" t="s">
        <v>309</v>
      </c>
      <c r="Y32" s="54" t="s">
        <v>3287</v>
      </c>
      <c r="Z32" s="54" t="s">
        <v>3287</v>
      </c>
      <c r="AA32" s="54" t="s">
        <v>3287</v>
      </c>
      <c r="AB32" s="54" t="s">
        <v>41</v>
      </c>
      <c r="AC32" s="54" t="s">
        <v>3671</v>
      </c>
      <c r="AD32" s="54" t="s">
        <v>41</v>
      </c>
      <c r="AE32" s="54" t="s">
        <v>41</v>
      </c>
      <c r="AF32" s="54" t="s">
        <v>41</v>
      </c>
      <c r="AG32" s="54" t="s">
        <v>41</v>
      </c>
      <c r="AH32" s="54" t="s">
        <v>41</v>
      </c>
      <c r="AI32" s="54" t="s">
        <v>41</v>
      </c>
      <c r="AJ32" s="54" t="s">
        <v>309</v>
      </c>
      <c r="AK32" s="54" t="s">
        <v>309</v>
      </c>
      <c r="AL32" s="54" t="s">
        <v>41</v>
      </c>
      <c r="AM32" s="54" t="s">
        <v>3287</v>
      </c>
      <c r="AN32" s="54" t="s">
        <v>3287</v>
      </c>
      <c r="AO32" s="54" t="s">
        <v>41</v>
      </c>
      <c r="AP32" s="54" t="s">
        <v>41</v>
      </c>
      <c r="AQ32" s="54" t="s">
        <v>41</v>
      </c>
      <c r="AR32" s="54" t="s">
        <v>41</v>
      </c>
      <c r="AS32" s="54" t="s">
        <v>39</v>
      </c>
      <c r="AT32" s="54" t="s">
        <v>326</v>
      </c>
      <c r="AU32" s="54" t="s">
        <v>326</v>
      </c>
      <c r="AV32" s="54" t="s">
        <v>41</v>
      </c>
      <c r="AW32" s="54" t="s">
        <v>41</v>
      </c>
      <c r="AX32" s="54" t="s">
        <v>638</v>
      </c>
      <c r="AY32" s="54" t="s">
        <v>326</v>
      </c>
      <c r="AZ32" s="54" t="s">
        <v>39</v>
      </c>
      <c r="BA32" s="54" t="s">
        <v>94</v>
      </c>
      <c r="BB32" s="54" t="s">
        <v>2769</v>
      </c>
      <c r="BC32" s="54" t="s">
        <v>41</v>
      </c>
      <c r="BD32" s="54" t="s">
        <v>41</v>
      </c>
      <c r="BE32" s="54" t="s">
        <v>326</v>
      </c>
      <c r="BF32" s="54" t="s">
        <v>326</v>
      </c>
      <c r="BG32" s="54" t="s">
        <v>41</v>
      </c>
      <c r="BH32" s="54" t="s">
        <v>326</v>
      </c>
      <c r="BI32" s="54" t="s">
        <v>326</v>
      </c>
      <c r="BJ32" s="54" t="s">
        <v>326</v>
      </c>
      <c r="BK32" s="54" t="s">
        <v>326</v>
      </c>
      <c r="BL32" s="54" t="s">
        <v>41</v>
      </c>
      <c r="BM32" s="54" t="s">
        <v>41</v>
      </c>
      <c r="BN32" s="54" t="s">
        <v>41</v>
      </c>
      <c r="BO32" s="54" t="s">
        <v>41</v>
      </c>
      <c r="BR32" s="112">
        <v>31</v>
      </c>
      <c r="BS32" s="111" t="s">
        <v>2243</v>
      </c>
    </row>
    <row r="33" spans="1:75" s="2" customFormat="1" ht="21" customHeight="1">
      <c r="A33" s="95" t="s">
        <v>688</v>
      </c>
      <c r="B33" s="94"/>
      <c r="C33" s="94" t="s">
        <v>3091</v>
      </c>
      <c r="D33" s="94" t="s">
        <v>3091</v>
      </c>
      <c r="E33" s="94" t="s">
        <v>1929</v>
      </c>
      <c r="F33" s="94" t="s">
        <v>1960</v>
      </c>
      <c r="G33" s="94"/>
      <c r="H33" s="94" t="s">
        <v>2050</v>
      </c>
      <c r="I33" s="94" t="s">
        <v>3022</v>
      </c>
      <c r="J33" s="94" t="s">
        <v>1215</v>
      </c>
      <c r="K33" s="94" t="s">
        <v>1215</v>
      </c>
      <c r="L33" s="94" t="s">
        <v>1214</v>
      </c>
      <c r="M33" s="94" t="s">
        <v>1214</v>
      </c>
      <c r="N33" s="94" t="s">
        <v>1403</v>
      </c>
      <c r="O33" s="94" t="s">
        <v>2815</v>
      </c>
      <c r="P33" s="94" t="s">
        <v>1286</v>
      </c>
      <c r="Q33" s="94" t="s">
        <v>3844</v>
      </c>
      <c r="R33" s="94" t="s">
        <v>1687</v>
      </c>
      <c r="S33" s="94" t="s">
        <v>1212</v>
      </c>
      <c r="T33" s="94" t="s">
        <v>3713</v>
      </c>
      <c r="U33" s="94" t="s">
        <v>4075</v>
      </c>
      <c r="V33" s="94" t="s">
        <v>4074</v>
      </c>
      <c r="W33" s="94" t="s">
        <v>4074</v>
      </c>
      <c r="X33" s="94" t="s">
        <v>798</v>
      </c>
      <c r="Y33" s="94" t="s">
        <v>3888</v>
      </c>
      <c r="Z33" s="94" t="s">
        <v>3889</v>
      </c>
      <c r="AA33" s="94" t="s">
        <v>3890</v>
      </c>
      <c r="AB33" s="94" t="s">
        <v>4188</v>
      </c>
      <c r="AC33" s="94" t="s">
        <v>3670</v>
      </c>
      <c r="AD33" s="94" t="s">
        <v>2423</v>
      </c>
      <c r="AE33" s="94" t="s">
        <v>2391</v>
      </c>
      <c r="AF33" s="94" t="s">
        <v>2348</v>
      </c>
      <c r="AG33" s="94" t="s">
        <v>2283</v>
      </c>
      <c r="AH33" s="94" t="s">
        <v>1146</v>
      </c>
      <c r="AI33" s="94"/>
      <c r="AJ33" s="94" t="s">
        <v>2558</v>
      </c>
      <c r="AK33" s="94" t="s">
        <v>2517</v>
      </c>
      <c r="AL33" s="94" t="s">
        <v>1212</v>
      </c>
      <c r="AM33" s="94" t="s">
        <v>3285</v>
      </c>
      <c r="AN33" s="94" t="s">
        <v>3285</v>
      </c>
      <c r="AO33" s="94" t="s">
        <v>3489</v>
      </c>
      <c r="AP33" s="94" t="s">
        <v>3489</v>
      </c>
      <c r="AQ33" s="94" t="s">
        <v>3489</v>
      </c>
      <c r="AR33" s="94" t="s">
        <v>3489</v>
      </c>
      <c r="AS33" s="94"/>
      <c r="AT33" s="94"/>
      <c r="AU33" s="94"/>
      <c r="AV33" s="94" t="s">
        <v>1500</v>
      </c>
      <c r="AW33" s="94" t="s">
        <v>1462</v>
      </c>
      <c r="AX33" s="94"/>
      <c r="AY33" s="94" t="s">
        <v>2891</v>
      </c>
      <c r="AZ33" s="94" t="s">
        <v>3384</v>
      </c>
      <c r="BA33" s="94" t="s">
        <v>1212</v>
      </c>
      <c r="BB33" s="94" t="s">
        <v>2857</v>
      </c>
      <c r="BC33" s="94" t="s">
        <v>2917</v>
      </c>
      <c r="BD33" s="94" t="s">
        <v>2917</v>
      </c>
      <c r="BE33" s="94" t="s">
        <v>1295</v>
      </c>
      <c r="BF33" s="94" t="s">
        <v>1295</v>
      </c>
      <c r="BG33" s="94" t="s">
        <v>775</v>
      </c>
      <c r="BH33" s="94" t="s">
        <v>3219</v>
      </c>
      <c r="BI33" s="94" t="s">
        <v>3219</v>
      </c>
      <c r="BJ33" s="94" t="s">
        <v>2143</v>
      </c>
      <c r="BK33" s="94" t="s">
        <v>2143</v>
      </c>
      <c r="BL33" s="94" t="s">
        <v>2213</v>
      </c>
      <c r="BM33" s="94" t="s">
        <v>1601</v>
      </c>
      <c r="BN33" s="94" t="s">
        <v>1601</v>
      </c>
      <c r="BO33" s="94"/>
      <c r="BR33" s="96">
        <v>32</v>
      </c>
      <c r="BS33" s="111" t="s">
        <v>2238</v>
      </c>
      <c r="BT33" s="11"/>
      <c r="BU33" s="19"/>
      <c r="BV33" s="19"/>
      <c r="BW33" s="19"/>
    </row>
    <row r="34" spans="1:75" s="2" customFormat="1" ht="20.25" customHeight="1">
      <c r="A34" s="56"/>
      <c r="B34" s="55"/>
      <c r="C34" s="55"/>
      <c r="D34" s="55"/>
      <c r="E34" s="55"/>
      <c r="F34" s="55"/>
      <c r="G34" s="55"/>
      <c r="H34" s="3"/>
      <c r="I34" s="55"/>
      <c r="J34" s="3"/>
      <c r="K34" s="3"/>
      <c r="L34" s="3"/>
      <c r="M34" s="3"/>
      <c r="N34" s="3"/>
      <c r="O34" s="3"/>
      <c r="P34" s="56"/>
      <c r="Q34" s="56"/>
      <c r="R34" s="3"/>
      <c r="S34" s="55"/>
      <c r="T34" s="120"/>
      <c r="U34" s="120"/>
      <c r="V34" s="120"/>
      <c r="W34" s="55"/>
      <c r="X34" s="56"/>
      <c r="Y34" s="56"/>
      <c r="Z34" s="56"/>
      <c r="AA34" s="56"/>
      <c r="AB34" s="56"/>
      <c r="AC34" s="56"/>
      <c r="AD34" s="55"/>
      <c r="AE34" s="55"/>
      <c r="AF34" s="56"/>
      <c r="AG34" s="56"/>
      <c r="AH34" s="3"/>
      <c r="AI34" s="3"/>
      <c r="AJ34" s="121"/>
      <c r="AK34" s="121"/>
      <c r="AL34" s="4"/>
      <c r="AM34" s="4"/>
      <c r="AN34" s="121"/>
      <c r="AO34" s="4"/>
      <c r="AP34" s="4"/>
      <c r="AQ34" s="4"/>
      <c r="AR34" s="4"/>
      <c r="AS34" s="4"/>
      <c r="AT34" s="4"/>
      <c r="AU34" s="4"/>
      <c r="AV34" s="4"/>
      <c r="AW34" s="4"/>
      <c r="AX34" s="55"/>
      <c r="AY34" s="55"/>
      <c r="AZ34" s="4"/>
      <c r="BA34" s="4"/>
      <c r="BB34" s="55"/>
      <c r="BC34" s="55"/>
      <c r="BD34" s="55"/>
      <c r="BE34" s="4"/>
      <c r="BF34" s="4"/>
      <c r="BG34" s="55"/>
      <c r="BH34" s="55"/>
      <c r="BI34" s="55"/>
      <c r="BJ34" s="121"/>
      <c r="BK34" s="121"/>
      <c r="BL34" s="121"/>
      <c r="BM34" s="4"/>
      <c r="BN34" s="4"/>
      <c r="BO34" s="55"/>
      <c r="BR34" s="112">
        <v>33</v>
      </c>
      <c r="BS34" s="111" t="s">
        <v>684</v>
      </c>
    </row>
    <row r="35" spans="1:75" s="2" customFormat="1" ht="22.5" customHeight="1">
      <c r="A35" s="50" t="s">
        <v>69</v>
      </c>
      <c r="B35" s="57" t="str">
        <f t="shared" ref="B35:AX35" si="0">B1</f>
        <v>Alte Leipziger XXL</v>
      </c>
      <c r="C35" s="57" t="str">
        <f t="shared" si="0"/>
        <v>Ammerländer Excellent</v>
      </c>
      <c r="D35" s="57" t="str">
        <f t="shared" si="0"/>
        <v>Ammerländer Exclusiv</v>
      </c>
      <c r="E35" s="57" t="str">
        <f t="shared" si="0"/>
        <v>ARAG Komfort</v>
      </c>
      <c r="F35" s="57" t="str">
        <f t="shared" si="0"/>
        <v>ARAG Premium</v>
      </c>
      <c r="G35" s="57" t="str">
        <f t="shared" si="0"/>
        <v>AXA Komfort ohne BR</v>
      </c>
      <c r="H35" s="57" t="str">
        <f t="shared" si="0"/>
        <v>Baden Badener Top 2013</v>
      </c>
      <c r="I35" s="57" t="str">
        <f t="shared" si="0"/>
        <v>Basler UnfallProtect - Max</v>
      </c>
      <c r="J35" s="57" t="str">
        <f t="shared" si="0"/>
        <v>Condor Comfort</v>
      </c>
      <c r="K35" s="57" t="str">
        <f t="shared" si="0"/>
        <v>Condor Premium</v>
      </c>
      <c r="L35" s="57" t="str">
        <f t="shared" si="0"/>
        <v>Cosmos Comfort-Schutz</v>
      </c>
      <c r="M35" s="57" t="str">
        <f t="shared" si="0"/>
        <v>Cosmos Comfort-Schutz Plus</v>
      </c>
      <c r="N35" s="57" t="str">
        <f t="shared" si="0"/>
        <v>Debeka</v>
      </c>
      <c r="O35" s="57" t="str">
        <f t="shared" si="0"/>
        <v>DEVK Komplett</v>
      </c>
      <c r="P35" s="57" t="str">
        <f>P1</f>
        <v>die Bayerische Komfort</v>
      </c>
      <c r="Q35" s="57" t="str">
        <f>Q1</f>
        <v>die Bayerische Standard</v>
      </c>
      <c r="R35" s="57" t="str">
        <f t="shared" si="0"/>
        <v>ERGO Unfallschutz Familie</v>
      </c>
      <c r="S35" s="57" t="str">
        <f t="shared" si="0"/>
        <v>GDV Musterbedingungen</v>
      </c>
      <c r="T35" s="57" t="str">
        <f t="shared" si="0"/>
        <v>Generali Komfort Plus</v>
      </c>
      <c r="U35" s="57" t="str">
        <f t="shared" si="0"/>
        <v>Gothaer Unfall 2014</v>
      </c>
      <c r="V35" s="57" t="str">
        <f t="shared" si="0"/>
        <v>Gothaer UnfallTop 2014</v>
      </c>
      <c r="W35" s="57" t="str">
        <f t="shared" si="0"/>
        <v>Gothaer UnfallTop 2014 Plus</v>
      </c>
      <c r="X35" s="57" t="str">
        <f>X1</f>
        <v>Häger Top</v>
      </c>
      <c r="Y35" s="57" t="str">
        <f>Y1</f>
        <v>HanseMerkur Grund-Schutz</v>
      </c>
      <c r="Z35" s="57" t="str">
        <f>Z1</f>
        <v>HanseMerkur Kompakt-Schutz</v>
      </c>
      <c r="AA35" s="57" t="str">
        <f>AA1</f>
        <v>HanseMerkur Top-Schutz</v>
      </c>
      <c r="AB35" s="57" t="s">
        <v>4170</v>
      </c>
      <c r="AC35" s="57" t="str">
        <f>AC1</f>
        <v>Helvetia Komfort</v>
      </c>
      <c r="AD35" s="57" t="str">
        <f t="shared" si="0"/>
        <v>HKD Basisschutz</v>
      </c>
      <c r="AE35" s="57" t="str">
        <f t="shared" si="0"/>
        <v>HKD Komfortschutz</v>
      </c>
      <c r="AF35" s="57" t="str">
        <f t="shared" si="0"/>
        <v>HKD Komfortschutz Plus</v>
      </c>
      <c r="AG35" s="57" t="str">
        <f t="shared" si="0"/>
        <v>HKD Vollschutz</v>
      </c>
      <c r="AH35" s="57" t="str">
        <f t="shared" si="0"/>
        <v>Ideal Unfall Rente Exklusiv</v>
      </c>
      <c r="AI35" s="57" t="str">
        <f t="shared" si="0"/>
        <v>Interlloyd AUB 2000</v>
      </c>
      <c r="AJ35" s="57" t="str">
        <f t="shared" si="0"/>
        <v>Interlloyd Premium</v>
      </c>
      <c r="AK35" s="57" t="str">
        <f t="shared" si="0"/>
        <v>Interlloyd Premium Plus</v>
      </c>
      <c r="AL35" s="57" t="str">
        <f t="shared" si="0"/>
        <v>Interlloyd Protect</v>
      </c>
      <c r="AM35" s="57" t="str">
        <f t="shared" si="0"/>
        <v>Interrisk XL (Plus-Taxe)</v>
      </c>
      <c r="AN35" s="57" t="str">
        <f t="shared" si="0"/>
        <v>Interrisk XXL (Maxi-Taxe)</v>
      </c>
      <c r="AO35" s="57" t="str">
        <f t="shared" si="0"/>
        <v>Janitos Balance</v>
      </c>
      <c r="AP35" s="57" t="str">
        <f>AP1</f>
        <v>Janitos Balance Plus</v>
      </c>
      <c r="AQ35" s="57" t="str">
        <f>AQ1</f>
        <v>Janitos Best Selection</v>
      </c>
      <c r="AR35" s="57" t="str">
        <f>AR1</f>
        <v>Janitos Best Selection Plus</v>
      </c>
      <c r="AS35" s="57" t="str">
        <f t="shared" si="0"/>
        <v>Keine</v>
      </c>
      <c r="AT35" s="57" t="str">
        <f t="shared" si="0"/>
        <v>KRAVAG Familien-UV 2011</v>
      </c>
      <c r="AU35" s="57" t="str">
        <f t="shared" si="0"/>
        <v>KRAVAG Gruppen-UV 2011</v>
      </c>
      <c r="AV35" s="136" t="str">
        <f t="shared" si="0"/>
        <v>nationale suisse Komfort</v>
      </c>
      <c r="AW35" s="136" t="str">
        <f t="shared" si="0"/>
        <v>nationale suisse Premium</v>
      </c>
      <c r="AX35" s="57" t="str">
        <f t="shared" si="0"/>
        <v>Nürnberger</v>
      </c>
      <c r="AY35" s="57"/>
      <c r="AZ35" s="57" t="str">
        <f>AZ1</f>
        <v>Prokundo Unfall</v>
      </c>
      <c r="BA35" s="57" t="str">
        <f t="shared" ref="BA35:BL35" si="1">BA1</f>
        <v>Provinzial Rundumschutz</v>
      </c>
      <c r="BB35" s="57" t="str">
        <f t="shared" si="1"/>
        <v>R+V PrivatPolice Comfort</v>
      </c>
      <c r="BC35" s="57" t="str">
        <f t="shared" si="1"/>
        <v>Signal Iduna Exklusiv</v>
      </c>
      <c r="BD35" s="57" t="str">
        <f t="shared" si="1"/>
        <v>Signal Iduna Exklusiv (ÖD)
z.B. PVAG, VÖDAG</v>
      </c>
      <c r="BE35" s="57" t="str">
        <f t="shared" si="1"/>
        <v>SLP Primus</v>
      </c>
      <c r="BF35" s="57" t="str">
        <f t="shared" si="1"/>
        <v>SLP Primus Plus</v>
      </c>
      <c r="BG35" s="57" t="str">
        <f>BG1</f>
        <v>Stuttgarter 1000Plus</v>
      </c>
      <c r="BH35" s="57" t="str">
        <f t="shared" si="1"/>
        <v>VdVA Classic</v>
      </c>
      <c r="BI35" s="57" t="str">
        <f t="shared" si="1"/>
        <v>VdVA Exclusiv</v>
      </c>
      <c r="BJ35" s="57" t="str">
        <f>BJ1</f>
        <v>VHV Klassik Garant</v>
      </c>
      <c r="BK35" s="57" t="str">
        <f t="shared" si="1"/>
        <v>VHV Klassik Garant Exklusiv</v>
      </c>
      <c r="BL35" s="57" t="str">
        <f t="shared" si="1"/>
        <v>WÜBA Unfall AKTIV Premium</v>
      </c>
      <c r="BM35" s="57" t="str">
        <f>BM1</f>
        <v>Württembergische Platinum</v>
      </c>
      <c r="BN35" s="57" t="str">
        <f>BN1</f>
        <v>Württembergische Premium</v>
      </c>
      <c r="BO35" s="57" t="str">
        <f>BO1</f>
        <v>Zurich Makler Top-Schutz</v>
      </c>
      <c r="BR35" s="96">
        <v>34</v>
      </c>
      <c r="BS35" s="111" t="s">
        <v>1127</v>
      </c>
    </row>
    <row r="36" spans="1:75" s="14" customFormat="1" ht="22.5" customHeight="1">
      <c r="A36" s="53" t="s">
        <v>26</v>
      </c>
      <c r="B36" s="54" t="s">
        <v>190</v>
      </c>
      <c r="C36" s="54" t="s">
        <v>136</v>
      </c>
      <c r="D36" s="54" t="s">
        <v>42</v>
      </c>
      <c r="E36" s="54" t="s">
        <v>1936</v>
      </c>
      <c r="F36" s="54" t="s">
        <v>1937</v>
      </c>
      <c r="G36" s="54" t="s">
        <v>64</v>
      </c>
      <c r="H36" s="123" t="s">
        <v>136</v>
      </c>
      <c r="I36" s="54" t="s">
        <v>138</v>
      </c>
      <c r="J36" s="54" t="s">
        <v>2773</v>
      </c>
      <c r="K36" s="54" t="s">
        <v>2751</v>
      </c>
      <c r="L36" s="54" t="s">
        <v>65</v>
      </c>
      <c r="M36" s="54" t="s">
        <v>65</v>
      </c>
      <c r="N36" s="54" t="s">
        <v>65</v>
      </c>
      <c r="O36" s="54" t="s">
        <v>65</v>
      </c>
      <c r="P36" s="79" t="s">
        <v>64</v>
      </c>
      <c r="Q36" s="79" t="s">
        <v>65</v>
      </c>
      <c r="R36" s="54" t="s">
        <v>1670</v>
      </c>
      <c r="S36" s="54" t="s">
        <v>39</v>
      </c>
      <c r="T36" s="54" t="s">
        <v>64</v>
      </c>
      <c r="U36" s="123" t="s">
        <v>65</v>
      </c>
      <c r="V36" s="123" t="s">
        <v>138</v>
      </c>
      <c r="W36" s="123" t="s">
        <v>190</v>
      </c>
      <c r="X36" s="54" t="s">
        <v>190</v>
      </c>
      <c r="Y36" s="54" t="s">
        <v>65</v>
      </c>
      <c r="Z36" s="54" t="s">
        <v>64</v>
      </c>
      <c r="AA36" s="54" t="s">
        <v>190</v>
      </c>
      <c r="AB36" s="54" t="s">
        <v>138</v>
      </c>
      <c r="AC36" s="54" t="s">
        <v>136</v>
      </c>
      <c r="AD36" s="54" t="s">
        <v>65</v>
      </c>
      <c r="AE36" s="54" t="s">
        <v>65</v>
      </c>
      <c r="AF36" s="54" t="s">
        <v>138</v>
      </c>
      <c r="AG36" s="54" t="s">
        <v>136</v>
      </c>
      <c r="AH36" s="54" t="s">
        <v>64</v>
      </c>
      <c r="AI36" s="54" t="s">
        <v>160</v>
      </c>
      <c r="AJ36" s="54" t="s">
        <v>175</v>
      </c>
      <c r="AK36" s="54" t="s">
        <v>2477</v>
      </c>
      <c r="AL36" s="54" t="s">
        <v>25</v>
      </c>
      <c r="AM36" s="54" t="s">
        <v>64</v>
      </c>
      <c r="AN36" s="77" t="s">
        <v>41</v>
      </c>
      <c r="AO36" s="54" t="s">
        <v>3565</v>
      </c>
      <c r="AP36" s="54" t="s">
        <v>41</v>
      </c>
      <c r="AQ36" s="54" t="s">
        <v>196</v>
      </c>
      <c r="AR36" s="54" t="s">
        <v>41</v>
      </c>
      <c r="AS36" s="54" t="s">
        <v>39</v>
      </c>
      <c r="AT36" s="75" t="s">
        <v>64</v>
      </c>
      <c r="AU36" s="75" t="s">
        <v>64</v>
      </c>
      <c r="AV36" s="77" t="s">
        <v>65</v>
      </c>
      <c r="AW36" s="77" t="s">
        <v>190</v>
      </c>
      <c r="AX36" s="54" t="s">
        <v>376</v>
      </c>
      <c r="AY36" s="54" t="s">
        <v>65</v>
      </c>
      <c r="AZ36" s="54" t="s">
        <v>41</v>
      </c>
      <c r="BA36" s="54" t="s">
        <v>65</v>
      </c>
      <c r="BB36" s="54" t="s">
        <v>2773</v>
      </c>
      <c r="BC36" s="54" t="s">
        <v>843</v>
      </c>
      <c r="BD36" s="54" t="s">
        <v>843</v>
      </c>
      <c r="BE36" s="73" t="s">
        <v>65</v>
      </c>
      <c r="BF36" s="73" t="s">
        <v>210</v>
      </c>
      <c r="BG36" s="79" t="s">
        <v>776</v>
      </c>
      <c r="BH36" s="79" t="s">
        <v>65</v>
      </c>
      <c r="BI36" s="79" t="s">
        <v>138</v>
      </c>
      <c r="BJ36" s="77" t="s">
        <v>190</v>
      </c>
      <c r="BK36" s="77" t="s">
        <v>196</v>
      </c>
      <c r="BL36" s="79" t="s">
        <v>2190</v>
      </c>
      <c r="BM36" s="54" t="s">
        <v>970</v>
      </c>
      <c r="BN36" s="54" t="s">
        <v>970</v>
      </c>
      <c r="BO36" s="54" t="s">
        <v>426</v>
      </c>
      <c r="BR36" s="112">
        <v>35</v>
      </c>
      <c r="BS36" s="111" t="s">
        <v>157</v>
      </c>
    </row>
    <row r="37" spans="1:75" s="2" customFormat="1" ht="11.25" customHeight="1">
      <c r="A37" s="95" t="s">
        <v>688</v>
      </c>
      <c r="B37" s="94"/>
      <c r="C37" s="94" t="s">
        <v>3131</v>
      </c>
      <c r="D37" s="94" t="s">
        <v>3132</v>
      </c>
      <c r="E37" s="94" t="s">
        <v>1935</v>
      </c>
      <c r="F37" s="94" t="s">
        <v>1974</v>
      </c>
      <c r="G37" s="94"/>
      <c r="H37" s="94" t="s">
        <v>2661</v>
      </c>
      <c r="I37" s="94" t="s">
        <v>2725</v>
      </c>
      <c r="J37" s="94" t="s">
        <v>2772</v>
      </c>
      <c r="K37" s="94" t="s">
        <v>2750</v>
      </c>
      <c r="L37" s="94" t="s">
        <v>3061</v>
      </c>
      <c r="M37" s="94" t="s">
        <v>3061</v>
      </c>
      <c r="N37" s="94" t="s">
        <v>1900</v>
      </c>
      <c r="O37" s="94" t="s">
        <v>2793</v>
      </c>
      <c r="P37" s="94" t="s">
        <v>1322</v>
      </c>
      <c r="Q37" s="94" t="s">
        <v>1290</v>
      </c>
      <c r="R37" s="94" t="s">
        <v>1671</v>
      </c>
      <c r="S37" s="94" t="s">
        <v>39</v>
      </c>
      <c r="T37" s="94" t="s">
        <v>3710</v>
      </c>
      <c r="U37" s="94" t="s">
        <v>4061</v>
      </c>
      <c r="V37" s="94" t="s">
        <v>4060</v>
      </c>
      <c r="W37" s="94" t="s">
        <v>4089</v>
      </c>
      <c r="X37" s="94" t="s">
        <v>2940</v>
      </c>
      <c r="Y37" s="94" t="s">
        <v>3891</v>
      </c>
      <c r="Z37" s="94" t="s">
        <v>3891</v>
      </c>
      <c r="AA37" s="94" t="s">
        <v>3891</v>
      </c>
      <c r="AB37" s="94" t="s">
        <v>4189</v>
      </c>
      <c r="AC37" s="94" t="s">
        <v>3684</v>
      </c>
      <c r="AD37" s="94" t="s">
        <v>2415</v>
      </c>
      <c r="AE37" s="94" t="s">
        <v>2377</v>
      </c>
      <c r="AF37" s="94" t="s">
        <v>2330</v>
      </c>
      <c r="AG37" s="94" t="s">
        <v>2267</v>
      </c>
      <c r="AH37" s="94" t="s">
        <v>1141</v>
      </c>
      <c r="AI37" s="94"/>
      <c r="AJ37" s="94" t="s">
        <v>2535</v>
      </c>
      <c r="AK37" s="94" t="s">
        <v>2478</v>
      </c>
      <c r="AL37" s="94" t="s">
        <v>2580</v>
      </c>
      <c r="AM37" s="94" t="s">
        <v>3344</v>
      </c>
      <c r="AN37" s="94" t="s">
        <v>3299</v>
      </c>
      <c r="AO37" s="94" t="s">
        <v>3507</v>
      </c>
      <c r="AP37" s="94" t="s">
        <v>3601</v>
      </c>
      <c r="AQ37" s="94" t="s">
        <v>3507</v>
      </c>
      <c r="AR37" s="94" t="s">
        <v>3546</v>
      </c>
      <c r="AS37" s="94"/>
      <c r="AT37" s="94"/>
      <c r="AU37" s="94"/>
      <c r="AV37" s="94" t="s">
        <v>1465</v>
      </c>
      <c r="AW37" s="94" t="s">
        <v>1465</v>
      </c>
      <c r="AX37" s="94"/>
      <c r="AY37" s="94" t="s">
        <v>2894</v>
      </c>
      <c r="AZ37" s="94" t="s">
        <v>1254</v>
      </c>
      <c r="BA37" s="94" t="s">
        <v>2608</v>
      </c>
      <c r="BB37" s="94" t="s">
        <v>2861</v>
      </c>
      <c r="BC37" s="94" t="s">
        <v>844</v>
      </c>
      <c r="BD37" s="94" t="s">
        <v>844</v>
      </c>
      <c r="BE37" s="94" t="s">
        <v>1347</v>
      </c>
      <c r="BF37" s="94" t="s">
        <v>1347</v>
      </c>
      <c r="BG37" s="94" t="s">
        <v>2999</v>
      </c>
      <c r="BH37" s="94" t="s">
        <v>3232</v>
      </c>
      <c r="BI37" s="94" t="s">
        <v>3232</v>
      </c>
      <c r="BJ37" s="94" t="s">
        <v>3419</v>
      </c>
      <c r="BK37" s="94" t="s">
        <v>2107</v>
      </c>
      <c r="BL37" s="94" t="s">
        <v>2191</v>
      </c>
      <c r="BM37" s="94" t="s">
        <v>1637</v>
      </c>
      <c r="BN37" s="94" t="s">
        <v>1637</v>
      </c>
      <c r="BO37" s="94"/>
      <c r="BR37" s="96">
        <v>36</v>
      </c>
      <c r="BS37" s="99" t="s">
        <v>84</v>
      </c>
      <c r="BT37" s="11"/>
      <c r="BU37" s="19"/>
      <c r="BV37" s="19"/>
      <c r="BW37" s="19"/>
    </row>
    <row r="38" spans="1:75" s="14" customFormat="1" ht="22.5" customHeight="1">
      <c r="A38" s="53" t="s">
        <v>2663</v>
      </c>
      <c r="B38" s="54" t="s">
        <v>267</v>
      </c>
      <c r="C38" s="54" t="s">
        <v>267</v>
      </c>
      <c r="D38" s="54" t="s">
        <v>267</v>
      </c>
      <c r="E38" s="54" t="s">
        <v>1938</v>
      </c>
      <c r="F38" s="54" t="s">
        <v>1938</v>
      </c>
      <c r="G38" s="54" t="s">
        <v>267</v>
      </c>
      <c r="H38" s="123" t="s">
        <v>4161</v>
      </c>
      <c r="I38" s="54" t="s">
        <v>2723</v>
      </c>
      <c r="J38" s="54" t="s">
        <v>388</v>
      </c>
      <c r="K38" s="54" t="s">
        <v>388</v>
      </c>
      <c r="L38" s="54" t="s">
        <v>39</v>
      </c>
      <c r="M38" s="54" t="s">
        <v>39</v>
      </c>
      <c r="N38" s="54" t="s">
        <v>1898</v>
      </c>
      <c r="O38" s="54" t="s">
        <v>39</v>
      </c>
      <c r="P38" s="79" t="s">
        <v>39</v>
      </c>
      <c r="Q38" s="79" t="s">
        <v>39</v>
      </c>
      <c r="R38" s="54" t="s">
        <v>388</v>
      </c>
      <c r="S38" s="54" t="s">
        <v>39</v>
      </c>
      <c r="T38" s="54" t="s">
        <v>39</v>
      </c>
      <c r="U38" s="123" t="s">
        <v>267</v>
      </c>
      <c r="V38" s="123" t="s">
        <v>267</v>
      </c>
      <c r="W38" s="123" t="s">
        <v>267</v>
      </c>
      <c r="X38" s="54" t="s">
        <v>388</v>
      </c>
      <c r="Y38" s="54" t="s">
        <v>388</v>
      </c>
      <c r="Z38" s="54" t="s">
        <v>388</v>
      </c>
      <c r="AA38" s="54" t="s">
        <v>388</v>
      </c>
      <c r="AB38" s="54" t="s">
        <v>388</v>
      </c>
      <c r="AC38" s="54" t="s">
        <v>388</v>
      </c>
      <c r="AD38" s="54" t="s">
        <v>2379</v>
      </c>
      <c r="AE38" s="54" t="s">
        <v>2379</v>
      </c>
      <c r="AF38" s="54" t="s">
        <v>2250</v>
      </c>
      <c r="AG38" s="54" t="s">
        <v>2247</v>
      </c>
      <c r="AH38" s="54" t="s">
        <v>1143</v>
      </c>
      <c r="AI38" s="54" t="s">
        <v>162</v>
      </c>
      <c r="AJ38" s="54" t="s">
        <v>1768</v>
      </c>
      <c r="AK38" s="54" t="s">
        <v>2483</v>
      </c>
      <c r="AL38" s="54" t="s">
        <v>465</v>
      </c>
      <c r="AM38" s="79" t="s">
        <v>3324</v>
      </c>
      <c r="AN38" s="79" t="s">
        <v>3324</v>
      </c>
      <c r="AO38" s="54" t="s">
        <v>388</v>
      </c>
      <c r="AP38" s="54" t="s">
        <v>388</v>
      </c>
      <c r="AQ38" s="54" t="s">
        <v>388</v>
      </c>
      <c r="AR38" s="54" t="s">
        <v>388</v>
      </c>
      <c r="AS38" s="54" t="s">
        <v>39</v>
      </c>
      <c r="AT38" s="54" t="s">
        <v>39</v>
      </c>
      <c r="AU38" s="79" t="s">
        <v>39</v>
      </c>
      <c r="AV38" s="77" t="s">
        <v>388</v>
      </c>
      <c r="AW38" s="77" t="s">
        <v>388</v>
      </c>
      <c r="AX38" s="54" t="s">
        <v>377</v>
      </c>
      <c r="AY38" s="54" t="s">
        <v>388</v>
      </c>
      <c r="AZ38" s="54" t="s">
        <v>39</v>
      </c>
      <c r="BA38" s="54" t="s">
        <v>388</v>
      </c>
      <c r="BB38" s="54" t="s">
        <v>388</v>
      </c>
      <c r="BC38" s="54" t="s">
        <v>102</v>
      </c>
      <c r="BD38" s="54" t="s">
        <v>102</v>
      </c>
      <c r="BE38" s="73" t="s">
        <v>388</v>
      </c>
      <c r="BF38" s="73" t="s">
        <v>388</v>
      </c>
      <c r="BG38" s="77" t="s">
        <v>388</v>
      </c>
      <c r="BH38" s="77" t="s">
        <v>388</v>
      </c>
      <c r="BI38" s="77" t="s">
        <v>388</v>
      </c>
      <c r="BJ38" s="77" t="s">
        <v>388</v>
      </c>
      <c r="BK38" s="77" t="s">
        <v>388</v>
      </c>
      <c r="BL38" s="54" t="s">
        <v>2227</v>
      </c>
      <c r="BM38" s="54" t="s">
        <v>1626</v>
      </c>
      <c r="BN38" s="54" t="s">
        <v>1584</v>
      </c>
      <c r="BO38" s="54" t="s">
        <v>445</v>
      </c>
      <c r="BR38" s="112">
        <v>37</v>
      </c>
      <c r="BS38" s="99" t="s">
        <v>40</v>
      </c>
    </row>
    <row r="39" spans="1:75" s="2" customFormat="1" ht="20.25" customHeight="1">
      <c r="A39" s="95" t="s">
        <v>688</v>
      </c>
      <c r="B39" s="94"/>
      <c r="C39" s="94" t="s">
        <v>3184</v>
      </c>
      <c r="D39" s="94" t="s">
        <v>3184</v>
      </c>
      <c r="E39" s="94" t="s">
        <v>1988</v>
      </c>
      <c r="F39" s="94" t="s">
        <v>1987</v>
      </c>
      <c r="G39" s="94"/>
      <c r="H39" s="94" t="s">
        <v>4160</v>
      </c>
      <c r="I39" s="94" t="s">
        <v>2726</v>
      </c>
      <c r="J39" s="94" t="s">
        <v>2783</v>
      </c>
      <c r="K39" s="94" t="s">
        <v>2783</v>
      </c>
      <c r="L39" s="94" t="s">
        <v>39</v>
      </c>
      <c r="M39" s="94" t="s">
        <v>39</v>
      </c>
      <c r="N39" s="94" t="s">
        <v>1899</v>
      </c>
      <c r="O39" s="94" t="s">
        <v>39</v>
      </c>
      <c r="P39" s="94" t="s">
        <v>39</v>
      </c>
      <c r="Q39" s="94" t="s">
        <v>39</v>
      </c>
      <c r="R39" s="94" t="s">
        <v>1672</v>
      </c>
      <c r="S39" s="94" t="s">
        <v>39</v>
      </c>
      <c r="T39" s="94" t="s">
        <v>39</v>
      </c>
      <c r="U39" s="94" t="s">
        <v>4062</v>
      </c>
      <c r="V39" s="94" t="s">
        <v>4062</v>
      </c>
      <c r="W39" s="94" t="s">
        <v>4062</v>
      </c>
      <c r="X39" s="94" t="s">
        <v>2941</v>
      </c>
      <c r="Y39" s="94" t="s">
        <v>3892</v>
      </c>
      <c r="Z39" s="94" t="s">
        <v>3892</v>
      </c>
      <c r="AA39" s="94" t="s">
        <v>3892</v>
      </c>
      <c r="AB39" s="94" t="s">
        <v>4189</v>
      </c>
      <c r="AC39" s="94" t="s">
        <v>3697</v>
      </c>
      <c r="AD39" s="94" t="s">
        <v>2416</v>
      </c>
      <c r="AE39" s="94" t="s">
        <v>2378</v>
      </c>
      <c r="AF39" s="94" t="s">
        <v>2331</v>
      </c>
      <c r="AG39" s="94" t="s">
        <v>2268</v>
      </c>
      <c r="AH39" s="94" t="s">
        <v>1141</v>
      </c>
      <c r="AI39" s="94"/>
      <c r="AJ39" s="94" t="s">
        <v>2535</v>
      </c>
      <c r="AK39" s="94" t="s">
        <v>2482</v>
      </c>
      <c r="AL39" s="94" t="s">
        <v>2580</v>
      </c>
      <c r="AM39" s="94" t="s">
        <v>3351</v>
      </c>
      <c r="AN39" s="94" t="s">
        <v>3323</v>
      </c>
      <c r="AO39" s="94" t="s">
        <v>3570</v>
      </c>
      <c r="AP39" s="94" t="s">
        <v>3570</v>
      </c>
      <c r="AQ39" s="94" t="s">
        <v>3510</v>
      </c>
      <c r="AR39" s="94" t="s">
        <v>3510</v>
      </c>
      <c r="AS39" s="94"/>
      <c r="AT39" s="94"/>
      <c r="AU39" s="94"/>
      <c r="AV39" s="94" t="s">
        <v>1501</v>
      </c>
      <c r="AW39" s="94" t="s">
        <v>1464</v>
      </c>
      <c r="AX39" s="94"/>
      <c r="AY39" s="94" t="s">
        <v>2914</v>
      </c>
      <c r="AZ39" s="94" t="s">
        <v>39</v>
      </c>
      <c r="BA39" s="94" t="s">
        <v>2609</v>
      </c>
      <c r="BB39" s="94" t="s">
        <v>1727</v>
      </c>
      <c r="BC39" s="94" t="s">
        <v>2923</v>
      </c>
      <c r="BD39" s="94" t="s">
        <v>2923</v>
      </c>
      <c r="BE39" s="94" t="s">
        <v>1266</v>
      </c>
      <c r="BF39" s="94" t="s">
        <v>1266</v>
      </c>
      <c r="BG39" s="94" t="s">
        <v>2998</v>
      </c>
      <c r="BH39" s="94" t="s">
        <v>3233</v>
      </c>
      <c r="BI39" s="94" t="s">
        <v>3233</v>
      </c>
      <c r="BJ39" s="94" t="s">
        <v>3418</v>
      </c>
      <c r="BK39" s="94" t="s">
        <v>2124</v>
      </c>
      <c r="BL39" s="94" t="s">
        <v>2225</v>
      </c>
      <c r="BM39" s="94" t="s">
        <v>1625</v>
      </c>
      <c r="BN39" s="94" t="s">
        <v>927</v>
      </c>
      <c r="BO39" s="94"/>
      <c r="BR39" s="96">
        <v>38</v>
      </c>
      <c r="BS39" s="99" t="s">
        <v>2451</v>
      </c>
      <c r="BT39" s="11"/>
      <c r="BU39" s="19"/>
      <c r="BV39" s="19"/>
      <c r="BW39" s="19"/>
    </row>
    <row r="40" spans="1:75" s="14" customFormat="1" ht="22.5" customHeight="1">
      <c r="A40" s="53" t="s">
        <v>124</v>
      </c>
      <c r="B40" s="54" t="s">
        <v>267</v>
      </c>
      <c r="C40" s="54" t="s">
        <v>267</v>
      </c>
      <c r="D40" s="54" t="s">
        <v>267</v>
      </c>
      <c r="E40" s="54" t="s">
        <v>1936</v>
      </c>
      <c r="F40" s="54" t="s">
        <v>1937</v>
      </c>
      <c r="G40" s="54" t="s">
        <v>39</v>
      </c>
      <c r="H40" s="123" t="s">
        <v>136</v>
      </c>
      <c r="I40" s="54" t="s">
        <v>41</v>
      </c>
      <c r="J40" s="54" t="s">
        <v>39</v>
      </c>
      <c r="K40" s="54" t="s">
        <v>39</v>
      </c>
      <c r="L40" s="54" t="s">
        <v>39</v>
      </c>
      <c r="M40" s="54" t="s">
        <v>39</v>
      </c>
      <c r="N40" s="54" t="s">
        <v>61</v>
      </c>
      <c r="O40" s="54" t="s">
        <v>39</v>
      </c>
      <c r="P40" s="54" t="s">
        <v>64</v>
      </c>
      <c r="Q40" s="54" t="s">
        <v>39</v>
      </c>
      <c r="R40" s="54" t="s">
        <v>388</v>
      </c>
      <c r="S40" s="54" t="s">
        <v>39</v>
      </c>
      <c r="T40" s="54" t="s">
        <v>1756</v>
      </c>
      <c r="U40" s="123" t="s">
        <v>39</v>
      </c>
      <c r="V40" s="123" t="s">
        <v>42</v>
      </c>
      <c r="W40" s="123" t="s">
        <v>42</v>
      </c>
      <c r="X40" s="54" t="s">
        <v>42</v>
      </c>
      <c r="Y40" s="54" t="s">
        <v>388</v>
      </c>
      <c r="Z40" s="54" t="s">
        <v>388</v>
      </c>
      <c r="AA40" s="54" t="s">
        <v>388</v>
      </c>
      <c r="AB40" s="54" t="s">
        <v>388</v>
      </c>
      <c r="AC40" s="54" t="s">
        <v>136</v>
      </c>
      <c r="AD40" s="54" t="s">
        <v>39</v>
      </c>
      <c r="AE40" s="54" t="s">
        <v>39</v>
      </c>
      <c r="AF40" s="54" t="s">
        <v>2250</v>
      </c>
      <c r="AG40" s="54" t="s">
        <v>2247</v>
      </c>
      <c r="AH40" s="54" t="s">
        <v>41</v>
      </c>
      <c r="AI40" s="54" t="s">
        <v>39</v>
      </c>
      <c r="AJ40" s="54" t="s">
        <v>1768</v>
      </c>
      <c r="AK40" s="54" t="s">
        <v>2481</v>
      </c>
      <c r="AL40" s="54" t="s">
        <v>465</v>
      </c>
      <c r="AM40" s="54" t="s">
        <v>64</v>
      </c>
      <c r="AN40" s="54" t="s">
        <v>41</v>
      </c>
      <c r="AO40" s="54" t="s">
        <v>388</v>
      </c>
      <c r="AP40" s="54" t="s">
        <v>41</v>
      </c>
      <c r="AQ40" s="54" t="s">
        <v>3566</v>
      </c>
      <c r="AR40" s="54" t="s">
        <v>41</v>
      </c>
      <c r="AS40" s="54" t="s">
        <v>39</v>
      </c>
      <c r="AT40" s="54" t="s">
        <v>39</v>
      </c>
      <c r="AU40" s="54" t="s">
        <v>39</v>
      </c>
      <c r="AV40" s="54" t="s">
        <v>388</v>
      </c>
      <c r="AW40" s="54" t="s">
        <v>388</v>
      </c>
      <c r="AX40" s="54" t="s">
        <v>376</v>
      </c>
      <c r="AY40" s="54" t="s">
        <v>39</v>
      </c>
      <c r="AZ40" s="54" t="s">
        <v>1210</v>
      </c>
      <c r="BA40" s="54" t="s">
        <v>39</v>
      </c>
      <c r="BB40" s="54" t="s">
        <v>39</v>
      </c>
      <c r="BC40" s="54" t="s">
        <v>401</v>
      </c>
      <c r="BD40" s="54" t="s">
        <v>401</v>
      </c>
      <c r="BE40" s="54" t="s">
        <v>65</v>
      </c>
      <c r="BF40" s="54" t="s">
        <v>138</v>
      </c>
      <c r="BG40" s="54" t="s">
        <v>41</v>
      </c>
      <c r="BH40" s="77" t="s">
        <v>388</v>
      </c>
      <c r="BI40" s="77" t="s">
        <v>388</v>
      </c>
      <c r="BJ40" s="54" t="s">
        <v>190</v>
      </c>
      <c r="BK40" s="54" t="s">
        <v>190</v>
      </c>
      <c r="BL40" s="77" t="s">
        <v>136</v>
      </c>
      <c r="BM40" s="54" t="s">
        <v>138</v>
      </c>
      <c r="BN40" s="54" t="s">
        <v>65</v>
      </c>
      <c r="BO40" s="54" t="s">
        <v>388</v>
      </c>
      <c r="BR40" s="112">
        <v>39</v>
      </c>
      <c r="BS40" s="99" t="s">
        <v>469</v>
      </c>
    </row>
    <row r="41" spans="1:75" s="2" customFormat="1" ht="11.25" customHeight="1">
      <c r="A41" s="95" t="s">
        <v>688</v>
      </c>
      <c r="B41" s="94"/>
      <c r="C41" s="94" t="s">
        <v>3093</v>
      </c>
      <c r="D41" s="94" t="s">
        <v>3093</v>
      </c>
      <c r="E41" s="94" t="s">
        <v>1940</v>
      </c>
      <c r="F41" s="94" t="s">
        <v>1975</v>
      </c>
      <c r="G41" s="94"/>
      <c r="H41" s="94" t="s">
        <v>2038</v>
      </c>
      <c r="I41" s="94" t="s">
        <v>2722</v>
      </c>
      <c r="J41" s="94" t="s">
        <v>39</v>
      </c>
      <c r="K41" s="94" t="s">
        <v>39</v>
      </c>
      <c r="L41" s="94" t="s">
        <v>39</v>
      </c>
      <c r="M41" s="94" t="s">
        <v>39</v>
      </c>
      <c r="N41" s="94" t="s">
        <v>1897</v>
      </c>
      <c r="O41" s="94" t="s">
        <v>39</v>
      </c>
      <c r="P41" s="94" t="s">
        <v>1354</v>
      </c>
      <c r="Q41" s="94" t="s">
        <v>39</v>
      </c>
      <c r="R41" s="94" t="s">
        <v>1672</v>
      </c>
      <c r="S41" s="94" t="s">
        <v>39</v>
      </c>
      <c r="T41" s="94" t="s">
        <v>3715</v>
      </c>
      <c r="U41" s="94" t="s">
        <v>4041</v>
      </c>
      <c r="V41" s="94" t="s">
        <v>4040</v>
      </c>
      <c r="W41" s="94" t="s">
        <v>4040</v>
      </c>
      <c r="X41" s="94" t="s">
        <v>799</v>
      </c>
      <c r="Y41" s="94" t="s">
        <v>3893</v>
      </c>
      <c r="Z41" s="94" t="s">
        <v>3894</v>
      </c>
      <c r="AA41" s="94" t="s">
        <v>3895</v>
      </c>
      <c r="AB41" s="94" t="s">
        <v>4190</v>
      </c>
      <c r="AC41" s="94" t="s">
        <v>1208</v>
      </c>
      <c r="AD41" s="94" t="s">
        <v>39</v>
      </c>
      <c r="AE41" s="94" t="s">
        <v>39</v>
      </c>
      <c r="AF41" s="94" t="s">
        <v>2304</v>
      </c>
      <c r="AG41" s="94" t="s">
        <v>2246</v>
      </c>
      <c r="AH41" s="94" t="s">
        <v>1141</v>
      </c>
      <c r="AI41" s="94"/>
      <c r="AJ41" s="94" t="s">
        <v>2535</v>
      </c>
      <c r="AK41" s="94" t="s">
        <v>2478</v>
      </c>
      <c r="AL41" s="94" t="s">
        <v>2580</v>
      </c>
      <c r="AM41" s="94" t="s">
        <v>3343</v>
      </c>
      <c r="AN41" s="94" t="s">
        <v>3306</v>
      </c>
      <c r="AO41" s="94" t="s">
        <v>3508</v>
      </c>
      <c r="AP41" s="94" t="s">
        <v>3602</v>
      </c>
      <c r="AQ41" s="94" t="s">
        <v>3508</v>
      </c>
      <c r="AR41" s="94" t="s">
        <v>3547</v>
      </c>
      <c r="AS41" s="94"/>
      <c r="AT41" s="94"/>
      <c r="AU41" s="94"/>
      <c r="AV41" s="94" t="s">
        <v>1432</v>
      </c>
      <c r="AW41" s="94" t="s">
        <v>1440</v>
      </c>
      <c r="AX41" s="94"/>
      <c r="AY41" s="94" t="s">
        <v>39</v>
      </c>
      <c r="AZ41" s="94" t="s">
        <v>1208</v>
      </c>
      <c r="BA41" s="94" t="s">
        <v>39</v>
      </c>
      <c r="BB41" s="94" t="s">
        <v>39</v>
      </c>
      <c r="BC41" s="94" t="s">
        <v>2917</v>
      </c>
      <c r="BD41" s="94" t="s">
        <v>2917</v>
      </c>
      <c r="BE41" s="94" t="s">
        <v>1287</v>
      </c>
      <c r="BF41" s="94" t="s">
        <v>1287</v>
      </c>
      <c r="BG41" s="94" t="s">
        <v>769</v>
      </c>
      <c r="BH41" s="94" t="s">
        <v>3234</v>
      </c>
      <c r="BI41" s="94" t="s">
        <v>3234</v>
      </c>
      <c r="BJ41" s="94" t="s">
        <v>2148</v>
      </c>
      <c r="BK41" s="94" t="s">
        <v>2148</v>
      </c>
      <c r="BL41" s="94" t="s">
        <v>2189</v>
      </c>
      <c r="BM41" s="94" t="s">
        <v>1582</v>
      </c>
      <c r="BN41" s="94" t="s">
        <v>1603</v>
      </c>
      <c r="BO41" s="94"/>
      <c r="BR41" s="96">
        <v>40</v>
      </c>
      <c r="BS41" s="99" t="s">
        <v>308</v>
      </c>
      <c r="BT41" s="11"/>
      <c r="BU41" s="19"/>
      <c r="BV41" s="19"/>
      <c r="BW41" s="19"/>
    </row>
    <row r="42" spans="1:75" s="115" customFormat="1" ht="22.5" customHeight="1">
      <c r="A42" s="53" t="s">
        <v>177</v>
      </c>
      <c r="B42" s="54" t="s">
        <v>276</v>
      </c>
      <c r="C42" s="54" t="s">
        <v>535</v>
      </c>
      <c r="D42" s="54" t="s">
        <v>535</v>
      </c>
      <c r="E42" s="54" t="s">
        <v>535</v>
      </c>
      <c r="F42" s="54" t="s">
        <v>535</v>
      </c>
      <c r="G42" s="54" t="s">
        <v>645</v>
      </c>
      <c r="H42" s="123" t="s">
        <v>2655</v>
      </c>
      <c r="I42" s="54" t="s">
        <v>2721</v>
      </c>
      <c r="J42" s="54" t="s">
        <v>39</v>
      </c>
      <c r="K42" s="54" t="s">
        <v>2754</v>
      </c>
      <c r="L42" s="116">
        <v>5000</v>
      </c>
      <c r="M42" s="116">
        <v>5000</v>
      </c>
      <c r="N42" s="54" t="s">
        <v>39</v>
      </c>
      <c r="O42" s="116">
        <v>2000</v>
      </c>
      <c r="P42" s="54" t="s">
        <v>3815</v>
      </c>
      <c r="Q42" s="54" t="s">
        <v>39</v>
      </c>
      <c r="R42" s="54" t="s">
        <v>510</v>
      </c>
      <c r="S42" s="54" t="s">
        <v>39</v>
      </c>
      <c r="T42" s="75" t="s">
        <v>33</v>
      </c>
      <c r="U42" s="123" t="s">
        <v>39</v>
      </c>
      <c r="V42" s="123" t="s">
        <v>39</v>
      </c>
      <c r="W42" s="123" t="s">
        <v>39</v>
      </c>
      <c r="X42" s="54" t="s">
        <v>810</v>
      </c>
      <c r="Y42" s="79" t="s">
        <v>39</v>
      </c>
      <c r="Z42" s="79" t="s">
        <v>65</v>
      </c>
      <c r="AA42" s="79" t="s">
        <v>138</v>
      </c>
      <c r="AB42" s="79" t="s">
        <v>4191</v>
      </c>
      <c r="AC42" s="54" t="s">
        <v>65</v>
      </c>
      <c r="AD42" s="54" t="s">
        <v>39</v>
      </c>
      <c r="AE42" s="54" t="s">
        <v>810</v>
      </c>
      <c r="AF42" s="54" t="s">
        <v>2312</v>
      </c>
      <c r="AG42" s="54" t="s">
        <v>710</v>
      </c>
      <c r="AH42" s="54" t="s">
        <v>1153</v>
      </c>
      <c r="AI42" s="54" t="s">
        <v>39</v>
      </c>
      <c r="AJ42" s="114" t="s">
        <v>2520</v>
      </c>
      <c r="AK42" s="114" t="s">
        <v>2520</v>
      </c>
      <c r="AL42" s="54" t="s">
        <v>50</v>
      </c>
      <c r="AM42" s="54" t="s">
        <v>39</v>
      </c>
      <c r="AN42" s="54" t="s">
        <v>3305</v>
      </c>
      <c r="AO42" s="54" t="s">
        <v>3581</v>
      </c>
      <c r="AP42" s="116">
        <v>25000</v>
      </c>
      <c r="AQ42" s="54" t="s">
        <v>3431</v>
      </c>
      <c r="AR42" s="116">
        <v>25000</v>
      </c>
      <c r="AS42" s="54" t="s">
        <v>39</v>
      </c>
      <c r="AT42" s="54" t="s">
        <v>61</v>
      </c>
      <c r="AU42" s="54" t="s">
        <v>61</v>
      </c>
      <c r="AV42" s="54" t="s">
        <v>535</v>
      </c>
      <c r="AW42" s="54" t="s">
        <v>1487</v>
      </c>
      <c r="AX42" s="54" t="s">
        <v>370</v>
      </c>
      <c r="AY42" s="54" t="s">
        <v>39</v>
      </c>
      <c r="AZ42" s="54" t="s">
        <v>41</v>
      </c>
      <c r="BA42" s="54" t="s">
        <v>50</v>
      </c>
      <c r="BB42" s="54" t="s">
        <v>39</v>
      </c>
      <c r="BC42" s="54" t="s">
        <v>867</v>
      </c>
      <c r="BD42" s="54" t="s">
        <v>867</v>
      </c>
      <c r="BE42" s="54" t="s">
        <v>535</v>
      </c>
      <c r="BF42" s="54" t="s">
        <v>550</v>
      </c>
      <c r="BG42" s="79" t="s">
        <v>3005</v>
      </c>
      <c r="BH42" s="79" t="s">
        <v>3225</v>
      </c>
      <c r="BI42" s="79" t="s">
        <v>3224</v>
      </c>
      <c r="BJ42" s="54" t="s">
        <v>560</v>
      </c>
      <c r="BK42" s="54" t="s">
        <v>560</v>
      </c>
      <c r="BL42" s="54" t="s">
        <v>2196</v>
      </c>
      <c r="BM42" s="54" t="s">
        <v>65</v>
      </c>
      <c r="BN42" s="54" t="s">
        <v>65</v>
      </c>
      <c r="BO42" s="75">
        <v>3000</v>
      </c>
      <c r="BR42" s="112">
        <v>41</v>
      </c>
      <c r="BS42" s="99" t="s">
        <v>104</v>
      </c>
    </row>
    <row r="43" spans="1:75" s="2" customFormat="1" ht="11.25" customHeight="1">
      <c r="A43" s="95" t="s">
        <v>688</v>
      </c>
      <c r="B43" s="94"/>
      <c r="C43" s="94" t="s">
        <v>3141</v>
      </c>
      <c r="D43" s="94" t="s">
        <v>3142</v>
      </c>
      <c r="E43" s="94" t="s">
        <v>1997</v>
      </c>
      <c r="F43" s="94" t="s">
        <v>1997</v>
      </c>
      <c r="G43" s="94"/>
      <c r="H43" s="94" t="s">
        <v>2071</v>
      </c>
      <c r="I43" s="94" t="s">
        <v>2720</v>
      </c>
      <c r="J43" s="94" t="s">
        <v>39</v>
      </c>
      <c r="K43" s="94" t="s">
        <v>1232</v>
      </c>
      <c r="L43" s="94" t="s">
        <v>3050</v>
      </c>
      <c r="M43" s="94" t="s">
        <v>3050</v>
      </c>
      <c r="N43" s="94" t="s">
        <v>39</v>
      </c>
      <c r="O43" s="94" t="s">
        <v>2798</v>
      </c>
      <c r="P43" s="94" t="s">
        <v>1326</v>
      </c>
      <c r="Q43" s="94" t="s">
        <v>39</v>
      </c>
      <c r="R43" s="94" t="s">
        <v>1661</v>
      </c>
      <c r="S43" s="94" t="s">
        <v>39</v>
      </c>
      <c r="T43" s="94" t="s">
        <v>3707</v>
      </c>
      <c r="U43" s="94" t="s">
        <v>39</v>
      </c>
      <c r="V43" s="94" t="s">
        <v>39</v>
      </c>
      <c r="W43" s="94" t="s">
        <v>39</v>
      </c>
      <c r="X43" s="94" t="s">
        <v>809</v>
      </c>
      <c r="Y43" s="94" t="s">
        <v>3896</v>
      </c>
      <c r="Z43" s="94" t="s">
        <v>3896</v>
      </c>
      <c r="AA43" s="94" t="s">
        <v>3896</v>
      </c>
      <c r="AB43" s="94" t="s">
        <v>4192</v>
      </c>
      <c r="AC43" s="94" t="s">
        <v>2523</v>
      </c>
      <c r="AD43" s="94" t="s">
        <v>39</v>
      </c>
      <c r="AE43" s="94" t="s">
        <v>2370</v>
      </c>
      <c r="AF43" s="94" t="s">
        <v>2311</v>
      </c>
      <c r="AG43" s="94" t="s">
        <v>2249</v>
      </c>
      <c r="AH43" s="94" t="s">
        <v>1141</v>
      </c>
      <c r="AI43" s="94"/>
      <c r="AJ43" s="94" t="s">
        <v>2559</v>
      </c>
      <c r="AK43" s="94" t="s">
        <v>2521</v>
      </c>
      <c r="AL43" s="94" t="s">
        <v>2576</v>
      </c>
      <c r="AM43" s="94" t="s">
        <v>39</v>
      </c>
      <c r="AN43" s="94" t="s">
        <v>3304</v>
      </c>
      <c r="AO43" s="94" t="s">
        <v>3580</v>
      </c>
      <c r="AP43" s="94" t="s">
        <v>3632</v>
      </c>
      <c r="AQ43" s="94" t="s">
        <v>3521</v>
      </c>
      <c r="AR43" s="94" t="s">
        <v>3552</v>
      </c>
      <c r="AS43" s="94"/>
      <c r="AT43" s="94"/>
      <c r="AU43" s="94"/>
      <c r="AV43" s="94" t="s">
        <v>1495</v>
      </c>
      <c r="AW43" s="94" t="s">
        <v>1486</v>
      </c>
      <c r="AX43" s="94"/>
      <c r="AY43" s="94" t="s">
        <v>39</v>
      </c>
      <c r="AZ43" s="94" t="s">
        <v>3391</v>
      </c>
      <c r="BA43" s="94" t="s">
        <v>2602</v>
      </c>
      <c r="BB43" s="94" t="s">
        <v>39</v>
      </c>
      <c r="BC43" s="94" t="s">
        <v>868</v>
      </c>
      <c r="BD43" s="94" t="s">
        <v>868</v>
      </c>
      <c r="BE43" s="94" t="s">
        <v>1353</v>
      </c>
      <c r="BF43" s="94" t="s">
        <v>1267</v>
      </c>
      <c r="BG43" s="94" t="s">
        <v>3004</v>
      </c>
      <c r="BH43" s="94" t="s">
        <v>3223</v>
      </c>
      <c r="BI43" s="94" t="s">
        <v>3223</v>
      </c>
      <c r="BJ43" s="94" t="s">
        <v>2126</v>
      </c>
      <c r="BK43" s="94" t="s">
        <v>2126</v>
      </c>
      <c r="BL43" s="94" t="s">
        <v>2195</v>
      </c>
      <c r="BM43" s="94" t="s">
        <v>1627</v>
      </c>
      <c r="BN43" s="94" t="s">
        <v>1627</v>
      </c>
      <c r="BO43" s="94"/>
      <c r="BR43" s="96">
        <v>42</v>
      </c>
      <c r="BS43" s="99" t="s">
        <v>3438</v>
      </c>
      <c r="BT43" s="11"/>
      <c r="BV43" s="19"/>
      <c r="BW43" s="19"/>
    </row>
    <row r="44" spans="1:75" s="14" customFormat="1" ht="27" customHeight="1">
      <c r="A44" s="53" t="s">
        <v>27</v>
      </c>
      <c r="B44" s="54" t="s">
        <v>266</v>
      </c>
      <c r="C44" s="54" t="s">
        <v>3136</v>
      </c>
      <c r="D44" s="54" t="s">
        <v>3137</v>
      </c>
      <c r="E44" s="79" t="s">
        <v>1915</v>
      </c>
      <c r="F44" s="79" t="s">
        <v>1916</v>
      </c>
      <c r="G44" s="54" t="s">
        <v>646</v>
      </c>
      <c r="H44" s="123" t="s">
        <v>2631</v>
      </c>
      <c r="I44" s="54" t="s">
        <v>2687</v>
      </c>
      <c r="J44" s="54" t="s">
        <v>2771</v>
      </c>
      <c r="K44" s="54" t="s">
        <v>2746</v>
      </c>
      <c r="L44" s="54" t="s">
        <v>3044</v>
      </c>
      <c r="M44" s="54" t="s">
        <v>3044</v>
      </c>
      <c r="N44" s="54" t="s">
        <v>39</v>
      </c>
      <c r="O44" s="54" t="s">
        <v>2802</v>
      </c>
      <c r="P44" s="54" t="s">
        <v>3814</v>
      </c>
      <c r="Q44" s="54" t="s">
        <v>102</v>
      </c>
      <c r="R44" s="54" t="s">
        <v>1668</v>
      </c>
      <c r="S44" s="54" t="s">
        <v>39</v>
      </c>
      <c r="T44" s="54" t="s">
        <v>3702</v>
      </c>
      <c r="U44" s="123" t="s">
        <v>4093</v>
      </c>
      <c r="V44" s="123" t="s">
        <v>4092</v>
      </c>
      <c r="W44" s="123" t="s">
        <v>4091</v>
      </c>
      <c r="X44" s="54" t="s">
        <v>806</v>
      </c>
      <c r="Y44" s="54" t="s">
        <v>39</v>
      </c>
      <c r="Z44" s="54" t="s">
        <v>3897</v>
      </c>
      <c r="AA44" s="54" t="s">
        <v>3898</v>
      </c>
      <c r="AB44" s="54" t="s">
        <v>4193</v>
      </c>
      <c r="AC44" s="54" t="s">
        <v>3663</v>
      </c>
      <c r="AD44" s="54" t="s">
        <v>65</v>
      </c>
      <c r="AE44" s="54" t="s">
        <v>65</v>
      </c>
      <c r="AF44" s="54" t="s">
        <v>2333</v>
      </c>
      <c r="AG44" s="54" t="s">
        <v>2272</v>
      </c>
      <c r="AH44" s="54" t="s">
        <v>1142</v>
      </c>
      <c r="AI44" s="54" t="s">
        <v>160</v>
      </c>
      <c r="AJ44" s="54" t="s">
        <v>1769</v>
      </c>
      <c r="AK44" s="54" t="s">
        <v>2480</v>
      </c>
      <c r="AL44" s="54" t="s">
        <v>25</v>
      </c>
      <c r="AM44" s="54" t="s">
        <v>65</v>
      </c>
      <c r="AN44" s="54" t="s">
        <v>1772</v>
      </c>
      <c r="AO44" s="54" t="s">
        <v>3567</v>
      </c>
      <c r="AP44" s="54" t="s">
        <v>3439</v>
      </c>
      <c r="AQ44" s="54" t="s">
        <v>3429</v>
      </c>
      <c r="AR44" s="54" t="s">
        <v>3439</v>
      </c>
      <c r="AS44" s="54" t="s">
        <v>39</v>
      </c>
      <c r="AT44" s="54" t="s">
        <v>64</v>
      </c>
      <c r="AU44" s="54" t="s">
        <v>64</v>
      </c>
      <c r="AV44" s="54" t="s">
        <v>1502</v>
      </c>
      <c r="AW44" s="79" t="s">
        <v>1466</v>
      </c>
      <c r="AX44" s="54" t="s">
        <v>65</v>
      </c>
      <c r="AY44" s="54" t="s">
        <v>1230</v>
      </c>
      <c r="AZ44" s="54" t="s">
        <v>61</v>
      </c>
      <c r="BA44" s="54" t="s">
        <v>298</v>
      </c>
      <c r="BB44" s="54" t="s">
        <v>2771</v>
      </c>
      <c r="BC44" s="54" t="s">
        <v>2924</v>
      </c>
      <c r="BD44" s="54" t="s">
        <v>2924</v>
      </c>
      <c r="BE44" s="54" t="s">
        <v>1357</v>
      </c>
      <c r="BF44" s="54" t="s">
        <v>1282</v>
      </c>
      <c r="BG44" s="79" t="s">
        <v>3006</v>
      </c>
      <c r="BH44" s="79" t="s">
        <v>3256</v>
      </c>
      <c r="BI44" s="79" t="s">
        <v>3231</v>
      </c>
      <c r="BJ44" s="54" t="s">
        <v>3417</v>
      </c>
      <c r="BK44" s="54" t="s">
        <v>1776</v>
      </c>
      <c r="BL44" s="54" t="s">
        <v>2192</v>
      </c>
      <c r="BM44" s="54" t="s">
        <v>1628</v>
      </c>
      <c r="BN44" s="54" t="s">
        <v>1628</v>
      </c>
      <c r="BO44" s="54" t="s">
        <v>429</v>
      </c>
      <c r="BR44" s="112">
        <v>43</v>
      </c>
      <c r="BS44" s="99" t="s">
        <v>3424</v>
      </c>
    </row>
    <row r="45" spans="1:75" s="2" customFormat="1" ht="11.25" customHeight="1">
      <c r="A45" s="95" t="s">
        <v>688</v>
      </c>
      <c r="B45" s="94"/>
      <c r="C45" s="94" t="s">
        <v>3135</v>
      </c>
      <c r="D45" s="94" t="s">
        <v>3133</v>
      </c>
      <c r="E45" s="94" t="s">
        <v>1939</v>
      </c>
      <c r="F45" s="94" t="s">
        <v>1964</v>
      </c>
      <c r="G45" s="94"/>
      <c r="H45" s="94" t="s">
        <v>2665</v>
      </c>
      <c r="I45" s="94" t="s">
        <v>2702</v>
      </c>
      <c r="J45" s="94" t="s">
        <v>2770</v>
      </c>
      <c r="K45" s="94" t="s">
        <v>2747</v>
      </c>
      <c r="L45" s="94" t="s">
        <v>3045</v>
      </c>
      <c r="M45" s="94" t="s">
        <v>3045</v>
      </c>
      <c r="N45" s="94" t="s">
        <v>39</v>
      </c>
      <c r="O45" s="94" t="s">
        <v>2803</v>
      </c>
      <c r="P45" s="94" t="s">
        <v>3813</v>
      </c>
      <c r="Q45" s="94" t="s">
        <v>1291</v>
      </c>
      <c r="R45" s="94" t="s">
        <v>1669</v>
      </c>
      <c r="S45" s="94" t="s">
        <v>39</v>
      </c>
      <c r="T45" s="94" t="s">
        <v>3709</v>
      </c>
      <c r="U45" s="94" t="s">
        <v>4063</v>
      </c>
      <c r="V45" s="94" t="s">
        <v>4064</v>
      </c>
      <c r="W45" s="94" t="s">
        <v>4090</v>
      </c>
      <c r="X45" s="94" t="s">
        <v>2944</v>
      </c>
      <c r="Y45" s="94" t="s">
        <v>3899</v>
      </c>
      <c r="Z45" s="94" t="s">
        <v>3899</v>
      </c>
      <c r="AA45" s="94" t="s">
        <v>3899</v>
      </c>
      <c r="AB45" s="94" t="s">
        <v>4194</v>
      </c>
      <c r="AC45" s="94" t="s">
        <v>1242</v>
      </c>
      <c r="AD45" s="94" t="s">
        <v>2418</v>
      </c>
      <c r="AE45" s="94" t="s">
        <v>2381</v>
      </c>
      <c r="AF45" s="94" t="s">
        <v>2332</v>
      </c>
      <c r="AG45" s="94" t="s">
        <v>2271</v>
      </c>
      <c r="AH45" s="94" t="s">
        <v>1141</v>
      </c>
      <c r="AI45" s="94"/>
      <c r="AJ45" s="94" t="s">
        <v>2534</v>
      </c>
      <c r="AK45" s="94" t="s">
        <v>2479</v>
      </c>
      <c r="AL45" s="94" t="s">
        <v>2579</v>
      </c>
      <c r="AM45" s="94" t="s">
        <v>3342</v>
      </c>
      <c r="AN45" s="94" t="s">
        <v>3297</v>
      </c>
      <c r="AO45" s="94" t="s">
        <v>3509</v>
      </c>
      <c r="AP45" s="94" t="s">
        <v>3603</v>
      </c>
      <c r="AQ45" s="94" t="s">
        <v>3509</v>
      </c>
      <c r="AR45" s="94" t="s">
        <v>3548</v>
      </c>
      <c r="AS45" s="94"/>
      <c r="AT45" s="94"/>
      <c r="AU45" s="94"/>
      <c r="AV45" s="94" t="s">
        <v>1512</v>
      </c>
      <c r="AW45" s="94" t="s">
        <v>1511</v>
      </c>
      <c r="AX45" s="94"/>
      <c r="AY45" s="94" t="s">
        <v>2895</v>
      </c>
      <c r="AZ45" s="94" t="s">
        <v>3392</v>
      </c>
      <c r="BA45" s="94" t="s">
        <v>2607</v>
      </c>
      <c r="BB45" s="94" t="s">
        <v>2860</v>
      </c>
      <c r="BC45" s="94" t="s">
        <v>842</v>
      </c>
      <c r="BD45" s="94" t="s">
        <v>842</v>
      </c>
      <c r="BE45" s="94" t="s">
        <v>1281</v>
      </c>
      <c r="BF45" s="94" t="s">
        <v>1281</v>
      </c>
      <c r="BG45" s="94" t="s">
        <v>3000</v>
      </c>
      <c r="BH45" s="94" t="s">
        <v>3255</v>
      </c>
      <c r="BI45" s="94" t="s">
        <v>3255</v>
      </c>
      <c r="BJ45" s="94" t="s">
        <v>3416</v>
      </c>
      <c r="BK45" s="94" t="s">
        <v>2109</v>
      </c>
      <c r="BL45" s="94" t="s">
        <v>2193</v>
      </c>
      <c r="BM45" s="94" t="s">
        <v>1629</v>
      </c>
      <c r="BN45" s="94" t="s">
        <v>1629</v>
      </c>
      <c r="BO45" s="94"/>
      <c r="BR45" s="96">
        <v>44</v>
      </c>
      <c r="BS45" s="99" t="s">
        <v>3437</v>
      </c>
      <c r="BT45" s="11"/>
      <c r="BU45" s="19"/>
      <c r="BV45" s="19"/>
      <c r="BW45" s="19"/>
    </row>
    <row r="46" spans="1:75" s="14" customFormat="1" ht="22.5" customHeight="1">
      <c r="A46" s="53" t="s">
        <v>52</v>
      </c>
      <c r="B46" s="54" t="s">
        <v>102</v>
      </c>
      <c r="C46" s="54" t="s">
        <v>190</v>
      </c>
      <c r="D46" s="54" t="s">
        <v>65</v>
      </c>
      <c r="E46" s="54" t="s">
        <v>1971</v>
      </c>
      <c r="F46" s="54" t="s">
        <v>1972</v>
      </c>
      <c r="G46" s="54" t="s">
        <v>39</v>
      </c>
      <c r="H46" s="123" t="s">
        <v>33</v>
      </c>
      <c r="I46" s="54" t="s">
        <v>53</v>
      </c>
      <c r="J46" s="54" t="s">
        <v>39</v>
      </c>
      <c r="K46" s="54" t="s">
        <v>64</v>
      </c>
      <c r="L46" s="54" t="s">
        <v>39</v>
      </c>
      <c r="M46" s="54" t="s">
        <v>39</v>
      </c>
      <c r="N46" s="54" t="s">
        <v>213</v>
      </c>
      <c r="O46" s="54" t="s">
        <v>213</v>
      </c>
      <c r="P46" s="54" t="s">
        <v>3823</v>
      </c>
      <c r="Q46" s="54" t="s">
        <v>39</v>
      </c>
      <c r="R46" s="54" t="s">
        <v>39</v>
      </c>
      <c r="S46" s="54" t="s">
        <v>39</v>
      </c>
      <c r="T46" s="54" t="s">
        <v>39</v>
      </c>
      <c r="U46" s="123" t="s">
        <v>39</v>
      </c>
      <c r="V46" s="123" t="s">
        <v>39</v>
      </c>
      <c r="W46" s="123" t="s">
        <v>39</v>
      </c>
      <c r="X46" s="54" t="s">
        <v>61</v>
      </c>
      <c r="Y46" s="54" t="s">
        <v>33</v>
      </c>
      <c r="Z46" s="54" t="s">
        <v>65</v>
      </c>
      <c r="AA46" s="54" t="s">
        <v>42</v>
      </c>
      <c r="AB46" s="54" t="s">
        <v>4195</v>
      </c>
      <c r="AC46" s="54" t="s">
        <v>65</v>
      </c>
      <c r="AD46" s="54" t="s">
        <v>65</v>
      </c>
      <c r="AE46" s="54" t="s">
        <v>65</v>
      </c>
      <c r="AF46" s="54" t="s">
        <v>138</v>
      </c>
      <c r="AG46" s="54" t="s">
        <v>190</v>
      </c>
      <c r="AH46" s="54" t="s">
        <v>39</v>
      </c>
      <c r="AI46" s="54" t="s">
        <v>163</v>
      </c>
      <c r="AJ46" s="54" t="s">
        <v>176</v>
      </c>
      <c r="AK46" s="54" t="s">
        <v>2493</v>
      </c>
      <c r="AL46" s="54" t="s">
        <v>103</v>
      </c>
      <c r="AM46" s="54" t="s">
        <v>475</v>
      </c>
      <c r="AN46" s="54" t="s">
        <v>41</v>
      </c>
      <c r="AO46" s="54" t="s">
        <v>190</v>
      </c>
      <c r="AP46" s="54" t="s">
        <v>41</v>
      </c>
      <c r="AQ46" s="54" t="s">
        <v>3428</v>
      </c>
      <c r="AR46" s="54" t="s">
        <v>41</v>
      </c>
      <c r="AS46" s="54" t="s">
        <v>39</v>
      </c>
      <c r="AT46" s="54" t="s">
        <v>64</v>
      </c>
      <c r="AU46" s="54" t="s">
        <v>64</v>
      </c>
      <c r="AV46" s="54" t="s">
        <v>102</v>
      </c>
      <c r="AW46" s="54" t="s">
        <v>1427</v>
      </c>
      <c r="AX46" s="54" t="s">
        <v>39</v>
      </c>
      <c r="AY46" s="54" t="s">
        <v>39</v>
      </c>
      <c r="AZ46" s="54" t="s">
        <v>39</v>
      </c>
      <c r="BA46" s="54" t="s">
        <v>39</v>
      </c>
      <c r="BB46" s="54" t="s">
        <v>39</v>
      </c>
      <c r="BC46" s="54" t="s">
        <v>33</v>
      </c>
      <c r="BD46" s="54" t="s">
        <v>33</v>
      </c>
      <c r="BE46" s="54" t="s">
        <v>216</v>
      </c>
      <c r="BF46" s="54" t="s">
        <v>217</v>
      </c>
      <c r="BG46" s="54" t="s">
        <v>3007</v>
      </c>
      <c r="BH46" s="54" t="s">
        <v>103</v>
      </c>
      <c r="BI46" s="54" t="s">
        <v>61</v>
      </c>
      <c r="BJ46" s="54" t="s">
        <v>2129</v>
      </c>
      <c r="BK46" s="54" t="s">
        <v>2129</v>
      </c>
      <c r="BL46" s="54" t="s">
        <v>2197</v>
      </c>
      <c r="BM46" s="54" t="s">
        <v>39</v>
      </c>
      <c r="BN46" s="54" t="s">
        <v>39</v>
      </c>
      <c r="BO46" s="54" t="s">
        <v>428</v>
      </c>
      <c r="BR46" s="112">
        <v>45</v>
      </c>
      <c r="BS46" s="99" t="s">
        <v>527</v>
      </c>
    </row>
    <row r="47" spans="1:75" s="2" customFormat="1" ht="11.25" customHeight="1">
      <c r="A47" s="95" t="s">
        <v>688</v>
      </c>
      <c r="B47" s="94"/>
      <c r="C47" s="94" t="s">
        <v>3133</v>
      </c>
      <c r="D47" s="94" t="s">
        <v>3131</v>
      </c>
      <c r="E47" s="94" t="s">
        <v>1946</v>
      </c>
      <c r="F47" s="94" t="s">
        <v>1970</v>
      </c>
      <c r="G47" s="94"/>
      <c r="H47" s="94" t="s">
        <v>2039</v>
      </c>
      <c r="I47" s="94" t="s">
        <v>2719</v>
      </c>
      <c r="J47" s="94" t="s">
        <v>39</v>
      </c>
      <c r="K47" s="94" t="s">
        <v>2757</v>
      </c>
      <c r="L47" s="94" t="s">
        <v>39</v>
      </c>
      <c r="M47" s="94" t="s">
        <v>39</v>
      </c>
      <c r="N47" s="94" t="s">
        <v>1420</v>
      </c>
      <c r="O47" s="94" t="s">
        <v>2797</v>
      </c>
      <c r="P47" s="94" t="s">
        <v>3822</v>
      </c>
      <c r="Q47" s="94" t="s">
        <v>39</v>
      </c>
      <c r="R47" s="94" t="s">
        <v>39</v>
      </c>
      <c r="S47" s="94" t="s">
        <v>39</v>
      </c>
      <c r="T47" s="94" t="s">
        <v>39</v>
      </c>
      <c r="U47" s="94" t="s">
        <v>39</v>
      </c>
      <c r="V47" s="94" t="s">
        <v>39</v>
      </c>
      <c r="W47" s="94" t="s">
        <v>39</v>
      </c>
      <c r="X47" s="94" t="s">
        <v>2942</v>
      </c>
      <c r="Y47" s="94" t="s">
        <v>3900</v>
      </c>
      <c r="Z47" s="94" t="s">
        <v>3900</v>
      </c>
      <c r="AA47" s="94" t="s">
        <v>3900</v>
      </c>
      <c r="AB47" s="94" t="s">
        <v>4196</v>
      </c>
      <c r="AC47" s="94" t="s">
        <v>1235</v>
      </c>
      <c r="AD47" s="94" t="s">
        <v>2417</v>
      </c>
      <c r="AE47" s="94" t="s">
        <v>2380</v>
      </c>
      <c r="AF47" s="94" t="s">
        <v>2322</v>
      </c>
      <c r="AG47" s="94" t="s">
        <v>2269</v>
      </c>
      <c r="AH47" s="94" t="s">
        <v>39</v>
      </c>
      <c r="AI47" s="94"/>
      <c r="AJ47" s="94" t="s">
        <v>2536</v>
      </c>
      <c r="AK47" s="94" t="s">
        <v>2492</v>
      </c>
      <c r="AL47" s="94" t="s">
        <v>2581</v>
      </c>
      <c r="AM47" s="94" t="s">
        <v>3354</v>
      </c>
      <c r="AN47" s="94" t="s">
        <v>3295</v>
      </c>
      <c r="AO47" s="94" t="s">
        <v>3511</v>
      </c>
      <c r="AP47" s="94" t="s">
        <v>3604</v>
      </c>
      <c r="AQ47" s="94" t="s">
        <v>3511</v>
      </c>
      <c r="AR47" s="94" t="s">
        <v>3549</v>
      </c>
      <c r="AS47" s="94"/>
      <c r="AT47" s="94"/>
      <c r="AU47" s="94"/>
      <c r="AV47" s="94" t="s">
        <v>1467</v>
      </c>
      <c r="AW47" s="94" t="s">
        <v>1467</v>
      </c>
      <c r="AX47" s="94"/>
      <c r="AY47" s="94" t="s">
        <v>39</v>
      </c>
      <c r="AZ47" s="94" t="s">
        <v>39</v>
      </c>
      <c r="BA47" s="94" t="s">
        <v>39</v>
      </c>
      <c r="BB47" s="94" t="s">
        <v>39</v>
      </c>
      <c r="BC47" s="94" t="s">
        <v>840</v>
      </c>
      <c r="BD47" s="94" t="s">
        <v>840</v>
      </c>
      <c r="BE47" s="94" t="s">
        <v>1280</v>
      </c>
      <c r="BF47" s="94" t="s">
        <v>1280</v>
      </c>
      <c r="BG47" s="94" t="s">
        <v>3008</v>
      </c>
      <c r="BH47" s="94" t="s">
        <v>3235</v>
      </c>
      <c r="BI47" s="94" t="s">
        <v>3235</v>
      </c>
      <c r="BJ47" s="94" t="s">
        <v>3415</v>
      </c>
      <c r="BK47" s="94" t="s">
        <v>3415</v>
      </c>
      <c r="BL47" s="94" t="s">
        <v>2202</v>
      </c>
      <c r="BM47" s="94" t="s">
        <v>39</v>
      </c>
      <c r="BN47" s="94" t="s">
        <v>39</v>
      </c>
      <c r="BO47" s="94"/>
      <c r="BR47" s="96">
        <v>46</v>
      </c>
      <c r="BS47" s="99" t="s">
        <v>528</v>
      </c>
      <c r="BT47" s="11"/>
      <c r="BU47" s="19"/>
      <c r="BV47" s="19"/>
      <c r="BW47" s="19"/>
    </row>
    <row r="48" spans="1:75" s="14" customFormat="1" ht="22.5" customHeight="1">
      <c r="A48" s="53" t="s">
        <v>178</v>
      </c>
      <c r="B48" s="54" t="s">
        <v>102</v>
      </c>
      <c r="C48" s="54" t="s">
        <v>3134</v>
      </c>
      <c r="D48" s="54" t="s">
        <v>3134</v>
      </c>
      <c r="E48" s="54" t="s">
        <v>1953</v>
      </c>
      <c r="F48" s="54" t="s">
        <v>1982</v>
      </c>
      <c r="G48" s="54" t="s">
        <v>65</v>
      </c>
      <c r="H48" s="123" t="s">
        <v>2638</v>
      </c>
      <c r="I48" s="54" t="s">
        <v>3041</v>
      </c>
      <c r="J48" s="54" t="s">
        <v>2777</v>
      </c>
      <c r="K48" s="54" t="s">
        <v>2756</v>
      </c>
      <c r="L48" s="54" t="s">
        <v>39</v>
      </c>
      <c r="M48" s="54" t="s">
        <v>213</v>
      </c>
      <c r="N48" s="54" t="s">
        <v>39</v>
      </c>
      <c r="O48" s="54" t="s">
        <v>620</v>
      </c>
      <c r="P48" s="54" t="s">
        <v>39</v>
      </c>
      <c r="Q48" s="54" t="s">
        <v>39</v>
      </c>
      <c r="R48" s="54" t="s">
        <v>1695</v>
      </c>
      <c r="S48" s="54" t="s">
        <v>39</v>
      </c>
      <c r="T48" s="54" t="s">
        <v>3728</v>
      </c>
      <c r="U48" s="123" t="s">
        <v>39</v>
      </c>
      <c r="V48" s="123" t="s">
        <v>4066</v>
      </c>
      <c r="W48" s="123" t="s">
        <v>4066</v>
      </c>
      <c r="X48" s="54" t="s">
        <v>39</v>
      </c>
      <c r="Y48" s="54" t="s">
        <v>39</v>
      </c>
      <c r="Z48" s="54" t="s">
        <v>39</v>
      </c>
      <c r="AA48" s="54" t="s">
        <v>39</v>
      </c>
      <c r="AB48" s="54" t="s">
        <v>4197</v>
      </c>
      <c r="AC48" s="54" t="s">
        <v>3696</v>
      </c>
      <c r="AD48" s="54" t="s">
        <v>39</v>
      </c>
      <c r="AE48" s="54" t="s">
        <v>39</v>
      </c>
      <c r="AF48" s="54" t="s">
        <v>2320</v>
      </c>
      <c r="AG48" s="54" t="s">
        <v>2259</v>
      </c>
      <c r="AH48" s="54" t="s">
        <v>39</v>
      </c>
      <c r="AI48" s="54" t="s">
        <v>39</v>
      </c>
      <c r="AJ48" s="54" t="s">
        <v>2537</v>
      </c>
      <c r="AK48" s="54" t="s">
        <v>39</v>
      </c>
      <c r="AL48" s="73" t="s">
        <v>39</v>
      </c>
      <c r="AM48" s="54" t="s">
        <v>475</v>
      </c>
      <c r="AN48" s="54" t="s">
        <v>41</v>
      </c>
      <c r="AO48" s="54" t="s">
        <v>519</v>
      </c>
      <c r="AP48" s="54" t="s">
        <v>41</v>
      </c>
      <c r="AQ48" s="54" t="s">
        <v>519</v>
      </c>
      <c r="AR48" s="54" t="s">
        <v>41</v>
      </c>
      <c r="AS48" s="54" t="s">
        <v>39</v>
      </c>
      <c r="AT48" s="54" t="s">
        <v>64</v>
      </c>
      <c r="AU48" s="54" t="s">
        <v>64</v>
      </c>
      <c r="AV48" s="54" t="s">
        <v>102</v>
      </c>
      <c r="AW48" s="54" t="s">
        <v>1427</v>
      </c>
      <c r="AX48" s="54" t="s">
        <v>39</v>
      </c>
      <c r="AY48" s="54" t="s">
        <v>2897</v>
      </c>
      <c r="AZ48" s="54" t="s">
        <v>3727</v>
      </c>
      <c r="BA48" s="54" t="s">
        <v>39</v>
      </c>
      <c r="BB48" s="54" t="s">
        <v>2777</v>
      </c>
      <c r="BC48" s="54" t="s">
        <v>33</v>
      </c>
      <c r="BD48" s="54" t="s">
        <v>33</v>
      </c>
      <c r="BE48" s="54" t="s">
        <v>1349</v>
      </c>
      <c r="BF48" s="54" t="s">
        <v>1271</v>
      </c>
      <c r="BG48" s="54" t="s">
        <v>3010</v>
      </c>
      <c r="BH48" s="54" t="s">
        <v>39</v>
      </c>
      <c r="BI48" s="54" t="s">
        <v>39</v>
      </c>
      <c r="BJ48" s="54" t="s">
        <v>2129</v>
      </c>
      <c r="BK48" s="54" t="s">
        <v>2129</v>
      </c>
      <c r="BL48" s="54" t="s">
        <v>39</v>
      </c>
      <c r="BM48" s="54" t="s">
        <v>1608</v>
      </c>
      <c r="BN48" s="54" t="s">
        <v>1607</v>
      </c>
      <c r="BO48" s="54" t="s">
        <v>39</v>
      </c>
      <c r="BR48" s="112">
        <v>47</v>
      </c>
      <c r="BS48" s="99" t="s">
        <v>1426</v>
      </c>
    </row>
    <row r="49" spans="1:75" s="2" customFormat="1" ht="11.25" customHeight="1">
      <c r="A49" s="95" t="s">
        <v>688</v>
      </c>
      <c r="B49" s="94"/>
      <c r="C49" s="94" t="s">
        <v>3133</v>
      </c>
      <c r="D49" s="94" t="s">
        <v>3131</v>
      </c>
      <c r="E49" s="94" t="s">
        <v>1952</v>
      </c>
      <c r="F49" s="94" t="s">
        <v>1981</v>
      </c>
      <c r="G49" s="94"/>
      <c r="H49" s="94" t="s">
        <v>2059</v>
      </c>
      <c r="I49" s="94" t="s">
        <v>3040</v>
      </c>
      <c r="J49" s="94" t="s">
        <v>1176</v>
      </c>
      <c r="K49" s="94" t="s">
        <v>1235</v>
      </c>
      <c r="L49" s="94" t="s">
        <v>39</v>
      </c>
      <c r="M49" s="94" t="s">
        <v>3056</v>
      </c>
      <c r="N49" s="94" t="s">
        <v>39</v>
      </c>
      <c r="O49" s="94" t="s">
        <v>2807</v>
      </c>
      <c r="P49" s="94" t="s">
        <v>39</v>
      </c>
      <c r="Q49" s="94" t="s">
        <v>39</v>
      </c>
      <c r="R49" s="94" t="s">
        <v>1696</v>
      </c>
      <c r="S49" s="94" t="s">
        <v>39</v>
      </c>
      <c r="T49" s="94" t="s">
        <v>3708</v>
      </c>
      <c r="U49" s="94" t="s">
        <v>39</v>
      </c>
      <c r="V49" s="94" t="s">
        <v>4039</v>
      </c>
      <c r="W49" s="94" t="s">
        <v>4039</v>
      </c>
      <c r="X49" s="94" t="s">
        <v>39</v>
      </c>
      <c r="Y49" s="94" t="s">
        <v>39</v>
      </c>
      <c r="Z49" s="94" t="s">
        <v>39</v>
      </c>
      <c r="AA49" s="94" t="s">
        <v>39</v>
      </c>
      <c r="AB49" s="94" t="s">
        <v>4198</v>
      </c>
      <c r="AC49" s="94" t="s">
        <v>3695</v>
      </c>
      <c r="AD49" s="94" t="s">
        <v>39</v>
      </c>
      <c r="AE49" s="94" t="s">
        <v>39</v>
      </c>
      <c r="AF49" s="94" t="s">
        <v>2321</v>
      </c>
      <c r="AG49" s="94" t="s">
        <v>2270</v>
      </c>
      <c r="AH49" s="94" t="s">
        <v>39</v>
      </c>
      <c r="AI49" s="94"/>
      <c r="AJ49" s="94" t="s">
        <v>2536</v>
      </c>
      <c r="AK49" s="94" t="s">
        <v>39</v>
      </c>
      <c r="AL49" s="94" t="s">
        <v>39</v>
      </c>
      <c r="AM49" s="94" t="s">
        <v>3354</v>
      </c>
      <c r="AN49" s="94" t="s">
        <v>3295</v>
      </c>
      <c r="AO49" s="94" t="s">
        <v>3511</v>
      </c>
      <c r="AP49" s="94" t="s">
        <v>3604</v>
      </c>
      <c r="AQ49" s="94" t="s">
        <v>3511</v>
      </c>
      <c r="AR49" s="94" t="s">
        <v>3549</v>
      </c>
      <c r="AS49" s="94"/>
      <c r="AT49" s="94"/>
      <c r="AU49" s="94"/>
      <c r="AV49" s="94" t="s">
        <v>1467</v>
      </c>
      <c r="AW49" s="94" t="s">
        <v>1467</v>
      </c>
      <c r="AX49" s="94"/>
      <c r="AY49" s="94" t="s">
        <v>2896</v>
      </c>
      <c r="AZ49" s="94" t="s">
        <v>1199</v>
      </c>
      <c r="BA49" s="94" t="s">
        <v>39</v>
      </c>
      <c r="BB49" s="94" t="s">
        <v>2864</v>
      </c>
      <c r="BC49" s="94" t="s">
        <v>840</v>
      </c>
      <c r="BD49" s="94" t="s">
        <v>840</v>
      </c>
      <c r="BE49" s="94" t="s">
        <v>1348</v>
      </c>
      <c r="BF49" s="94" t="s">
        <v>1269</v>
      </c>
      <c r="BG49" s="94" t="s">
        <v>3009</v>
      </c>
      <c r="BH49" s="94" t="s">
        <v>39</v>
      </c>
      <c r="BI49" s="94" t="s">
        <v>39</v>
      </c>
      <c r="BJ49" s="94" t="s">
        <v>3414</v>
      </c>
      <c r="BK49" s="94" t="s">
        <v>3414</v>
      </c>
      <c r="BL49" s="94" t="s">
        <v>39</v>
      </c>
      <c r="BM49" s="94" t="s">
        <v>1606</v>
      </c>
      <c r="BN49" s="94" t="s">
        <v>1605</v>
      </c>
      <c r="BO49" s="94"/>
      <c r="BR49" s="96">
        <v>48</v>
      </c>
      <c r="BS49" s="99" t="s">
        <v>1425</v>
      </c>
      <c r="BT49" s="11"/>
      <c r="BU49" s="19"/>
      <c r="BV49" s="19"/>
      <c r="BW49" s="19"/>
    </row>
    <row r="50" spans="1:75" s="14" customFormat="1" ht="22.5" customHeight="1">
      <c r="A50" s="53" t="s">
        <v>74</v>
      </c>
      <c r="B50" s="54" t="s">
        <v>279</v>
      </c>
      <c r="C50" s="54" t="s">
        <v>715</v>
      </c>
      <c r="D50" s="54" t="s">
        <v>715</v>
      </c>
      <c r="E50" s="54" t="s">
        <v>1936</v>
      </c>
      <c r="F50" s="54" t="s">
        <v>1937</v>
      </c>
      <c r="G50" s="54" t="s">
        <v>353</v>
      </c>
      <c r="H50" s="123" t="s">
        <v>2061</v>
      </c>
      <c r="I50" s="54" t="s">
        <v>2485</v>
      </c>
      <c r="J50" s="54" t="s">
        <v>39</v>
      </c>
      <c r="K50" s="54" t="s">
        <v>2748</v>
      </c>
      <c r="L50" s="54" t="s">
        <v>39</v>
      </c>
      <c r="M50" s="54" t="s">
        <v>39</v>
      </c>
      <c r="N50" s="54" t="s">
        <v>39</v>
      </c>
      <c r="O50" s="54" t="s">
        <v>39</v>
      </c>
      <c r="P50" s="54" t="s">
        <v>3816</v>
      </c>
      <c r="Q50" s="54" t="s">
        <v>39</v>
      </c>
      <c r="R50" s="54" t="s">
        <v>1695</v>
      </c>
      <c r="S50" s="54" t="s">
        <v>39</v>
      </c>
      <c r="T50" s="54" t="s">
        <v>39</v>
      </c>
      <c r="U50" s="123" t="s">
        <v>39</v>
      </c>
      <c r="V50" s="123" t="s">
        <v>4068</v>
      </c>
      <c r="W50" s="123" t="s">
        <v>4068</v>
      </c>
      <c r="X50" s="54" t="s">
        <v>2266</v>
      </c>
      <c r="Y50" s="54" t="s">
        <v>39</v>
      </c>
      <c r="Z50" s="54" t="s">
        <v>3901</v>
      </c>
      <c r="AA50" s="54" t="s">
        <v>3902</v>
      </c>
      <c r="AB50" s="54" t="s">
        <v>33</v>
      </c>
      <c r="AC50" s="54" t="s">
        <v>3662</v>
      </c>
      <c r="AD50" s="54" t="s">
        <v>39</v>
      </c>
      <c r="AE50" s="54" t="s">
        <v>39</v>
      </c>
      <c r="AF50" s="54" t="s">
        <v>2266</v>
      </c>
      <c r="AG50" s="54" t="s">
        <v>2266</v>
      </c>
      <c r="AH50" s="54" t="s">
        <v>1164</v>
      </c>
      <c r="AI50" s="54" t="s">
        <v>164</v>
      </c>
      <c r="AJ50" s="54" t="s">
        <v>715</v>
      </c>
      <c r="AK50" s="54" t="s">
        <v>2485</v>
      </c>
      <c r="AL50" s="54" t="s">
        <v>53</v>
      </c>
      <c r="AM50" s="54" t="s">
        <v>3356</v>
      </c>
      <c r="AN50" s="54" t="s">
        <v>2489</v>
      </c>
      <c r="AO50" s="54" t="s">
        <v>2266</v>
      </c>
      <c r="AP50" s="54" t="s">
        <v>2266</v>
      </c>
      <c r="AQ50" s="54" t="s">
        <v>2266</v>
      </c>
      <c r="AR50" s="54" t="s">
        <v>2266</v>
      </c>
      <c r="AS50" s="54" t="s">
        <v>39</v>
      </c>
      <c r="AT50" s="54" t="s">
        <v>39</v>
      </c>
      <c r="AU50" s="54" t="s">
        <v>39</v>
      </c>
      <c r="AV50" s="54" t="s">
        <v>39</v>
      </c>
      <c r="AW50" s="54" t="s">
        <v>33</v>
      </c>
      <c r="AX50" s="54" t="s">
        <v>39</v>
      </c>
      <c r="AY50" s="54" t="s">
        <v>2916</v>
      </c>
      <c r="AZ50" s="54" t="s">
        <v>39</v>
      </c>
      <c r="BA50" s="54" t="s">
        <v>2611</v>
      </c>
      <c r="BB50" s="54" t="s">
        <v>39</v>
      </c>
      <c r="BC50" s="54" t="s">
        <v>33</v>
      </c>
      <c r="BD50" s="54" t="s">
        <v>33</v>
      </c>
      <c r="BE50" s="54" t="s">
        <v>560</v>
      </c>
      <c r="BF50" s="54" t="s">
        <v>1271</v>
      </c>
      <c r="BG50" s="54" t="s">
        <v>778</v>
      </c>
      <c r="BH50" s="54" t="s">
        <v>39</v>
      </c>
      <c r="BI50" s="54" t="s">
        <v>39</v>
      </c>
      <c r="BJ50" s="54" t="s">
        <v>2127</v>
      </c>
      <c r="BK50" s="54" t="s">
        <v>2127</v>
      </c>
      <c r="BL50" s="54" t="s">
        <v>2198</v>
      </c>
      <c r="BM50" s="54" t="s">
        <v>65</v>
      </c>
      <c r="BN50" s="54" t="s">
        <v>61</v>
      </c>
      <c r="BO50" s="54" t="s">
        <v>102</v>
      </c>
      <c r="BR50" s="112">
        <v>49</v>
      </c>
      <c r="BS50" s="99" t="s">
        <v>261</v>
      </c>
    </row>
    <row r="51" spans="1:75" s="2" customFormat="1" ht="11.25" customHeight="1">
      <c r="A51" s="95" t="s">
        <v>688</v>
      </c>
      <c r="B51" s="94"/>
      <c r="C51" s="94" t="s">
        <v>3140</v>
      </c>
      <c r="D51" s="94" t="s">
        <v>3139</v>
      </c>
      <c r="E51" s="94" t="s">
        <v>1945</v>
      </c>
      <c r="F51" s="94" t="s">
        <v>1969</v>
      </c>
      <c r="G51" s="94"/>
      <c r="H51" s="94" t="s">
        <v>2664</v>
      </c>
      <c r="I51" s="94" t="s">
        <v>2727</v>
      </c>
      <c r="J51" s="94" t="s">
        <v>39</v>
      </c>
      <c r="K51" s="94" t="s">
        <v>1228</v>
      </c>
      <c r="L51" s="94" t="s">
        <v>39</v>
      </c>
      <c r="M51" s="94" t="s">
        <v>39</v>
      </c>
      <c r="N51" s="94" t="s">
        <v>39</v>
      </c>
      <c r="O51" s="94" t="s">
        <v>39</v>
      </c>
      <c r="P51" s="94" t="s">
        <v>2498</v>
      </c>
      <c r="Q51" s="94" t="s">
        <v>39</v>
      </c>
      <c r="R51" s="94" t="s">
        <v>1699</v>
      </c>
      <c r="S51" s="94" t="s">
        <v>39</v>
      </c>
      <c r="T51" s="94" t="s">
        <v>39</v>
      </c>
      <c r="U51" s="94" t="s">
        <v>39</v>
      </c>
      <c r="V51" s="94" t="s">
        <v>4039</v>
      </c>
      <c r="W51" s="94" t="s">
        <v>4039</v>
      </c>
      <c r="X51" s="94" t="s">
        <v>805</v>
      </c>
      <c r="Y51" s="94" t="s">
        <v>39</v>
      </c>
      <c r="Z51" s="94" t="s">
        <v>3903</v>
      </c>
      <c r="AA51" s="94" t="s">
        <v>3904</v>
      </c>
      <c r="AB51" s="94" t="s">
        <v>4202</v>
      </c>
      <c r="AC51" s="94" t="s">
        <v>1237</v>
      </c>
      <c r="AD51" s="94" t="s">
        <v>39</v>
      </c>
      <c r="AE51" s="94" t="s">
        <v>39</v>
      </c>
      <c r="AF51" s="94" t="s">
        <v>2329</v>
      </c>
      <c r="AG51" s="94" t="s">
        <v>2265</v>
      </c>
      <c r="AH51" s="94" t="s">
        <v>1154</v>
      </c>
      <c r="AI51" s="94"/>
      <c r="AJ51" s="94" t="s">
        <v>2540</v>
      </c>
      <c r="AK51" s="94" t="s">
        <v>2484</v>
      </c>
      <c r="AL51" s="94" t="s">
        <v>2583</v>
      </c>
      <c r="AM51" s="94" t="s">
        <v>3355</v>
      </c>
      <c r="AN51" s="94" t="s">
        <v>3295</v>
      </c>
      <c r="AO51" s="94" t="s">
        <v>3512</v>
      </c>
      <c r="AP51" s="94" t="s">
        <v>3624</v>
      </c>
      <c r="AQ51" s="94" t="s">
        <v>3512</v>
      </c>
      <c r="AR51" s="94" t="s">
        <v>3550</v>
      </c>
      <c r="AS51" s="94"/>
      <c r="AT51" s="94"/>
      <c r="AU51" s="94"/>
      <c r="AV51" s="94" t="s">
        <v>39</v>
      </c>
      <c r="AW51" s="94" t="s">
        <v>1468</v>
      </c>
      <c r="AX51" s="94"/>
      <c r="AY51" s="94" t="s">
        <v>2915</v>
      </c>
      <c r="AZ51" s="94" t="s">
        <v>39</v>
      </c>
      <c r="BA51" s="94" t="s">
        <v>2610</v>
      </c>
      <c r="BB51" s="94" t="s">
        <v>39</v>
      </c>
      <c r="BC51" s="94" t="s">
        <v>2925</v>
      </c>
      <c r="BD51" s="94" t="s">
        <v>856</v>
      </c>
      <c r="BE51" s="94" t="s">
        <v>1352</v>
      </c>
      <c r="BF51" s="94" t="s">
        <v>1268</v>
      </c>
      <c r="BG51" s="94" t="s">
        <v>3011</v>
      </c>
      <c r="BH51" s="94" t="s">
        <v>39</v>
      </c>
      <c r="BI51" s="94" t="s">
        <v>39</v>
      </c>
      <c r="BJ51" s="94" t="s">
        <v>2128</v>
      </c>
      <c r="BK51" s="94" t="s">
        <v>2128</v>
      </c>
      <c r="BL51" s="94" t="s">
        <v>2201</v>
      </c>
      <c r="BM51" s="94" t="s">
        <v>1583</v>
      </c>
      <c r="BN51" s="94" t="s">
        <v>1604</v>
      </c>
      <c r="BO51" s="94"/>
      <c r="BR51" s="96">
        <v>50</v>
      </c>
      <c r="BS51" s="106" t="s">
        <v>2675</v>
      </c>
      <c r="BT51" s="11"/>
      <c r="BU51" s="19"/>
      <c r="BV51" s="19"/>
      <c r="BW51" s="19"/>
    </row>
    <row r="52" spans="1:75" s="14" customFormat="1" ht="22.5" customHeight="1">
      <c r="A52" s="53" t="s">
        <v>66</v>
      </c>
      <c r="B52" s="54" t="s">
        <v>279</v>
      </c>
      <c r="C52" s="54" t="s">
        <v>33</v>
      </c>
      <c r="D52" s="54" t="s">
        <v>33</v>
      </c>
      <c r="E52" s="54" t="s">
        <v>1936</v>
      </c>
      <c r="F52" s="54" t="s">
        <v>1937</v>
      </c>
      <c r="G52" s="54" t="s">
        <v>353</v>
      </c>
      <c r="H52" s="123" t="s">
        <v>325</v>
      </c>
      <c r="I52" s="54" t="s">
        <v>2724</v>
      </c>
      <c r="J52" s="54" t="s">
        <v>39</v>
      </c>
      <c r="K52" s="54" t="s">
        <v>2762</v>
      </c>
      <c r="L52" s="54" t="s">
        <v>39</v>
      </c>
      <c r="M52" s="54" t="s">
        <v>39</v>
      </c>
      <c r="N52" s="54" t="s">
        <v>39</v>
      </c>
      <c r="O52" s="54" t="s">
        <v>39</v>
      </c>
      <c r="P52" s="54" t="s">
        <v>3818</v>
      </c>
      <c r="Q52" s="54" t="s">
        <v>39</v>
      </c>
      <c r="R52" s="54" t="s">
        <v>39</v>
      </c>
      <c r="S52" s="54" t="s">
        <v>39</v>
      </c>
      <c r="T52" s="54" t="s">
        <v>39</v>
      </c>
      <c r="U52" s="123" t="s">
        <v>39</v>
      </c>
      <c r="V52" s="123" t="s">
        <v>313</v>
      </c>
      <c r="W52" s="123" t="s">
        <v>313</v>
      </c>
      <c r="X52" s="54" t="s">
        <v>2943</v>
      </c>
      <c r="Y52" s="54" t="s">
        <v>39</v>
      </c>
      <c r="Z52" s="54" t="s">
        <v>3905</v>
      </c>
      <c r="AA52" s="54" t="s">
        <v>3906</v>
      </c>
      <c r="AB52" s="54" t="s">
        <v>64</v>
      </c>
      <c r="AC52" s="54" t="s">
        <v>3653</v>
      </c>
      <c r="AD52" s="54" t="s">
        <v>39</v>
      </c>
      <c r="AE52" s="54" t="s">
        <v>39</v>
      </c>
      <c r="AF52" s="54" t="s">
        <v>2491</v>
      </c>
      <c r="AG52" s="54" t="s">
        <v>2490</v>
      </c>
      <c r="AH52" s="54" t="s">
        <v>1155</v>
      </c>
      <c r="AI52" s="54" t="s">
        <v>39</v>
      </c>
      <c r="AJ52" s="54" t="s">
        <v>33</v>
      </c>
      <c r="AK52" s="54" t="s">
        <v>2486</v>
      </c>
      <c r="AL52" s="73" t="s">
        <v>39</v>
      </c>
      <c r="AM52" s="54" t="s">
        <v>65</v>
      </c>
      <c r="AN52" s="54" t="s">
        <v>2487</v>
      </c>
      <c r="AO52" s="54" t="s">
        <v>3573</v>
      </c>
      <c r="AP52" s="54" t="s">
        <v>3572</v>
      </c>
      <c r="AQ52" s="54" t="s">
        <v>3606</v>
      </c>
      <c r="AR52" s="54" t="s">
        <v>3572</v>
      </c>
      <c r="AS52" s="54" t="s">
        <v>39</v>
      </c>
      <c r="AT52" s="54" t="s">
        <v>65</v>
      </c>
      <c r="AU52" s="54" t="s">
        <v>65</v>
      </c>
      <c r="AV52" s="54" t="s">
        <v>39</v>
      </c>
      <c r="AW52" s="54" t="s">
        <v>1470</v>
      </c>
      <c r="AX52" s="54" t="s">
        <v>39</v>
      </c>
      <c r="AY52" s="54" t="s">
        <v>2916</v>
      </c>
      <c r="AZ52" s="54" t="s">
        <v>39</v>
      </c>
      <c r="BA52" s="54" t="s">
        <v>39</v>
      </c>
      <c r="BB52" s="54" t="s">
        <v>39</v>
      </c>
      <c r="BC52" s="54" t="s">
        <v>885</v>
      </c>
      <c r="BD52" s="54" t="s">
        <v>885</v>
      </c>
      <c r="BE52" s="54" t="s">
        <v>1350</v>
      </c>
      <c r="BF52" s="54" t="s">
        <v>1271</v>
      </c>
      <c r="BG52" s="54" t="s">
        <v>777</v>
      </c>
      <c r="BH52" s="54" t="s">
        <v>3257</v>
      </c>
      <c r="BI52" s="54" t="s">
        <v>3237</v>
      </c>
      <c r="BJ52" s="54" t="s">
        <v>2127</v>
      </c>
      <c r="BK52" s="54" t="s">
        <v>2127</v>
      </c>
      <c r="BL52" s="54" t="s">
        <v>2236</v>
      </c>
      <c r="BM52" s="54" t="s">
        <v>946</v>
      </c>
      <c r="BN52" s="54" t="s">
        <v>946</v>
      </c>
      <c r="BO52" s="54" t="s">
        <v>39</v>
      </c>
      <c r="BR52" s="112">
        <v>51</v>
      </c>
      <c r="BS52" s="99" t="s">
        <v>3381</v>
      </c>
    </row>
    <row r="53" spans="1:75" s="2" customFormat="1" ht="11.25" customHeight="1">
      <c r="A53" s="95" t="s">
        <v>688</v>
      </c>
      <c r="B53" s="94"/>
      <c r="C53" s="94" t="s">
        <v>3138</v>
      </c>
      <c r="D53" s="94" t="s">
        <v>3135</v>
      </c>
      <c r="E53" s="94" t="s">
        <v>1945</v>
      </c>
      <c r="F53" s="94" t="s">
        <v>1969</v>
      </c>
      <c r="G53" s="94"/>
      <c r="H53" s="94" t="s">
        <v>2645</v>
      </c>
      <c r="I53" s="94" t="s">
        <v>2728</v>
      </c>
      <c r="J53" s="94" t="s">
        <v>39</v>
      </c>
      <c r="K53" s="94" t="s">
        <v>2761</v>
      </c>
      <c r="L53" s="94" t="s">
        <v>39</v>
      </c>
      <c r="M53" s="94" t="s">
        <v>39</v>
      </c>
      <c r="N53" s="94" t="s">
        <v>39</v>
      </c>
      <c r="O53" s="94" t="s">
        <v>39</v>
      </c>
      <c r="P53" s="94" t="s">
        <v>3817</v>
      </c>
      <c r="Q53" s="94" t="s">
        <v>39</v>
      </c>
      <c r="R53" s="94" t="s">
        <v>39</v>
      </c>
      <c r="S53" s="94" t="s">
        <v>39</v>
      </c>
      <c r="T53" s="94" t="s">
        <v>39</v>
      </c>
      <c r="U53" s="94" t="s">
        <v>39</v>
      </c>
      <c r="V53" s="94" t="s">
        <v>4039</v>
      </c>
      <c r="W53" s="94" t="s">
        <v>4039</v>
      </c>
      <c r="X53" s="94" t="s">
        <v>805</v>
      </c>
      <c r="Y53" s="94" t="s">
        <v>39</v>
      </c>
      <c r="Z53" s="94" t="s">
        <v>3907</v>
      </c>
      <c r="AA53" s="94" t="s">
        <v>3908</v>
      </c>
      <c r="AB53" s="94" t="s">
        <v>4201</v>
      </c>
      <c r="AC53" s="94" t="s">
        <v>3683</v>
      </c>
      <c r="AD53" s="94" t="s">
        <v>39</v>
      </c>
      <c r="AE53" s="94" t="s">
        <v>39</v>
      </c>
      <c r="AF53" s="94" t="s">
        <v>2329</v>
      </c>
      <c r="AG53" s="94" t="s">
        <v>2265</v>
      </c>
      <c r="AH53" s="94" t="s">
        <v>1154</v>
      </c>
      <c r="AI53" s="94"/>
      <c r="AJ53" s="94" t="s">
        <v>2540</v>
      </c>
      <c r="AK53" s="94" t="s">
        <v>2484</v>
      </c>
      <c r="AL53" s="94" t="s">
        <v>39</v>
      </c>
      <c r="AM53" s="94" t="s">
        <v>3352</v>
      </c>
      <c r="AN53" s="94" t="s">
        <v>3294</v>
      </c>
      <c r="AO53" s="94" t="s">
        <v>3571</v>
      </c>
      <c r="AP53" s="94" t="s">
        <v>3605</v>
      </c>
      <c r="AQ53" s="94" t="s">
        <v>3513</v>
      </c>
      <c r="AR53" s="94" t="s">
        <v>3551</v>
      </c>
      <c r="AS53" s="94"/>
      <c r="AT53" s="94"/>
      <c r="AU53" s="94"/>
      <c r="AV53" s="94" t="s">
        <v>39</v>
      </c>
      <c r="AW53" s="94" t="s">
        <v>1469</v>
      </c>
      <c r="AX53" s="94"/>
      <c r="AY53" s="94" t="s">
        <v>2915</v>
      </c>
      <c r="AZ53" s="94" t="s">
        <v>39</v>
      </c>
      <c r="BA53" s="94" t="s">
        <v>39</v>
      </c>
      <c r="BB53" s="94" t="s">
        <v>39</v>
      </c>
      <c r="BC53" s="94" t="s">
        <v>886</v>
      </c>
      <c r="BD53" s="94" t="s">
        <v>886</v>
      </c>
      <c r="BE53" s="94" t="s">
        <v>1351</v>
      </c>
      <c r="BF53" s="94" t="s">
        <v>1270</v>
      </c>
      <c r="BG53" s="94" t="s">
        <v>3012</v>
      </c>
      <c r="BH53" s="94" t="s">
        <v>3236</v>
      </c>
      <c r="BI53" s="94" t="s">
        <v>3238</v>
      </c>
      <c r="BJ53" s="94" t="s">
        <v>2128</v>
      </c>
      <c r="BK53" s="94" t="s">
        <v>2128</v>
      </c>
      <c r="BL53" s="94" t="s">
        <v>2201</v>
      </c>
      <c r="BM53" s="94" t="s">
        <v>1633</v>
      </c>
      <c r="BN53" s="94" t="s">
        <v>1633</v>
      </c>
      <c r="BO53" s="94"/>
      <c r="BR53" s="96">
        <v>52</v>
      </c>
      <c r="BS53" s="99" t="s">
        <v>2596</v>
      </c>
      <c r="BT53" s="11"/>
      <c r="BU53" s="19"/>
      <c r="BV53" s="19"/>
      <c r="BW53" s="19"/>
    </row>
    <row r="54" spans="1:75" s="14" customFormat="1" ht="22.5" customHeight="1">
      <c r="A54" s="53" t="s">
        <v>56</v>
      </c>
      <c r="B54" s="54" t="s">
        <v>39</v>
      </c>
      <c r="C54" s="54" t="s">
        <v>39</v>
      </c>
      <c r="D54" s="54" t="s">
        <v>39</v>
      </c>
      <c r="E54" s="54" t="s">
        <v>1983</v>
      </c>
      <c r="F54" s="54" t="s">
        <v>1983</v>
      </c>
      <c r="G54" s="54" t="s">
        <v>39</v>
      </c>
      <c r="H54" s="123" t="s">
        <v>2034</v>
      </c>
      <c r="I54" s="54" t="s">
        <v>39</v>
      </c>
      <c r="J54" s="54" t="s">
        <v>39</v>
      </c>
      <c r="K54" s="54" t="s">
        <v>39</v>
      </c>
      <c r="L54" s="54" t="s">
        <v>39</v>
      </c>
      <c r="M54" s="54" t="s">
        <v>39</v>
      </c>
      <c r="N54" s="54" t="s">
        <v>39</v>
      </c>
      <c r="O54" s="54" t="s">
        <v>39</v>
      </c>
      <c r="P54" s="54" t="s">
        <v>3827</v>
      </c>
      <c r="Q54" s="54" t="s">
        <v>3827</v>
      </c>
      <c r="R54" s="54" t="s">
        <v>39</v>
      </c>
      <c r="S54" s="54" t="s">
        <v>39</v>
      </c>
      <c r="T54" s="54" t="s">
        <v>39</v>
      </c>
      <c r="U54" s="123" t="s">
        <v>314</v>
      </c>
      <c r="V54" s="123" t="s">
        <v>314</v>
      </c>
      <c r="W54" s="123" t="s">
        <v>314</v>
      </c>
      <c r="X54" s="54" t="s">
        <v>39</v>
      </c>
      <c r="Y54" s="54" t="s">
        <v>39</v>
      </c>
      <c r="Z54" s="54" t="s">
        <v>314</v>
      </c>
      <c r="AA54" s="54" t="s">
        <v>3909</v>
      </c>
      <c r="AB54" s="54" t="s">
        <v>4199</v>
      </c>
      <c r="AC54" s="54" t="s">
        <v>39</v>
      </c>
      <c r="AD54" s="54" t="s">
        <v>39</v>
      </c>
      <c r="AE54" s="54" t="s">
        <v>39</v>
      </c>
      <c r="AF54" s="54" t="s">
        <v>39</v>
      </c>
      <c r="AG54" s="54" t="s">
        <v>2295</v>
      </c>
      <c r="AH54" s="54" t="s">
        <v>39</v>
      </c>
      <c r="AI54" s="54" t="s">
        <v>50</v>
      </c>
      <c r="AJ54" s="54" t="s">
        <v>2524</v>
      </c>
      <c r="AK54" s="54" t="s">
        <v>2524</v>
      </c>
      <c r="AL54" s="73" t="s">
        <v>39</v>
      </c>
      <c r="AM54" s="54" t="s">
        <v>1773</v>
      </c>
      <c r="AN54" s="54" t="s">
        <v>1773</v>
      </c>
      <c r="AO54" s="54" t="s">
        <v>39</v>
      </c>
      <c r="AP54" s="54" t="s">
        <v>39</v>
      </c>
      <c r="AQ54" s="54" t="s">
        <v>3535</v>
      </c>
      <c r="AR54" s="54" t="s">
        <v>3535</v>
      </c>
      <c r="AS54" s="54" t="s">
        <v>39</v>
      </c>
      <c r="AT54" s="54" t="s">
        <v>57</v>
      </c>
      <c r="AU54" s="54" t="s">
        <v>39</v>
      </c>
      <c r="AV54" s="54" t="s">
        <v>39</v>
      </c>
      <c r="AW54" s="54" t="s">
        <v>39</v>
      </c>
      <c r="AX54" s="54" t="s">
        <v>39</v>
      </c>
      <c r="AY54" s="54" t="s">
        <v>39</v>
      </c>
      <c r="AZ54" s="54" t="s">
        <v>39</v>
      </c>
      <c r="BA54" s="48" t="s">
        <v>39</v>
      </c>
      <c r="BB54" s="54" t="s">
        <v>39</v>
      </c>
      <c r="BC54" s="54" t="s">
        <v>39</v>
      </c>
      <c r="BD54" s="54" t="s">
        <v>39</v>
      </c>
      <c r="BE54" s="54" t="s">
        <v>559</v>
      </c>
      <c r="BF54" s="54" t="s">
        <v>559</v>
      </c>
      <c r="BG54" s="54" t="s">
        <v>39</v>
      </c>
      <c r="BH54" s="54" t="s">
        <v>559</v>
      </c>
      <c r="BI54" s="54" t="s">
        <v>559</v>
      </c>
      <c r="BJ54" s="54" t="s">
        <v>39</v>
      </c>
      <c r="BK54" s="54" t="s">
        <v>39</v>
      </c>
      <c r="BL54" s="54" t="s">
        <v>559</v>
      </c>
      <c r="BM54" s="54" t="s">
        <v>39</v>
      </c>
      <c r="BN54" s="54" t="s">
        <v>39</v>
      </c>
      <c r="BO54" s="54" t="s">
        <v>39</v>
      </c>
      <c r="BR54" s="112">
        <v>53</v>
      </c>
      <c r="BS54" s="99" t="s">
        <v>2871</v>
      </c>
    </row>
    <row r="55" spans="1:75" s="2" customFormat="1" ht="11.25" customHeight="1">
      <c r="A55" s="95" t="s">
        <v>688</v>
      </c>
      <c r="B55" s="94"/>
      <c r="C55" s="94" t="s">
        <v>39</v>
      </c>
      <c r="D55" s="94" t="s">
        <v>39</v>
      </c>
      <c r="E55" s="94" t="s">
        <v>1955</v>
      </c>
      <c r="F55" s="94" t="s">
        <v>1984</v>
      </c>
      <c r="G55" s="94"/>
      <c r="H55" s="94" t="s">
        <v>2033</v>
      </c>
      <c r="I55" s="94" t="s">
        <v>39</v>
      </c>
      <c r="J55" s="94" t="s">
        <v>39</v>
      </c>
      <c r="K55" s="94" t="s">
        <v>39</v>
      </c>
      <c r="L55" s="94" t="s">
        <v>39</v>
      </c>
      <c r="M55" s="94" t="s">
        <v>39</v>
      </c>
      <c r="N55" s="94" t="s">
        <v>39</v>
      </c>
      <c r="O55" s="94" t="s">
        <v>39</v>
      </c>
      <c r="P55" s="94" t="s">
        <v>2500</v>
      </c>
      <c r="Q55" s="94" t="s">
        <v>3824</v>
      </c>
      <c r="R55" s="94" t="s">
        <v>39</v>
      </c>
      <c r="S55" s="94" t="s">
        <v>39</v>
      </c>
      <c r="T55" s="94" t="s">
        <v>39</v>
      </c>
      <c r="U55" s="94" t="s">
        <v>4109</v>
      </c>
      <c r="V55" s="94" t="s">
        <v>4109</v>
      </c>
      <c r="W55" s="94" t="s">
        <v>4109</v>
      </c>
      <c r="X55" s="94" t="s">
        <v>39</v>
      </c>
      <c r="Y55" s="94" t="s">
        <v>39</v>
      </c>
      <c r="Z55" s="94" t="s">
        <v>3910</v>
      </c>
      <c r="AA55" s="94" t="s">
        <v>3911</v>
      </c>
      <c r="AB55" s="94" t="s">
        <v>4200</v>
      </c>
      <c r="AC55" s="94" t="s">
        <v>39</v>
      </c>
      <c r="AD55" s="94" t="s">
        <v>39</v>
      </c>
      <c r="AE55" s="94" t="s">
        <v>39</v>
      </c>
      <c r="AF55" s="94" t="s">
        <v>39</v>
      </c>
      <c r="AG55" s="94" t="s">
        <v>2294</v>
      </c>
      <c r="AH55" s="94" t="s">
        <v>39</v>
      </c>
      <c r="AI55" s="94"/>
      <c r="AJ55" s="94" t="s">
        <v>2560</v>
      </c>
      <c r="AK55" s="94" t="s">
        <v>2523</v>
      </c>
      <c r="AL55" s="94" t="s">
        <v>39</v>
      </c>
      <c r="AM55" s="94" t="s">
        <v>3358</v>
      </c>
      <c r="AN55" s="94" t="s">
        <v>3312</v>
      </c>
      <c r="AO55" s="94" t="s">
        <v>39</v>
      </c>
      <c r="AP55" s="94" t="s">
        <v>39</v>
      </c>
      <c r="AQ55" s="94" t="s">
        <v>3534</v>
      </c>
      <c r="AR55" s="94" t="s">
        <v>3534</v>
      </c>
      <c r="AS55" s="94"/>
      <c r="AT55" s="94"/>
      <c r="AU55" s="94"/>
      <c r="AV55" s="94" t="s">
        <v>39</v>
      </c>
      <c r="AW55" s="94" t="s">
        <v>39</v>
      </c>
      <c r="AX55" s="94"/>
      <c r="AY55" s="94" t="s">
        <v>39</v>
      </c>
      <c r="AZ55" s="94" t="s">
        <v>39</v>
      </c>
      <c r="BA55" s="94" t="s">
        <v>39</v>
      </c>
      <c r="BB55" s="94" t="s">
        <v>39</v>
      </c>
      <c r="BC55" s="94" t="s">
        <v>39</v>
      </c>
      <c r="BD55" s="94" t="s">
        <v>39</v>
      </c>
      <c r="BE55" s="94" t="s">
        <v>1325</v>
      </c>
      <c r="BF55" s="94" t="s">
        <v>1326</v>
      </c>
      <c r="BG55" s="94" t="s">
        <v>39</v>
      </c>
      <c r="BH55" s="94" t="s">
        <v>3239</v>
      </c>
      <c r="BI55" s="94" t="s">
        <v>3241</v>
      </c>
      <c r="BJ55" s="94" t="s">
        <v>39</v>
      </c>
      <c r="BK55" s="94" t="s">
        <v>39</v>
      </c>
      <c r="BL55" s="94" t="s">
        <v>2218</v>
      </c>
      <c r="BM55" s="94" t="s">
        <v>39</v>
      </c>
      <c r="BN55" s="94" t="s">
        <v>39</v>
      </c>
      <c r="BO55" s="94"/>
      <c r="BR55" s="96">
        <v>54</v>
      </c>
      <c r="BS55" s="99" t="s">
        <v>395</v>
      </c>
      <c r="BT55" s="11"/>
      <c r="BU55" s="19"/>
      <c r="BV55" s="19"/>
      <c r="BW55" s="19"/>
    </row>
    <row r="56" spans="1:75" s="14" customFormat="1" ht="22.5" customHeight="1">
      <c r="A56" s="58" t="s">
        <v>60</v>
      </c>
      <c r="B56" s="54" t="s">
        <v>87</v>
      </c>
      <c r="C56" s="54" t="s">
        <v>470</v>
      </c>
      <c r="D56" s="54" t="s">
        <v>470</v>
      </c>
      <c r="E56" s="54" t="s">
        <v>39</v>
      </c>
      <c r="F56" s="54" t="s">
        <v>39</v>
      </c>
      <c r="G56" s="54" t="s">
        <v>39</v>
      </c>
      <c r="H56" s="123" t="s">
        <v>2101</v>
      </c>
      <c r="I56" s="54" t="s">
        <v>39</v>
      </c>
      <c r="J56" s="54" t="s">
        <v>39</v>
      </c>
      <c r="K56" s="54" t="s">
        <v>39</v>
      </c>
      <c r="L56" s="54" t="s">
        <v>39</v>
      </c>
      <c r="M56" s="54" t="s">
        <v>39</v>
      </c>
      <c r="N56" s="54" t="s">
        <v>39</v>
      </c>
      <c r="O56" s="54" t="s">
        <v>39</v>
      </c>
      <c r="P56" s="54" t="s">
        <v>39</v>
      </c>
      <c r="Q56" s="54" t="s">
        <v>39</v>
      </c>
      <c r="R56" s="54" t="s">
        <v>1653</v>
      </c>
      <c r="S56" s="54" t="s">
        <v>39</v>
      </c>
      <c r="T56" s="54" t="s">
        <v>39</v>
      </c>
      <c r="U56" s="123" t="s">
        <v>39</v>
      </c>
      <c r="V56" s="123" t="s">
        <v>39</v>
      </c>
      <c r="W56" s="123" t="s">
        <v>39</v>
      </c>
      <c r="X56" s="54" t="s">
        <v>819</v>
      </c>
      <c r="Y56" s="54" t="s">
        <v>39</v>
      </c>
      <c r="Z56" s="54" t="s">
        <v>470</v>
      </c>
      <c r="AA56" s="54" t="s">
        <v>3912</v>
      </c>
      <c r="AB56" s="54" t="s">
        <v>3679</v>
      </c>
      <c r="AC56" s="54" t="s">
        <v>3679</v>
      </c>
      <c r="AD56" s="54" t="s">
        <v>2394</v>
      </c>
      <c r="AE56" s="54" t="s">
        <v>2394</v>
      </c>
      <c r="AF56" s="54" t="s">
        <v>2350</v>
      </c>
      <c r="AG56" s="54" t="s">
        <v>719</v>
      </c>
      <c r="AH56" s="54" t="s">
        <v>39</v>
      </c>
      <c r="AI56" s="54" t="s">
        <v>50</v>
      </c>
      <c r="AJ56" s="54" t="s">
        <v>2562</v>
      </c>
      <c r="AK56" s="54" t="s">
        <v>2525</v>
      </c>
      <c r="AL56" s="73" t="s">
        <v>39</v>
      </c>
      <c r="AM56" s="54" t="s">
        <v>470</v>
      </c>
      <c r="AN56" s="54" t="s">
        <v>87</v>
      </c>
      <c r="AO56" s="54" t="s">
        <v>120</v>
      </c>
      <c r="AP56" s="54" t="s">
        <v>3608</v>
      </c>
      <c r="AQ56" s="54" t="s">
        <v>3436</v>
      </c>
      <c r="AR56" s="54" t="s">
        <v>3443</v>
      </c>
      <c r="AS56" s="54" t="s">
        <v>39</v>
      </c>
      <c r="AT56" s="54" t="s">
        <v>46</v>
      </c>
      <c r="AU56" s="54" t="s">
        <v>39</v>
      </c>
      <c r="AV56" s="54" t="s">
        <v>1489</v>
      </c>
      <c r="AW56" s="54" t="s">
        <v>1489</v>
      </c>
      <c r="AX56" s="54" t="s">
        <v>39</v>
      </c>
      <c r="AY56" s="54" t="s">
        <v>39</v>
      </c>
      <c r="AZ56" s="54" t="s">
        <v>3386</v>
      </c>
      <c r="BA56" s="48" t="s">
        <v>39</v>
      </c>
      <c r="BB56" s="54" t="s">
        <v>39</v>
      </c>
      <c r="BC56" s="54" t="s">
        <v>870</v>
      </c>
      <c r="BD56" s="54" t="s">
        <v>870</v>
      </c>
      <c r="BE56" s="54" t="s">
        <v>1341</v>
      </c>
      <c r="BF56" s="54" t="s">
        <v>1341</v>
      </c>
      <c r="BG56" s="54" t="s">
        <v>2982</v>
      </c>
      <c r="BH56" s="54" t="s">
        <v>39</v>
      </c>
      <c r="BI56" s="54" t="s">
        <v>39</v>
      </c>
      <c r="BJ56" s="54" t="s">
        <v>614</v>
      </c>
      <c r="BK56" s="54" t="s">
        <v>614</v>
      </c>
      <c r="BL56" s="54" t="s">
        <v>2166</v>
      </c>
      <c r="BM56" s="54" t="s">
        <v>39</v>
      </c>
      <c r="BN56" s="54" t="s">
        <v>39</v>
      </c>
      <c r="BO56" s="54" t="s">
        <v>39</v>
      </c>
      <c r="BR56" s="112">
        <v>55</v>
      </c>
      <c r="BS56" s="106" t="s">
        <v>900</v>
      </c>
    </row>
    <row r="57" spans="1:75" s="2" customFormat="1" ht="11.25" customHeight="1">
      <c r="A57" s="95" t="s">
        <v>688</v>
      </c>
      <c r="B57" s="94"/>
      <c r="C57" s="94" t="s">
        <v>3163</v>
      </c>
      <c r="D57" s="94" t="s">
        <v>3162</v>
      </c>
      <c r="E57" s="94" t="s">
        <v>39</v>
      </c>
      <c r="F57" s="94" t="s">
        <v>39</v>
      </c>
      <c r="G57" s="94"/>
      <c r="H57" s="94" t="s">
        <v>2032</v>
      </c>
      <c r="I57" s="94" t="s">
        <v>39</v>
      </c>
      <c r="J57" s="94" t="s">
        <v>39</v>
      </c>
      <c r="K57" s="94" t="s">
        <v>39</v>
      </c>
      <c r="L57" s="94" t="s">
        <v>39</v>
      </c>
      <c r="M57" s="94" t="s">
        <v>39</v>
      </c>
      <c r="N57" s="94" t="s">
        <v>39</v>
      </c>
      <c r="O57" s="94" t="s">
        <v>39</v>
      </c>
      <c r="P57" s="94" t="s">
        <v>39</v>
      </c>
      <c r="Q57" s="94" t="s">
        <v>39</v>
      </c>
      <c r="R57" s="94" t="s">
        <v>1652</v>
      </c>
      <c r="S57" s="94" t="s">
        <v>39</v>
      </c>
      <c r="T57" s="94" t="s">
        <v>39</v>
      </c>
      <c r="U57" s="94" t="s">
        <v>39</v>
      </c>
      <c r="V57" s="94" t="s">
        <v>39</v>
      </c>
      <c r="W57" s="94" t="s">
        <v>39</v>
      </c>
      <c r="X57" s="94" t="s">
        <v>820</v>
      </c>
      <c r="Y57" s="94" t="s">
        <v>39</v>
      </c>
      <c r="Z57" s="94" t="s">
        <v>3913</v>
      </c>
      <c r="AA57" s="94" t="s">
        <v>3914</v>
      </c>
      <c r="AB57" s="94" t="s">
        <v>4203</v>
      </c>
      <c r="AC57" s="94" t="s">
        <v>3678</v>
      </c>
      <c r="AD57" s="94" t="s">
        <v>2425</v>
      </c>
      <c r="AE57" s="94" t="s">
        <v>2393</v>
      </c>
      <c r="AF57" s="94" t="s">
        <v>2351</v>
      </c>
      <c r="AG57" s="94" t="s">
        <v>2284</v>
      </c>
      <c r="AH57" s="94" t="s">
        <v>39</v>
      </c>
      <c r="AI57" s="94"/>
      <c r="AJ57" s="94" t="s">
        <v>2561</v>
      </c>
      <c r="AK57" s="94" t="s">
        <v>2526</v>
      </c>
      <c r="AL57" s="94" t="s">
        <v>39</v>
      </c>
      <c r="AM57" s="94" t="s">
        <v>3357</v>
      </c>
      <c r="AN57" s="94" t="s">
        <v>3310</v>
      </c>
      <c r="AO57" s="94" t="s">
        <v>3589</v>
      </c>
      <c r="AP57" s="94" t="s">
        <v>3607</v>
      </c>
      <c r="AQ57" s="94" t="s">
        <v>3536</v>
      </c>
      <c r="AR57" s="94" t="s">
        <v>3553</v>
      </c>
      <c r="AS57" s="94"/>
      <c r="AT57" s="94"/>
      <c r="AU57" s="94"/>
      <c r="AV57" s="94" t="s">
        <v>1488</v>
      </c>
      <c r="AW57" s="94" t="s">
        <v>1488</v>
      </c>
      <c r="AX57" s="94"/>
      <c r="AY57" s="94" t="s">
        <v>39</v>
      </c>
      <c r="AZ57" s="94" t="s">
        <v>1885</v>
      </c>
      <c r="BA57" s="94" t="s">
        <v>39</v>
      </c>
      <c r="BB57" s="94" t="s">
        <v>39</v>
      </c>
      <c r="BC57" s="94" t="s">
        <v>2926</v>
      </c>
      <c r="BD57" s="94" t="s">
        <v>2926</v>
      </c>
      <c r="BE57" s="94" t="s">
        <v>1340</v>
      </c>
      <c r="BF57" s="94" t="s">
        <v>1340</v>
      </c>
      <c r="BG57" s="94" t="s">
        <v>2981</v>
      </c>
      <c r="BH57" s="94" t="s">
        <v>39</v>
      </c>
      <c r="BI57" s="94" t="s">
        <v>39</v>
      </c>
      <c r="BJ57" s="94" t="s">
        <v>2151</v>
      </c>
      <c r="BK57" s="94" t="s">
        <v>2151</v>
      </c>
      <c r="BL57" s="94" t="s">
        <v>2220</v>
      </c>
      <c r="BM57" s="94" t="s">
        <v>39</v>
      </c>
      <c r="BN57" s="94" t="s">
        <v>39</v>
      </c>
      <c r="BO57" s="94"/>
      <c r="BR57" s="96">
        <v>56</v>
      </c>
      <c r="BS57" s="106" t="s">
        <v>206</v>
      </c>
      <c r="BT57" s="11"/>
      <c r="BU57" s="19"/>
      <c r="BV57" s="19"/>
      <c r="BW57" s="19"/>
    </row>
    <row r="58" spans="1:75" s="14" customFormat="1" ht="45" customHeight="1">
      <c r="A58" s="53" t="s">
        <v>174</v>
      </c>
      <c r="B58" s="54" t="s">
        <v>273</v>
      </c>
      <c r="C58" s="116" t="s">
        <v>3167</v>
      </c>
      <c r="D58" s="116" t="s">
        <v>3166</v>
      </c>
      <c r="E58" s="54" t="s">
        <v>2000</v>
      </c>
      <c r="F58" s="54" t="s">
        <v>2000</v>
      </c>
      <c r="G58" s="54" t="s">
        <v>39</v>
      </c>
      <c r="H58" s="123" t="s">
        <v>2644</v>
      </c>
      <c r="I58" s="54" t="s">
        <v>2688</v>
      </c>
      <c r="J58" s="54" t="s">
        <v>2766</v>
      </c>
      <c r="K58" s="54" t="s">
        <v>2766</v>
      </c>
      <c r="L58" s="54" t="s">
        <v>39</v>
      </c>
      <c r="M58" s="54" t="s">
        <v>39</v>
      </c>
      <c r="N58" s="54" t="s">
        <v>39</v>
      </c>
      <c r="O58" s="54" t="s">
        <v>2800</v>
      </c>
      <c r="P58" s="54" t="s">
        <v>39</v>
      </c>
      <c r="Q58" s="54" t="s">
        <v>39</v>
      </c>
      <c r="R58" s="54" t="s">
        <v>1674</v>
      </c>
      <c r="S58" s="54" t="s">
        <v>39</v>
      </c>
      <c r="T58" s="54" t="s">
        <v>3731</v>
      </c>
      <c r="U58" s="123" t="s">
        <v>4111</v>
      </c>
      <c r="V58" s="123" t="s">
        <v>4111</v>
      </c>
      <c r="W58" s="123" t="s">
        <v>4111</v>
      </c>
      <c r="X58" s="54" t="s">
        <v>721</v>
      </c>
      <c r="Y58" s="54" t="s">
        <v>39</v>
      </c>
      <c r="Z58" s="54" t="s">
        <v>3915</v>
      </c>
      <c r="AA58" s="54" t="s">
        <v>3916</v>
      </c>
      <c r="AB58" s="54" t="s">
        <v>4204</v>
      </c>
      <c r="AC58" s="54" t="s">
        <v>3677</v>
      </c>
      <c r="AD58" s="54" t="s">
        <v>39</v>
      </c>
      <c r="AE58" s="54" t="s">
        <v>2383</v>
      </c>
      <c r="AF58" s="54" t="s">
        <v>2335</v>
      </c>
      <c r="AG58" s="54" t="s">
        <v>2292</v>
      </c>
      <c r="AH58" s="54" t="s">
        <v>39</v>
      </c>
      <c r="AI58" s="54" t="s">
        <v>39</v>
      </c>
      <c r="AJ58" s="54" t="s">
        <v>2550</v>
      </c>
      <c r="AK58" s="54" t="s">
        <v>2551</v>
      </c>
      <c r="AL58" s="73" t="s">
        <v>39</v>
      </c>
      <c r="AM58" s="54" t="s">
        <v>39</v>
      </c>
      <c r="AN58" s="54" t="s">
        <v>3309</v>
      </c>
      <c r="AO58" s="54" t="s">
        <v>3586</v>
      </c>
      <c r="AP58" s="54" t="s">
        <v>3533</v>
      </c>
      <c r="AQ58" s="54" t="s">
        <v>3533</v>
      </c>
      <c r="AR58" s="54" t="s">
        <v>3533</v>
      </c>
      <c r="AS58" s="54" t="s">
        <v>39</v>
      </c>
      <c r="AT58" s="54" t="s">
        <v>39</v>
      </c>
      <c r="AU58" s="54" t="s">
        <v>39</v>
      </c>
      <c r="AV58" s="54" t="s">
        <v>39</v>
      </c>
      <c r="AW58" s="54" t="s">
        <v>39</v>
      </c>
      <c r="AX58" s="54" t="s">
        <v>375</v>
      </c>
      <c r="AY58" s="54" t="s">
        <v>2880</v>
      </c>
      <c r="AZ58" s="54" t="s">
        <v>39</v>
      </c>
      <c r="BA58" s="54" t="s">
        <v>2624</v>
      </c>
      <c r="BB58" s="54" t="s">
        <v>2766</v>
      </c>
      <c r="BC58" s="54" t="s">
        <v>873</v>
      </c>
      <c r="BD58" s="54" t="s">
        <v>873</v>
      </c>
      <c r="BE58" s="54" t="s">
        <v>39</v>
      </c>
      <c r="BF58" s="54" t="s">
        <v>218</v>
      </c>
      <c r="BG58" s="54" t="s">
        <v>2980</v>
      </c>
      <c r="BH58" s="54" t="s">
        <v>39</v>
      </c>
      <c r="BI58" s="54" t="s">
        <v>39</v>
      </c>
      <c r="BJ58" s="54" t="s">
        <v>3410</v>
      </c>
      <c r="BK58" s="54" t="s">
        <v>3409</v>
      </c>
      <c r="BL58" s="54" t="s">
        <v>2207</v>
      </c>
      <c r="BM58" s="54" t="s">
        <v>1620</v>
      </c>
      <c r="BN58" s="54" t="s">
        <v>1620</v>
      </c>
      <c r="BO58" s="54" t="s">
        <v>431</v>
      </c>
      <c r="BR58" s="112">
        <v>57</v>
      </c>
      <c r="BS58" s="106" t="s">
        <v>207</v>
      </c>
    </row>
    <row r="59" spans="1:75" s="2" customFormat="1" ht="11.25" customHeight="1">
      <c r="A59" s="95" t="s">
        <v>688</v>
      </c>
      <c r="B59" s="94"/>
      <c r="C59" s="94" t="s">
        <v>3165</v>
      </c>
      <c r="D59" s="94" t="s">
        <v>3164</v>
      </c>
      <c r="E59" s="94" t="s">
        <v>1999</v>
      </c>
      <c r="F59" s="94" t="s">
        <v>1999</v>
      </c>
      <c r="G59" s="94"/>
      <c r="H59" s="94" t="s">
        <v>2643</v>
      </c>
      <c r="I59" s="94" t="s">
        <v>2729</v>
      </c>
      <c r="J59" s="94" t="s">
        <v>1232</v>
      </c>
      <c r="K59" s="94" t="s">
        <v>2763</v>
      </c>
      <c r="L59" s="94" t="s">
        <v>39</v>
      </c>
      <c r="M59" s="94" t="s">
        <v>39</v>
      </c>
      <c r="N59" s="94" t="s">
        <v>39</v>
      </c>
      <c r="O59" s="94" t="s">
        <v>2799</v>
      </c>
      <c r="P59" s="94" t="s">
        <v>39</v>
      </c>
      <c r="Q59" s="94" t="s">
        <v>39</v>
      </c>
      <c r="R59" s="94" t="s">
        <v>1673</v>
      </c>
      <c r="S59" s="94" t="s">
        <v>39</v>
      </c>
      <c r="T59" s="94" t="s">
        <v>3730</v>
      </c>
      <c r="U59" s="94" t="s">
        <v>4110</v>
      </c>
      <c r="V59" s="94" t="s">
        <v>4110</v>
      </c>
      <c r="W59" s="94" t="s">
        <v>4110</v>
      </c>
      <c r="X59" s="94" t="s">
        <v>821</v>
      </c>
      <c r="Y59" s="94" t="s">
        <v>39</v>
      </c>
      <c r="Z59" s="94" t="s">
        <v>3917</v>
      </c>
      <c r="AA59" s="94" t="s">
        <v>3918</v>
      </c>
      <c r="AB59" s="94" t="s">
        <v>4205</v>
      </c>
      <c r="AC59" s="94" t="s">
        <v>3676</v>
      </c>
      <c r="AD59" s="94" t="s">
        <v>39</v>
      </c>
      <c r="AE59" s="94" t="s">
        <v>2382</v>
      </c>
      <c r="AF59" s="94" t="s">
        <v>2334</v>
      </c>
      <c r="AG59" s="94" t="s">
        <v>2273</v>
      </c>
      <c r="AH59" s="94" t="s">
        <v>39</v>
      </c>
      <c r="AI59" s="94"/>
      <c r="AJ59" s="94" t="s">
        <v>1285</v>
      </c>
      <c r="AK59" s="94" t="s">
        <v>2501</v>
      </c>
      <c r="AL59" s="94" t="s">
        <v>39</v>
      </c>
      <c r="AM59" s="94" t="s">
        <v>39</v>
      </c>
      <c r="AN59" s="94" t="s">
        <v>3308</v>
      </c>
      <c r="AO59" s="94" t="s">
        <v>3585</v>
      </c>
      <c r="AP59" s="94" t="s">
        <v>3623</v>
      </c>
      <c r="AQ59" s="94" t="s">
        <v>3532</v>
      </c>
      <c r="AR59" s="94" t="s">
        <v>3532</v>
      </c>
      <c r="AS59" s="94"/>
      <c r="AT59" s="94"/>
      <c r="AU59" s="94"/>
      <c r="AV59" s="94" t="s">
        <v>39</v>
      </c>
      <c r="AW59" s="94" t="s">
        <v>39</v>
      </c>
      <c r="AX59" s="94"/>
      <c r="AY59" s="94" t="s">
        <v>2876</v>
      </c>
      <c r="AZ59" s="94" t="s">
        <v>39</v>
      </c>
      <c r="BA59" s="94" t="s">
        <v>2622</v>
      </c>
      <c r="BB59" s="94" t="s">
        <v>2869</v>
      </c>
      <c r="BC59" s="94" t="s">
        <v>2927</v>
      </c>
      <c r="BD59" s="94" t="s">
        <v>2927</v>
      </c>
      <c r="BE59" s="94" t="s">
        <v>39</v>
      </c>
      <c r="BF59" s="94" t="s">
        <v>1323</v>
      </c>
      <c r="BG59" s="94" t="s">
        <v>2978</v>
      </c>
      <c r="BH59" s="94" t="s">
        <v>39</v>
      </c>
      <c r="BI59" s="94" t="s">
        <v>39</v>
      </c>
      <c r="BJ59" s="94" t="s">
        <v>3408</v>
      </c>
      <c r="BK59" s="94" t="s">
        <v>2120</v>
      </c>
      <c r="BL59" s="94" t="s">
        <v>2206</v>
      </c>
      <c r="BM59" s="94" t="s">
        <v>1618</v>
      </c>
      <c r="BN59" s="94" t="s">
        <v>1618</v>
      </c>
      <c r="BO59" s="94"/>
      <c r="BR59" s="96">
        <v>58</v>
      </c>
      <c r="BS59" s="106" t="s">
        <v>636</v>
      </c>
      <c r="BT59" s="11"/>
      <c r="BU59" s="19"/>
      <c r="BV59" s="19"/>
      <c r="BW59" s="19"/>
    </row>
    <row r="60" spans="1:75" s="14" customFormat="1" ht="22.5" customHeight="1">
      <c r="A60" s="58" t="s">
        <v>75</v>
      </c>
      <c r="B60" s="54" t="s">
        <v>280</v>
      </c>
      <c r="C60" s="54" t="s">
        <v>39</v>
      </c>
      <c r="D60" s="54" t="s">
        <v>39</v>
      </c>
      <c r="E60" s="54" t="s">
        <v>2002</v>
      </c>
      <c r="F60" s="54" t="s">
        <v>2002</v>
      </c>
      <c r="G60" s="54" t="s">
        <v>39</v>
      </c>
      <c r="H60" s="123" t="s">
        <v>2632</v>
      </c>
      <c r="I60" s="54" t="s">
        <v>39</v>
      </c>
      <c r="J60" s="54" t="s">
        <v>2790</v>
      </c>
      <c r="K60" s="54" t="s">
        <v>2790</v>
      </c>
      <c r="L60" s="54" t="s">
        <v>39</v>
      </c>
      <c r="M60" s="54" t="s">
        <v>3053</v>
      </c>
      <c r="N60" s="54" t="s">
        <v>39</v>
      </c>
      <c r="O60" s="54" t="s">
        <v>39</v>
      </c>
      <c r="P60" s="54" t="s">
        <v>3840</v>
      </c>
      <c r="Q60" s="54" t="s">
        <v>3840</v>
      </c>
      <c r="R60" s="54" t="s">
        <v>1698</v>
      </c>
      <c r="S60" s="54" t="s">
        <v>39</v>
      </c>
      <c r="T60" s="54" t="s">
        <v>39</v>
      </c>
      <c r="U60" s="123" t="s">
        <v>41</v>
      </c>
      <c r="V60" s="123" t="s">
        <v>41</v>
      </c>
      <c r="W60" s="123" t="s">
        <v>41</v>
      </c>
      <c r="X60" s="54" t="s">
        <v>39</v>
      </c>
      <c r="Y60" s="54" t="s">
        <v>3919</v>
      </c>
      <c r="Z60" s="54" t="s">
        <v>3919</v>
      </c>
      <c r="AA60" s="54" t="s">
        <v>3919</v>
      </c>
      <c r="AB60" s="54" t="s">
        <v>41</v>
      </c>
      <c r="AC60" s="54" t="s">
        <v>41</v>
      </c>
      <c r="AD60" s="54" t="s">
        <v>2447</v>
      </c>
      <c r="AE60" s="54" t="s">
        <v>2447</v>
      </c>
      <c r="AF60" s="54" t="s">
        <v>2447</v>
      </c>
      <c r="AG60" s="54" t="s">
        <v>2447</v>
      </c>
      <c r="AH60" s="54" t="s">
        <v>41</v>
      </c>
      <c r="AI60" s="54" t="s">
        <v>39</v>
      </c>
      <c r="AJ60" s="54" t="s">
        <v>41</v>
      </c>
      <c r="AK60" s="54" t="s">
        <v>39</v>
      </c>
      <c r="AL60" s="54" t="s">
        <v>41</v>
      </c>
      <c r="AM60" s="54" t="s">
        <v>39</v>
      </c>
      <c r="AN60" s="54" t="s">
        <v>41</v>
      </c>
      <c r="AO60" s="54" t="s">
        <v>41</v>
      </c>
      <c r="AP60" s="54" t="s">
        <v>41</v>
      </c>
      <c r="AQ60" s="54" t="s">
        <v>41</v>
      </c>
      <c r="AR60" s="54" t="s">
        <v>41</v>
      </c>
      <c r="AS60" s="54" t="s">
        <v>39</v>
      </c>
      <c r="AT60" s="54" t="s">
        <v>39</v>
      </c>
      <c r="AU60" s="54" t="s">
        <v>39</v>
      </c>
      <c r="AV60" s="54" t="s">
        <v>41</v>
      </c>
      <c r="AW60" s="54" t="s">
        <v>41</v>
      </c>
      <c r="AX60" s="54" t="s">
        <v>50</v>
      </c>
      <c r="AY60" s="54" t="s">
        <v>2903</v>
      </c>
      <c r="AZ60" s="54" t="s">
        <v>39</v>
      </c>
      <c r="BA60" s="54" t="s">
        <v>546</v>
      </c>
      <c r="BB60" s="54" t="s">
        <v>2790</v>
      </c>
      <c r="BC60" s="54" t="s">
        <v>41</v>
      </c>
      <c r="BD60" s="54" t="s">
        <v>41</v>
      </c>
      <c r="BE60" s="54" t="s">
        <v>41</v>
      </c>
      <c r="BF60" s="54" t="s">
        <v>41</v>
      </c>
      <c r="BG60" s="54" t="s">
        <v>779</v>
      </c>
      <c r="BH60" s="54" t="s">
        <v>39</v>
      </c>
      <c r="BI60" s="54" t="s">
        <v>39</v>
      </c>
      <c r="BJ60" s="54" t="s">
        <v>41</v>
      </c>
      <c r="BK60" s="54" t="s">
        <v>41</v>
      </c>
      <c r="BL60" s="54" t="s">
        <v>2224</v>
      </c>
      <c r="BM60" s="54" t="s">
        <v>956</v>
      </c>
      <c r="BN60" s="54" t="s">
        <v>956</v>
      </c>
      <c r="BO60" s="54" t="s">
        <v>39</v>
      </c>
      <c r="BR60" s="112">
        <v>59</v>
      </c>
      <c r="BS60" s="106" t="s">
        <v>3186</v>
      </c>
    </row>
    <row r="61" spans="1:75" s="2" customFormat="1" ht="11.25" customHeight="1">
      <c r="A61" s="95" t="s">
        <v>688</v>
      </c>
      <c r="B61" s="94"/>
      <c r="C61" s="94" t="s">
        <v>39</v>
      </c>
      <c r="D61" s="94" t="s">
        <v>39</v>
      </c>
      <c r="E61" s="94" t="s">
        <v>2001</v>
      </c>
      <c r="F61" s="94" t="s">
        <v>2001</v>
      </c>
      <c r="G61" s="94"/>
      <c r="H61" s="94" t="s">
        <v>2662</v>
      </c>
      <c r="I61" s="94" t="s">
        <v>39</v>
      </c>
      <c r="J61" s="94" t="s">
        <v>1259</v>
      </c>
      <c r="K61" s="94" t="s">
        <v>2778</v>
      </c>
      <c r="L61" s="94" t="s">
        <v>39</v>
      </c>
      <c r="M61" s="91" t="s">
        <v>1215</v>
      </c>
      <c r="N61" s="94" t="s">
        <v>39</v>
      </c>
      <c r="O61" s="94" t="s">
        <v>39</v>
      </c>
      <c r="P61" s="94" t="s">
        <v>3383</v>
      </c>
      <c r="Q61" s="94" t="s">
        <v>3383</v>
      </c>
      <c r="R61" s="94" t="s">
        <v>1697</v>
      </c>
      <c r="S61" s="94" t="s">
        <v>39</v>
      </c>
      <c r="T61" s="94" t="s">
        <v>39</v>
      </c>
      <c r="U61" s="94" t="s">
        <v>4128</v>
      </c>
      <c r="V61" s="94" t="s">
        <v>4128</v>
      </c>
      <c r="W61" s="94" t="s">
        <v>4128</v>
      </c>
      <c r="X61" s="94" t="s">
        <v>39</v>
      </c>
      <c r="Y61" s="94" t="s">
        <v>3920</v>
      </c>
      <c r="Z61" s="94" t="s">
        <v>3920</v>
      </c>
      <c r="AA61" s="94" t="s">
        <v>3920</v>
      </c>
      <c r="AB61" s="94" t="s">
        <v>4206</v>
      </c>
      <c r="AC61" s="94" t="s">
        <v>3698</v>
      </c>
      <c r="AD61" s="94" t="s">
        <v>2448</v>
      </c>
      <c r="AE61" s="94" t="s">
        <v>2448</v>
      </c>
      <c r="AF61" s="94" t="s">
        <v>2448</v>
      </c>
      <c r="AG61" s="94" t="s">
        <v>2448</v>
      </c>
      <c r="AH61" s="94" t="s">
        <v>1144</v>
      </c>
      <c r="AI61" s="94"/>
      <c r="AJ61" s="94" t="s">
        <v>2539</v>
      </c>
      <c r="AK61" s="94" t="s">
        <v>39</v>
      </c>
      <c r="AL61" s="94" t="s">
        <v>2584</v>
      </c>
      <c r="AM61" s="94" t="s">
        <v>39</v>
      </c>
      <c r="AN61" s="94" t="s">
        <v>3293</v>
      </c>
      <c r="AO61" s="94" t="s">
        <v>3557</v>
      </c>
      <c r="AP61" s="94" t="s">
        <v>3557</v>
      </c>
      <c r="AQ61" s="94" t="s">
        <v>3557</v>
      </c>
      <c r="AR61" s="94" t="s">
        <v>3557</v>
      </c>
      <c r="AS61" s="94"/>
      <c r="AT61" s="94"/>
      <c r="AU61" s="94"/>
      <c r="AV61" s="94" t="s">
        <v>1485</v>
      </c>
      <c r="AW61" s="94" t="s">
        <v>1485</v>
      </c>
      <c r="AX61" s="94"/>
      <c r="AY61" s="94" t="s">
        <v>2881</v>
      </c>
      <c r="AZ61" s="94" t="s">
        <v>39</v>
      </c>
      <c r="BA61" s="94" t="s">
        <v>2627</v>
      </c>
      <c r="BB61" s="94" t="s">
        <v>1730</v>
      </c>
      <c r="BC61" s="94" t="s">
        <v>2928</v>
      </c>
      <c r="BD61" s="94" t="s">
        <v>2928</v>
      </c>
      <c r="BE61" s="94" t="s">
        <v>1265</v>
      </c>
      <c r="BF61" s="94" t="s">
        <v>1265</v>
      </c>
      <c r="BG61" s="94" t="s">
        <v>3013</v>
      </c>
      <c r="BH61" s="94" t="s">
        <v>39</v>
      </c>
      <c r="BI61" s="94" t="s">
        <v>39</v>
      </c>
      <c r="BJ61" s="94" t="s">
        <v>2125</v>
      </c>
      <c r="BK61" s="94" t="s">
        <v>2125</v>
      </c>
      <c r="BL61" s="94" t="s">
        <v>2223</v>
      </c>
      <c r="BM61" s="94" t="s">
        <v>1631</v>
      </c>
      <c r="BN61" s="94" t="s">
        <v>1631</v>
      </c>
      <c r="BO61" s="94"/>
      <c r="BR61" s="96">
        <v>60</v>
      </c>
      <c r="BS61" s="106" t="s">
        <v>3187</v>
      </c>
      <c r="BT61" s="11"/>
      <c r="BU61" s="19"/>
      <c r="BV61" s="19"/>
      <c r="BW61" s="19"/>
    </row>
    <row r="62" spans="1:75" s="14" customFormat="1" ht="22.5" customHeight="1">
      <c r="A62" s="53" t="s">
        <v>51</v>
      </c>
      <c r="B62" s="54" t="s">
        <v>280</v>
      </c>
      <c r="C62" s="54" t="s">
        <v>3182</v>
      </c>
      <c r="D62" s="54" t="s">
        <v>3182</v>
      </c>
      <c r="E62" s="54" t="s">
        <v>2003</v>
      </c>
      <c r="F62" s="54" t="s">
        <v>2003</v>
      </c>
      <c r="G62" s="54" t="s">
        <v>647</v>
      </c>
      <c r="H62" s="123" t="s">
        <v>324</v>
      </c>
      <c r="I62" s="54" t="s">
        <v>39</v>
      </c>
      <c r="J62" s="54" t="s">
        <v>39</v>
      </c>
      <c r="K62" s="54" t="s">
        <v>39</v>
      </c>
      <c r="L62" s="54" t="s">
        <v>39</v>
      </c>
      <c r="M62" s="54" t="s">
        <v>3055</v>
      </c>
      <c r="N62" s="54" t="s">
        <v>39</v>
      </c>
      <c r="O62" s="54" t="s">
        <v>39</v>
      </c>
      <c r="P62" s="54" t="s">
        <v>3819</v>
      </c>
      <c r="Q62" s="54" t="s">
        <v>39</v>
      </c>
      <c r="R62" s="54" t="s">
        <v>1693</v>
      </c>
      <c r="S62" s="54" t="s">
        <v>39</v>
      </c>
      <c r="T62" s="54" t="s">
        <v>3722</v>
      </c>
      <c r="U62" s="123" t="s">
        <v>39</v>
      </c>
      <c r="V62" s="123" t="s">
        <v>4067</v>
      </c>
      <c r="W62" s="123" t="s">
        <v>4032</v>
      </c>
      <c r="X62" s="54" t="s">
        <v>39</v>
      </c>
      <c r="Y62" s="54" t="s">
        <v>3921</v>
      </c>
      <c r="Z62" s="54" t="s">
        <v>3921</v>
      </c>
      <c r="AA62" s="54" t="s">
        <v>3921</v>
      </c>
      <c r="AB62" s="54" t="s">
        <v>4207</v>
      </c>
      <c r="AC62" s="54" t="s">
        <v>3660</v>
      </c>
      <c r="AD62" s="54" t="s">
        <v>2449</v>
      </c>
      <c r="AE62" s="54" t="s">
        <v>2449</v>
      </c>
      <c r="AF62" s="54" t="s">
        <v>2449</v>
      </c>
      <c r="AG62" s="54" t="s">
        <v>2449</v>
      </c>
      <c r="AH62" s="54" t="s">
        <v>39</v>
      </c>
      <c r="AI62" s="54" t="s">
        <v>50</v>
      </c>
      <c r="AJ62" s="54" t="s">
        <v>50</v>
      </c>
      <c r="AK62" s="54" t="s">
        <v>50</v>
      </c>
      <c r="AL62" s="54" t="s">
        <v>50</v>
      </c>
      <c r="AM62" s="54" t="s">
        <v>476</v>
      </c>
      <c r="AN62" s="54" t="s">
        <v>3296</v>
      </c>
      <c r="AO62" s="54" t="s">
        <v>3576</v>
      </c>
      <c r="AP62" s="54" t="s">
        <v>3518</v>
      </c>
      <c r="AQ62" s="54" t="s">
        <v>3517</v>
      </c>
      <c r="AR62" s="54" t="s">
        <v>3518</v>
      </c>
      <c r="AS62" s="54" t="s">
        <v>39</v>
      </c>
      <c r="AT62" s="54" t="s">
        <v>39</v>
      </c>
      <c r="AU62" s="54" t="s">
        <v>39</v>
      </c>
      <c r="AV62" s="54" t="s">
        <v>1503</v>
      </c>
      <c r="AW62" s="54" t="s">
        <v>1475</v>
      </c>
      <c r="AX62" s="54" t="s">
        <v>379</v>
      </c>
      <c r="AY62" s="54" t="s">
        <v>2905</v>
      </c>
      <c r="AZ62" s="54" t="s">
        <v>39</v>
      </c>
      <c r="BA62" s="48" t="s">
        <v>39</v>
      </c>
      <c r="BB62" s="54" t="s">
        <v>39</v>
      </c>
      <c r="BC62" s="54" t="s">
        <v>896</v>
      </c>
      <c r="BD62" s="54" t="s">
        <v>896</v>
      </c>
      <c r="BE62" s="54" t="s">
        <v>1358</v>
      </c>
      <c r="BF62" s="54" t="s">
        <v>1304</v>
      </c>
      <c r="BG62" s="54" t="s">
        <v>583</v>
      </c>
      <c r="BH62" s="54" t="s">
        <v>3240</v>
      </c>
      <c r="BI62" s="54" t="s">
        <v>3240</v>
      </c>
      <c r="BJ62" s="54" t="s">
        <v>3413</v>
      </c>
      <c r="BK62" s="54" t="s">
        <v>2111</v>
      </c>
      <c r="BL62" s="54" t="s">
        <v>2230</v>
      </c>
      <c r="BM62" s="54" t="s">
        <v>953</v>
      </c>
      <c r="BN62" s="54" t="s">
        <v>953</v>
      </c>
      <c r="BO62" s="54" t="s">
        <v>2229</v>
      </c>
      <c r="BR62" s="112">
        <v>61</v>
      </c>
      <c r="BS62" s="106" t="s">
        <v>3397</v>
      </c>
    </row>
    <row r="63" spans="1:75" s="2" customFormat="1" ht="11.25" customHeight="1">
      <c r="A63" s="95" t="s">
        <v>688</v>
      </c>
      <c r="B63" s="94"/>
      <c r="C63" s="94" t="s">
        <v>3181</v>
      </c>
      <c r="D63" s="94" t="s">
        <v>3180</v>
      </c>
      <c r="E63" s="94" t="s">
        <v>2018</v>
      </c>
      <c r="F63" s="94" t="s">
        <v>2018</v>
      </c>
      <c r="G63" s="94"/>
      <c r="H63" s="94" t="s">
        <v>2646</v>
      </c>
      <c r="I63" s="94" t="s">
        <v>39</v>
      </c>
      <c r="J63" s="94" t="s">
        <v>39</v>
      </c>
      <c r="K63" s="94" t="s">
        <v>39</v>
      </c>
      <c r="L63" s="94" t="s">
        <v>39</v>
      </c>
      <c r="M63" s="91" t="s">
        <v>3054</v>
      </c>
      <c r="N63" s="94" t="s">
        <v>39</v>
      </c>
      <c r="O63" s="94" t="s">
        <v>39</v>
      </c>
      <c r="P63" s="94" t="s">
        <v>2497</v>
      </c>
      <c r="Q63" s="94" t="s">
        <v>39</v>
      </c>
      <c r="R63" s="94" t="s">
        <v>1694</v>
      </c>
      <c r="S63" s="94" t="s">
        <v>39</v>
      </c>
      <c r="T63" s="94" t="s">
        <v>3706</v>
      </c>
      <c r="U63" s="94" t="s">
        <v>39</v>
      </c>
      <c r="V63" s="94" t="s">
        <v>4039</v>
      </c>
      <c r="W63" s="94" t="s">
        <v>4095</v>
      </c>
      <c r="X63" s="94" t="s">
        <v>39</v>
      </c>
      <c r="Y63" s="94" t="s">
        <v>3920</v>
      </c>
      <c r="Z63" s="94" t="s">
        <v>3920</v>
      </c>
      <c r="AA63" s="94" t="s">
        <v>3920</v>
      </c>
      <c r="AB63" s="94" t="s">
        <v>4208</v>
      </c>
      <c r="AC63" s="94" t="s">
        <v>2752</v>
      </c>
      <c r="AD63" s="94" t="s">
        <v>2448</v>
      </c>
      <c r="AE63" s="94" t="s">
        <v>2448</v>
      </c>
      <c r="AF63" s="94" t="s">
        <v>2448</v>
      </c>
      <c r="AG63" s="94" t="s">
        <v>2448</v>
      </c>
      <c r="AH63" s="94" t="s">
        <v>39</v>
      </c>
      <c r="AI63" s="94"/>
      <c r="AJ63" s="94" t="s">
        <v>2476</v>
      </c>
      <c r="AK63" s="94" t="s">
        <v>2476</v>
      </c>
      <c r="AL63" s="94" t="s">
        <v>2578</v>
      </c>
      <c r="AM63" s="94" t="s">
        <v>3353</v>
      </c>
      <c r="AN63" s="94" t="s">
        <v>3301</v>
      </c>
      <c r="AO63" s="94" t="s">
        <v>3575</v>
      </c>
      <c r="AP63" s="94" t="s">
        <v>3611</v>
      </c>
      <c r="AQ63" s="94" t="s">
        <v>3516</v>
      </c>
      <c r="AR63" s="94" t="s">
        <v>3556</v>
      </c>
      <c r="AS63" s="94"/>
      <c r="AT63" s="94"/>
      <c r="AU63" s="94"/>
      <c r="AV63" s="94" t="s">
        <v>1504</v>
      </c>
      <c r="AW63" s="94" t="s">
        <v>1476</v>
      </c>
      <c r="AX63" s="94"/>
      <c r="AY63" s="94" t="s">
        <v>2904</v>
      </c>
      <c r="AZ63" s="94" t="s">
        <v>39</v>
      </c>
      <c r="BA63" s="94" t="s">
        <v>39</v>
      </c>
      <c r="BB63" s="94" t="s">
        <v>39</v>
      </c>
      <c r="BC63" s="94" t="s">
        <v>898</v>
      </c>
      <c r="BD63" s="94" t="s">
        <v>898</v>
      </c>
      <c r="BE63" s="94" t="s">
        <v>1285</v>
      </c>
      <c r="BF63" s="94" t="s">
        <v>1285</v>
      </c>
      <c r="BG63" s="94" t="s">
        <v>3014</v>
      </c>
      <c r="BH63" s="94" t="s">
        <v>3258</v>
      </c>
      <c r="BI63" s="94" t="s">
        <v>3239</v>
      </c>
      <c r="BJ63" s="94" t="s">
        <v>3412</v>
      </c>
      <c r="BK63" s="94" t="s">
        <v>2110</v>
      </c>
      <c r="BL63" s="94" t="s">
        <v>2228</v>
      </c>
      <c r="BM63" s="94" t="s">
        <v>1632</v>
      </c>
      <c r="BN63" s="94" t="s">
        <v>1632</v>
      </c>
      <c r="BO63" s="94"/>
      <c r="BR63" s="96">
        <v>62</v>
      </c>
      <c r="BS63" s="106" t="s">
        <v>3398</v>
      </c>
      <c r="BT63" s="11"/>
      <c r="BU63" s="19"/>
      <c r="BV63" s="19"/>
      <c r="BW63" s="19"/>
    </row>
    <row r="64" spans="1:75" s="14" customFormat="1" ht="27" customHeight="1">
      <c r="A64" s="53" t="s">
        <v>139</v>
      </c>
      <c r="B64" s="54" t="s">
        <v>275</v>
      </c>
      <c r="C64" s="54" t="s">
        <v>3159</v>
      </c>
      <c r="D64" s="54" t="s">
        <v>3157</v>
      </c>
      <c r="E64" s="54" t="s">
        <v>1913</v>
      </c>
      <c r="F64" s="54" t="s">
        <v>1913</v>
      </c>
      <c r="G64" s="54" t="s">
        <v>648</v>
      </c>
      <c r="H64" s="123" t="s">
        <v>4169</v>
      </c>
      <c r="I64" s="54" t="s">
        <v>2718</v>
      </c>
      <c r="J64" s="116" t="s">
        <v>2776</v>
      </c>
      <c r="K64" s="116" t="s">
        <v>2753</v>
      </c>
      <c r="L64" s="54" t="s">
        <v>39</v>
      </c>
      <c r="M64" s="54" t="s">
        <v>39</v>
      </c>
      <c r="N64" s="54" t="s">
        <v>39</v>
      </c>
      <c r="O64" s="54" t="s">
        <v>2810</v>
      </c>
      <c r="P64" s="116">
        <v>100</v>
      </c>
      <c r="Q64" s="54" t="s">
        <v>4209</v>
      </c>
      <c r="R64" s="54" t="s">
        <v>510</v>
      </c>
      <c r="S64" s="54" t="s">
        <v>39</v>
      </c>
      <c r="T64" s="54" t="s">
        <v>1756</v>
      </c>
      <c r="U64" s="123" t="s">
        <v>39</v>
      </c>
      <c r="V64" s="123" t="s">
        <v>318</v>
      </c>
      <c r="W64" s="123" t="s">
        <v>318</v>
      </c>
      <c r="X64" s="54" t="s">
        <v>39</v>
      </c>
      <c r="Y64" s="54" t="s">
        <v>3922</v>
      </c>
      <c r="Z64" s="54" t="s">
        <v>3922</v>
      </c>
      <c r="AA64" s="54" t="s">
        <v>3922</v>
      </c>
      <c r="AB64" s="54" t="s">
        <v>4244</v>
      </c>
      <c r="AC64" s="54" t="s">
        <v>39</v>
      </c>
      <c r="AD64" s="54" t="s">
        <v>39</v>
      </c>
      <c r="AE64" s="54" t="s">
        <v>39</v>
      </c>
      <c r="AF64" s="54" t="s">
        <v>39</v>
      </c>
      <c r="AG64" s="54" t="s">
        <v>2446</v>
      </c>
      <c r="AH64" s="54" t="s">
        <v>1128</v>
      </c>
      <c r="AI64" s="54" t="s">
        <v>50</v>
      </c>
      <c r="AJ64" s="54" t="s">
        <v>2533</v>
      </c>
      <c r="AK64" s="54" t="s">
        <v>2475</v>
      </c>
      <c r="AL64" s="54" t="s">
        <v>2533</v>
      </c>
      <c r="AM64" s="54" t="s">
        <v>39</v>
      </c>
      <c r="AN64" s="54" t="s">
        <v>39</v>
      </c>
      <c r="AO64" s="54" t="s">
        <v>39</v>
      </c>
      <c r="AP64" s="54" t="s">
        <v>3595</v>
      </c>
      <c r="AQ64" s="54" t="s">
        <v>3594</v>
      </c>
      <c r="AR64" s="54" t="s">
        <v>3595</v>
      </c>
      <c r="AS64" s="54" t="s">
        <v>39</v>
      </c>
      <c r="AT64" s="75">
        <v>5000</v>
      </c>
      <c r="AU64" s="75">
        <v>5000</v>
      </c>
      <c r="AV64" s="54" t="s">
        <v>39</v>
      </c>
      <c r="AW64" s="54" t="s">
        <v>1484</v>
      </c>
      <c r="AX64" s="54" t="s">
        <v>39</v>
      </c>
      <c r="AY64" s="54" t="s">
        <v>2911</v>
      </c>
      <c r="AZ64" s="54" t="s">
        <v>39</v>
      </c>
      <c r="BA64" s="54" t="s">
        <v>2613</v>
      </c>
      <c r="BB64" s="116" t="s">
        <v>2776</v>
      </c>
      <c r="BC64" s="75" t="s">
        <v>865</v>
      </c>
      <c r="BD64" s="75" t="s">
        <v>865</v>
      </c>
      <c r="BE64" s="54" t="s">
        <v>1360</v>
      </c>
      <c r="BF64" s="54" t="s">
        <v>1289</v>
      </c>
      <c r="BG64" s="54" t="s">
        <v>39</v>
      </c>
      <c r="BH64" s="54" t="s">
        <v>39</v>
      </c>
      <c r="BI64" s="54" t="s">
        <v>39</v>
      </c>
      <c r="BJ64" s="54" t="s">
        <v>2131</v>
      </c>
      <c r="BK64" s="54" t="s">
        <v>2131</v>
      </c>
      <c r="BL64" s="54" t="s">
        <v>39</v>
      </c>
      <c r="BM64" s="54" t="s">
        <v>39</v>
      </c>
      <c r="BN64" s="54" t="s">
        <v>39</v>
      </c>
      <c r="BO64" s="75">
        <v>1000</v>
      </c>
      <c r="BR64" s="112">
        <v>63</v>
      </c>
      <c r="BS64" s="106" t="s">
        <v>2160</v>
      </c>
    </row>
    <row r="65" spans="1:75" s="2" customFormat="1" ht="11.25" customHeight="1">
      <c r="A65" s="95" t="s">
        <v>688</v>
      </c>
      <c r="B65" s="94"/>
      <c r="C65" s="94" t="s">
        <v>3158</v>
      </c>
      <c r="D65" s="94" t="s">
        <v>3146</v>
      </c>
      <c r="E65" s="94" t="s">
        <v>1998</v>
      </c>
      <c r="F65" s="94" t="s">
        <v>1998</v>
      </c>
      <c r="G65" s="94"/>
      <c r="H65" s="94" t="s">
        <v>4168</v>
      </c>
      <c r="I65" s="94" t="s">
        <v>2717</v>
      </c>
      <c r="J65" s="94" t="s">
        <v>2749</v>
      </c>
      <c r="K65" s="94" t="s">
        <v>2752</v>
      </c>
      <c r="L65" s="94" t="s">
        <v>39</v>
      </c>
      <c r="M65" s="94" t="s">
        <v>39</v>
      </c>
      <c r="N65" s="94" t="s">
        <v>39</v>
      </c>
      <c r="O65" s="94" t="s">
        <v>2809</v>
      </c>
      <c r="P65" s="94" t="s">
        <v>3826</v>
      </c>
      <c r="Q65" s="94"/>
      <c r="R65" s="94" t="s">
        <v>1661</v>
      </c>
      <c r="S65" s="94" t="s">
        <v>39</v>
      </c>
      <c r="T65" s="94" t="s">
        <v>3711</v>
      </c>
      <c r="U65" s="94" t="s">
        <v>4055</v>
      </c>
      <c r="V65" s="94" t="s">
        <v>4054</v>
      </c>
      <c r="W65" s="94" t="s">
        <v>4054</v>
      </c>
      <c r="X65" s="94" t="s">
        <v>39</v>
      </c>
      <c r="Y65" s="94" t="s">
        <v>3923</v>
      </c>
      <c r="Z65" s="94" t="s">
        <v>3923</v>
      </c>
      <c r="AA65" s="94" t="s">
        <v>3923</v>
      </c>
      <c r="AB65" s="94" t="s">
        <v>4245</v>
      </c>
      <c r="AC65" s="94" t="s">
        <v>39</v>
      </c>
      <c r="AD65" s="94" t="s">
        <v>39</v>
      </c>
      <c r="AE65" s="94" t="s">
        <v>39</v>
      </c>
      <c r="AF65" s="94" t="s">
        <v>39</v>
      </c>
      <c r="AG65" s="94" t="s">
        <v>2253</v>
      </c>
      <c r="AH65" s="94" t="s">
        <v>1129</v>
      </c>
      <c r="AI65" s="94"/>
      <c r="AJ65" s="94" t="s">
        <v>2532</v>
      </c>
      <c r="AK65" s="94" t="s">
        <v>2474</v>
      </c>
      <c r="AL65" s="94" t="s">
        <v>2577</v>
      </c>
      <c r="AM65" s="94" t="s">
        <v>39</v>
      </c>
      <c r="AN65" s="94" t="s">
        <v>39</v>
      </c>
      <c r="AO65" s="94" t="s">
        <v>39</v>
      </c>
      <c r="AP65" s="94" t="s">
        <v>3596</v>
      </c>
      <c r="AQ65" s="94" t="s">
        <v>3593</v>
      </c>
      <c r="AR65" s="94" t="s">
        <v>3543</v>
      </c>
      <c r="AS65" s="94"/>
      <c r="AT65" s="94"/>
      <c r="AU65" s="94"/>
      <c r="AV65" s="94" t="s">
        <v>39</v>
      </c>
      <c r="AW65" s="94" t="s">
        <v>1483</v>
      </c>
      <c r="AX65" s="94"/>
      <c r="AY65" s="94" t="s">
        <v>2910</v>
      </c>
      <c r="AZ65" s="94" t="s">
        <v>39</v>
      </c>
      <c r="BA65" s="94" t="s">
        <v>2612</v>
      </c>
      <c r="BB65" s="94" t="s">
        <v>2863</v>
      </c>
      <c r="BC65" s="94" t="s">
        <v>2929</v>
      </c>
      <c r="BD65" s="94" t="s">
        <v>2929</v>
      </c>
      <c r="BE65" s="94" t="s">
        <v>1359</v>
      </c>
      <c r="BF65" s="94" t="s">
        <v>1288</v>
      </c>
      <c r="BG65" s="94" t="s">
        <v>39</v>
      </c>
      <c r="BH65" s="94" t="s">
        <v>39</v>
      </c>
      <c r="BI65" s="94" t="s">
        <v>39</v>
      </c>
      <c r="BJ65" s="94" t="s">
        <v>2130</v>
      </c>
      <c r="BK65" s="94" t="s">
        <v>2130</v>
      </c>
      <c r="BL65" s="94" t="s">
        <v>39</v>
      </c>
      <c r="BM65" s="94" t="s">
        <v>39</v>
      </c>
      <c r="BN65" s="94" t="s">
        <v>39</v>
      </c>
      <c r="BO65" s="94"/>
      <c r="BR65" s="96">
        <v>64</v>
      </c>
      <c r="BS65" s="99" t="s">
        <v>1576</v>
      </c>
      <c r="BT65" s="11"/>
      <c r="BU65" s="19"/>
      <c r="BV65" s="19"/>
      <c r="BW65" s="19"/>
    </row>
    <row r="66" spans="1:75" s="2" customFormat="1" ht="15" customHeight="1">
      <c r="A66" s="59"/>
      <c r="B66" s="60"/>
      <c r="C66" s="60"/>
      <c r="D66" s="60"/>
      <c r="E66" s="60"/>
      <c r="F66" s="60"/>
      <c r="G66" s="60"/>
      <c r="H66" s="8"/>
      <c r="I66" s="60"/>
      <c r="J66" s="8"/>
      <c r="K66" s="8"/>
      <c r="L66" s="8"/>
      <c r="M66" s="8"/>
      <c r="N66" s="8"/>
      <c r="O66" s="8"/>
      <c r="P66" s="59"/>
      <c r="Q66" s="59"/>
      <c r="R66" s="8"/>
      <c r="S66" s="60"/>
      <c r="T66" s="8"/>
      <c r="U66" s="8"/>
      <c r="V66" s="8"/>
      <c r="W66" s="60"/>
      <c r="X66" s="59"/>
      <c r="Y66" s="59"/>
      <c r="Z66" s="59"/>
      <c r="AA66" s="59"/>
      <c r="AB66" s="59"/>
      <c r="AC66" s="59"/>
      <c r="AD66" s="60"/>
      <c r="AE66" s="60"/>
      <c r="AF66" s="59"/>
      <c r="AG66" s="59"/>
      <c r="AH66" s="8"/>
      <c r="AI66" s="8"/>
      <c r="AJ66" s="122"/>
      <c r="AK66" s="122"/>
      <c r="AL66" s="9"/>
      <c r="AM66" s="9"/>
      <c r="AN66" s="122"/>
      <c r="AO66" s="9"/>
      <c r="AP66" s="9"/>
      <c r="AQ66" s="9"/>
      <c r="AR66" s="9"/>
      <c r="AS66" s="9"/>
      <c r="AT66" s="9"/>
      <c r="AU66" s="9"/>
      <c r="AV66" s="9"/>
      <c r="AW66" s="9"/>
      <c r="AX66" s="60"/>
      <c r="AY66" s="60"/>
      <c r="AZ66" s="10"/>
      <c r="BA66" s="10"/>
      <c r="BB66" s="60"/>
      <c r="BC66" s="60"/>
      <c r="BD66" s="60"/>
      <c r="BE66" s="9"/>
      <c r="BF66" s="9"/>
      <c r="BG66" s="60"/>
      <c r="BH66" s="60"/>
      <c r="BI66" s="60"/>
      <c r="BJ66" s="122"/>
      <c r="BK66" s="122"/>
      <c r="BL66" s="122"/>
      <c r="BM66" s="9"/>
      <c r="BN66" s="9"/>
      <c r="BO66" s="60"/>
      <c r="BR66" s="112">
        <v>65</v>
      </c>
      <c r="BS66" s="99" t="s">
        <v>1577</v>
      </c>
    </row>
    <row r="67" spans="1:75" s="2" customFormat="1" ht="22.5" customHeight="1">
      <c r="A67" s="61" t="s">
        <v>97</v>
      </c>
      <c r="B67" s="62" t="str">
        <f t="shared" ref="B67:AX67" si="2">B1</f>
        <v>Alte Leipziger XXL</v>
      </c>
      <c r="C67" s="62" t="str">
        <f t="shared" si="2"/>
        <v>Ammerländer Excellent</v>
      </c>
      <c r="D67" s="62" t="str">
        <f t="shared" si="2"/>
        <v>Ammerländer Exclusiv</v>
      </c>
      <c r="E67" s="62" t="str">
        <f t="shared" si="2"/>
        <v>ARAG Komfort</v>
      </c>
      <c r="F67" s="62" t="str">
        <f t="shared" si="2"/>
        <v>ARAG Premium</v>
      </c>
      <c r="G67" s="62" t="str">
        <f t="shared" si="2"/>
        <v>AXA Komfort ohne BR</v>
      </c>
      <c r="H67" s="62" t="str">
        <f t="shared" si="2"/>
        <v>Baden Badener Top 2013</v>
      </c>
      <c r="I67" s="62" t="str">
        <f t="shared" si="2"/>
        <v>Basler UnfallProtect - Max</v>
      </c>
      <c r="J67" s="62" t="str">
        <f t="shared" si="2"/>
        <v>Condor Comfort</v>
      </c>
      <c r="K67" s="62" t="str">
        <f t="shared" si="2"/>
        <v>Condor Premium</v>
      </c>
      <c r="L67" s="62" t="str">
        <f t="shared" si="2"/>
        <v>Cosmos Comfort-Schutz</v>
      </c>
      <c r="M67" s="62" t="str">
        <f t="shared" si="2"/>
        <v>Cosmos Comfort-Schutz Plus</v>
      </c>
      <c r="N67" s="62" t="str">
        <f t="shared" si="2"/>
        <v>Debeka</v>
      </c>
      <c r="O67" s="62" t="str">
        <f t="shared" si="2"/>
        <v>DEVK Komplett</v>
      </c>
      <c r="P67" s="62" t="str">
        <f>P1</f>
        <v>die Bayerische Komfort</v>
      </c>
      <c r="Q67" s="62" t="str">
        <f>Q1</f>
        <v>die Bayerische Standard</v>
      </c>
      <c r="R67" s="62" t="str">
        <f t="shared" si="2"/>
        <v>ERGO Unfallschutz Familie</v>
      </c>
      <c r="S67" s="62" t="str">
        <f t="shared" si="2"/>
        <v>GDV Musterbedingungen</v>
      </c>
      <c r="T67" s="62" t="str">
        <f t="shared" si="2"/>
        <v>Generali Komfort Plus</v>
      </c>
      <c r="U67" s="62" t="str">
        <f t="shared" si="2"/>
        <v>Gothaer Unfall 2014</v>
      </c>
      <c r="V67" s="62" t="str">
        <f t="shared" si="2"/>
        <v>Gothaer UnfallTop 2014</v>
      </c>
      <c r="W67" s="62" t="str">
        <f t="shared" si="2"/>
        <v>Gothaer UnfallTop 2014 Plus</v>
      </c>
      <c r="X67" s="62" t="str">
        <f>X1</f>
        <v>Häger Top</v>
      </c>
      <c r="Y67" s="62" t="str">
        <f>Y1</f>
        <v>HanseMerkur Grund-Schutz</v>
      </c>
      <c r="Z67" s="62" t="str">
        <f>Z1</f>
        <v>HanseMerkur Kompakt-Schutz</v>
      </c>
      <c r="AA67" s="62" t="str">
        <f>AA1</f>
        <v>HanseMerkur Top-Schutz</v>
      </c>
      <c r="AB67" s="62" t="s">
        <v>4170</v>
      </c>
      <c r="AC67" s="62" t="str">
        <f>AC1</f>
        <v>Helvetia Komfort</v>
      </c>
      <c r="AD67" s="62" t="str">
        <f t="shared" si="2"/>
        <v>HKD Basisschutz</v>
      </c>
      <c r="AE67" s="62" t="str">
        <f t="shared" si="2"/>
        <v>HKD Komfortschutz</v>
      </c>
      <c r="AF67" s="62" t="str">
        <f t="shared" si="2"/>
        <v>HKD Komfortschutz Plus</v>
      </c>
      <c r="AG67" s="62" t="str">
        <f t="shared" si="2"/>
        <v>HKD Vollschutz</v>
      </c>
      <c r="AH67" s="62" t="str">
        <f t="shared" si="2"/>
        <v>Ideal Unfall Rente Exklusiv</v>
      </c>
      <c r="AI67" s="62" t="str">
        <f t="shared" si="2"/>
        <v>Interlloyd AUB 2000</v>
      </c>
      <c r="AJ67" s="62" t="str">
        <f t="shared" si="2"/>
        <v>Interlloyd Premium</v>
      </c>
      <c r="AK67" s="62" t="str">
        <f t="shared" si="2"/>
        <v>Interlloyd Premium Plus</v>
      </c>
      <c r="AL67" s="62" t="str">
        <f t="shared" si="2"/>
        <v>Interlloyd Protect</v>
      </c>
      <c r="AM67" s="62" t="str">
        <f t="shared" si="2"/>
        <v>Interrisk XL (Plus-Taxe)</v>
      </c>
      <c r="AN67" s="62" t="str">
        <f t="shared" si="2"/>
        <v>Interrisk XXL (Maxi-Taxe)</v>
      </c>
      <c r="AO67" s="62" t="str">
        <f t="shared" si="2"/>
        <v>Janitos Balance</v>
      </c>
      <c r="AP67" s="62" t="str">
        <f>AP1</f>
        <v>Janitos Balance Plus</v>
      </c>
      <c r="AQ67" s="62" t="str">
        <f>AQ1</f>
        <v>Janitos Best Selection</v>
      </c>
      <c r="AR67" s="62" t="str">
        <f>AR1</f>
        <v>Janitos Best Selection Plus</v>
      </c>
      <c r="AS67" s="62" t="str">
        <f t="shared" si="2"/>
        <v>Keine</v>
      </c>
      <c r="AT67" s="62" t="str">
        <f t="shared" si="2"/>
        <v>KRAVAG Familien-UV 2011</v>
      </c>
      <c r="AU67" s="62" t="str">
        <f t="shared" si="2"/>
        <v>KRAVAG Gruppen-UV 2011</v>
      </c>
      <c r="AV67" s="136" t="str">
        <f t="shared" si="2"/>
        <v>nationale suisse Komfort</v>
      </c>
      <c r="AW67" s="136" t="str">
        <f t="shared" si="2"/>
        <v>nationale suisse Premium</v>
      </c>
      <c r="AX67" s="62" t="str">
        <f t="shared" si="2"/>
        <v>Nürnberger</v>
      </c>
      <c r="AY67" s="62"/>
      <c r="AZ67" s="62" t="str">
        <f>AZ1</f>
        <v>Prokundo Unfall</v>
      </c>
      <c r="BA67" s="62" t="str">
        <f t="shared" ref="BA67:BL67" si="3">BA1</f>
        <v>Provinzial Rundumschutz</v>
      </c>
      <c r="BB67" s="62" t="str">
        <f t="shared" si="3"/>
        <v>R+V PrivatPolice Comfort</v>
      </c>
      <c r="BC67" s="62" t="str">
        <f t="shared" si="3"/>
        <v>Signal Iduna Exklusiv</v>
      </c>
      <c r="BD67" s="62" t="str">
        <f t="shared" si="3"/>
        <v>Signal Iduna Exklusiv (ÖD)
z.B. PVAG, VÖDAG</v>
      </c>
      <c r="BE67" s="62" t="str">
        <f t="shared" si="3"/>
        <v>SLP Primus</v>
      </c>
      <c r="BF67" s="62" t="str">
        <f t="shared" si="3"/>
        <v>SLP Primus Plus</v>
      </c>
      <c r="BG67" s="62" t="str">
        <f>BG1</f>
        <v>Stuttgarter 1000Plus</v>
      </c>
      <c r="BH67" s="62" t="str">
        <f t="shared" si="3"/>
        <v>VdVA Classic</v>
      </c>
      <c r="BI67" s="62" t="str">
        <f t="shared" si="3"/>
        <v>VdVA Exclusiv</v>
      </c>
      <c r="BJ67" s="62" t="str">
        <f>BJ1</f>
        <v>VHV Klassik Garant</v>
      </c>
      <c r="BK67" s="62" t="str">
        <f t="shared" si="3"/>
        <v>VHV Klassik Garant Exklusiv</v>
      </c>
      <c r="BL67" s="62" t="str">
        <f t="shared" si="3"/>
        <v>WÜBA Unfall AKTIV Premium</v>
      </c>
      <c r="BM67" s="62" t="str">
        <f>BM1</f>
        <v>Württembergische Platinum</v>
      </c>
      <c r="BN67" s="62" t="str">
        <f>BN1</f>
        <v>Württembergische Premium</v>
      </c>
      <c r="BO67" s="62" t="str">
        <f>BO1</f>
        <v>Zurich Makler Top-Schutz</v>
      </c>
      <c r="BR67" s="96">
        <v>66</v>
      </c>
      <c r="BS67" s="99" t="s">
        <v>434</v>
      </c>
    </row>
    <row r="68" spans="1:75" s="14" customFormat="1" ht="22.5" customHeight="1">
      <c r="A68" s="53" t="s">
        <v>180</v>
      </c>
      <c r="B68" s="75">
        <v>5000</v>
      </c>
      <c r="C68" s="75" t="s">
        <v>39</v>
      </c>
      <c r="D68" s="75" t="s">
        <v>39</v>
      </c>
      <c r="E68" s="75" t="s">
        <v>39</v>
      </c>
      <c r="F68" s="75" t="s">
        <v>39</v>
      </c>
      <c r="G68" s="54" t="s">
        <v>39</v>
      </c>
      <c r="H68" s="123" t="s">
        <v>39</v>
      </c>
      <c r="I68" s="54" t="s">
        <v>39</v>
      </c>
      <c r="J68" s="75" t="s">
        <v>386</v>
      </c>
      <c r="K68" s="75" t="s">
        <v>386</v>
      </c>
      <c r="L68" s="54" t="s">
        <v>39</v>
      </c>
      <c r="M68" s="54" t="s">
        <v>39</v>
      </c>
      <c r="N68" s="54" t="s">
        <v>1894</v>
      </c>
      <c r="O68" s="54" t="s">
        <v>39</v>
      </c>
      <c r="P68" s="54" t="s">
        <v>39</v>
      </c>
      <c r="Q68" s="54" t="s">
        <v>39</v>
      </c>
      <c r="R68" s="54" t="s">
        <v>39</v>
      </c>
      <c r="S68" s="54" t="s">
        <v>39</v>
      </c>
      <c r="T68" s="54" t="s">
        <v>39</v>
      </c>
      <c r="U68" s="123" t="s">
        <v>39</v>
      </c>
      <c r="V68" s="123" t="s">
        <v>4069</v>
      </c>
      <c r="W68" s="123" t="s">
        <v>4069</v>
      </c>
      <c r="X68" s="54" t="s">
        <v>39</v>
      </c>
      <c r="Y68" s="54" t="s">
        <v>39</v>
      </c>
      <c r="Z68" s="54" t="s">
        <v>39</v>
      </c>
      <c r="AA68" s="54" t="s">
        <v>39</v>
      </c>
      <c r="AB68" s="54" t="s">
        <v>4199</v>
      </c>
      <c r="AC68" s="54" t="s">
        <v>39</v>
      </c>
      <c r="AD68" s="54" t="s">
        <v>39</v>
      </c>
      <c r="AE68" s="54" t="s">
        <v>39</v>
      </c>
      <c r="AF68" s="54" t="s">
        <v>39</v>
      </c>
      <c r="AG68" s="54" t="s">
        <v>39</v>
      </c>
      <c r="AH68" s="54" t="s">
        <v>39</v>
      </c>
      <c r="AI68" s="54" t="s">
        <v>39</v>
      </c>
      <c r="AJ68" s="114" t="s">
        <v>328</v>
      </c>
      <c r="AK68" s="114" t="s">
        <v>328</v>
      </c>
      <c r="AL68" s="73" t="s">
        <v>39</v>
      </c>
      <c r="AM68" s="54" t="s">
        <v>39</v>
      </c>
      <c r="AN68" s="54" t="s">
        <v>39</v>
      </c>
      <c r="AO68" s="54" t="s">
        <v>3432</v>
      </c>
      <c r="AP68" s="54" t="s">
        <v>3432</v>
      </c>
      <c r="AQ68" s="54" t="s">
        <v>3432</v>
      </c>
      <c r="AR68" s="54" t="s">
        <v>3432</v>
      </c>
      <c r="AS68" s="54" t="s">
        <v>39</v>
      </c>
      <c r="AT68" s="54" t="s">
        <v>526</v>
      </c>
      <c r="AU68" s="54" t="s">
        <v>39</v>
      </c>
      <c r="AV68" s="54" t="s">
        <v>39</v>
      </c>
      <c r="AW68" s="54" t="s">
        <v>39</v>
      </c>
      <c r="AX68" s="54" t="s">
        <v>39</v>
      </c>
      <c r="AY68" s="54" t="s">
        <v>39</v>
      </c>
      <c r="AZ68" s="54" t="s">
        <v>39</v>
      </c>
      <c r="BA68" s="48" t="s">
        <v>39</v>
      </c>
      <c r="BB68" s="75" t="s">
        <v>386</v>
      </c>
      <c r="BC68" s="54" t="s">
        <v>39</v>
      </c>
      <c r="BD68" s="54" t="s">
        <v>39</v>
      </c>
      <c r="BE68" s="54" t="s">
        <v>39</v>
      </c>
      <c r="BF68" s="54" t="s">
        <v>39</v>
      </c>
      <c r="BG68" s="54" t="s">
        <v>39</v>
      </c>
      <c r="BH68" s="54" t="s">
        <v>39</v>
      </c>
      <c r="BI68" s="54" t="s">
        <v>39</v>
      </c>
      <c r="BJ68" s="54" t="s">
        <v>39</v>
      </c>
      <c r="BK68" s="54" t="s">
        <v>39</v>
      </c>
      <c r="BL68" s="54" t="s">
        <v>39</v>
      </c>
      <c r="BM68" s="54" t="s">
        <v>39</v>
      </c>
      <c r="BN68" s="54" t="s">
        <v>39</v>
      </c>
      <c r="BO68" s="54" t="s">
        <v>39</v>
      </c>
    </row>
    <row r="69" spans="1:75" s="2" customFormat="1" ht="11.25" customHeight="1">
      <c r="A69" s="95" t="s">
        <v>688</v>
      </c>
      <c r="B69" s="94"/>
      <c r="C69" s="94" t="s">
        <v>39</v>
      </c>
      <c r="D69" s="94" t="s">
        <v>39</v>
      </c>
      <c r="E69" s="94" t="s">
        <v>39</v>
      </c>
      <c r="F69" s="94" t="s">
        <v>39</v>
      </c>
      <c r="G69" s="94"/>
      <c r="H69" s="94" t="s">
        <v>39</v>
      </c>
      <c r="I69" s="94" t="s">
        <v>39</v>
      </c>
      <c r="J69" s="94" t="s">
        <v>2787</v>
      </c>
      <c r="K69" s="94" t="s">
        <v>2787</v>
      </c>
      <c r="L69" s="94" t="s">
        <v>39</v>
      </c>
      <c r="M69" s="94" t="s">
        <v>39</v>
      </c>
      <c r="N69" s="94" t="s">
        <v>1893</v>
      </c>
      <c r="O69" s="94" t="s">
        <v>39</v>
      </c>
      <c r="P69" s="94" t="s">
        <v>39</v>
      </c>
      <c r="Q69" s="94" t="s">
        <v>39</v>
      </c>
      <c r="R69" s="94" t="s">
        <v>39</v>
      </c>
      <c r="S69" s="94" t="s">
        <v>39</v>
      </c>
      <c r="T69" s="94" t="s">
        <v>39</v>
      </c>
      <c r="U69" s="94" t="s">
        <v>39</v>
      </c>
      <c r="V69" s="94" t="s">
        <v>4039</v>
      </c>
      <c r="W69" s="94" t="s">
        <v>4039</v>
      </c>
      <c r="X69" s="94" t="s">
        <v>39</v>
      </c>
      <c r="Y69" s="94" t="s">
        <v>39</v>
      </c>
      <c r="Z69" s="94" t="s">
        <v>39</v>
      </c>
      <c r="AA69" s="94" t="s">
        <v>39</v>
      </c>
      <c r="AB69" s="94" t="s">
        <v>4200</v>
      </c>
      <c r="AC69" s="94" t="s">
        <v>39</v>
      </c>
      <c r="AD69" s="94" t="s">
        <v>39</v>
      </c>
      <c r="AE69" s="94" t="s">
        <v>39</v>
      </c>
      <c r="AF69" s="94" t="s">
        <v>39</v>
      </c>
      <c r="AG69" s="94" t="s">
        <v>39</v>
      </c>
      <c r="AH69" s="94" t="s">
        <v>39</v>
      </c>
      <c r="AI69" s="94"/>
      <c r="AJ69" s="94" t="s">
        <v>1283</v>
      </c>
      <c r="AK69" s="94" t="s">
        <v>1322</v>
      </c>
      <c r="AL69" s="94" t="s">
        <v>39</v>
      </c>
      <c r="AM69" s="94" t="s">
        <v>39</v>
      </c>
      <c r="AN69" s="94" t="s">
        <v>39</v>
      </c>
      <c r="AO69" s="94" t="s">
        <v>3574</v>
      </c>
      <c r="AP69" s="94" t="s">
        <v>3574</v>
      </c>
      <c r="AQ69" s="94" t="s">
        <v>3515</v>
      </c>
      <c r="AR69" s="94" t="s">
        <v>3515</v>
      </c>
      <c r="AS69" s="94"/>
      <c r="AT69" s="94"/>
      <c r="AU69" s="94"/>
      <c r="AV69" s="94" t="s">
        <v>39</v>
      </c>
      <c r="AW69" s="94" t="s">
        <v>39</v>
      </c>
      <c r="AX69" s="94"/>
      <c r="AY69" s="94" t="s">
        <v>39</v>
      </c>
      <c r="AZ69" s="94" t="s">
        <v>39</v>
      </c>
      <c r="BA69" s="94" t="s">
        <v>39</v>
      </c>
      <c r="BB69" s="94" t="s">
        <v>1705</v>
      </c>
      <c r="BC69" s="94" t="s">
        <v>39</v>
      </c>
      <c r="BD69" s="94" t="s">
        <v>39</v>
      </c>
      <c r="BE69" s="94" t="s">
        <v>39</v>
      </c>
      <c r="BF69" s="94" t="s">
        <v>39</v>
      </c>
      <c r="BG69" s="94" t="s">
        <v>39</v>
      </c>
      <c r="BH69" s="94" t="s">
        <v>39</v>
      </c>
      <c r="BI69" s="94" t="s">
        <v>39</v>
      </c>
      <c r="BJ69" s="94" t="s">
        <v>39</v>
      </c>
      <c r="BK69" s="94" t="s">
        <v>39</v>
      </c>
      <c r="BL69" s="94" t="s">
        <v>39</v>
      </c>
      <c r="BM69" s="94" t="s">
        <v>39</v>
      </c>
      <c r="BN69" s="94" t="s">
        <v>39</v>
      </c>
      <c r="BO69" s="94"/>
      <c r="BR69" s="19"/>
      <c r="BS69" s="20"/>
      <c r="BT69" s="11"/>
      <c r="BU69" s="19"/>
      <c r="BV69" s="19"/>
      <c r="BW69" s="19"/>
    </row>
    <row r="70" spans="1:75" s="14" customFormat="1" ht="22.5" customHeight="1">
      <c r="A70" s="53" t="s">
        <v>187</v>
      </c>
      <c r="B70" s="54" t="s">
        <v>237</v>
      </c>
      <c r="C70" s="54" t="s">
        <v>41</v>
      </c>
      <c r="D70" s="54" t="s">
        <v>344</v>
      </c>
      <c r="E70" s="54" t="s">
        <v>237</v>
      </c>
      <c r="F70" s="54" t="s">
        <v>478</v>
      </c>
      <c r="G70" s="54" t="s">
        <v>344</v>
      </c>
      <c r="H70" s="123" t="s">
        <v>344</v>
      </c>
      <c r="I70" s="54" t="s">
        <v>344</v>
      </c>
      <c r="J70" s="54" t="s">
        <v>191</v>
      </c>
      <c r="K70" s="54" t="s">
        <v>2741</v>
      </c>
      <c r="L70" s="54" t="s">
        <v>237</v>
      </c>
      <c r="M70" s="54" t="s">
        <v>237</v>
      </c>
      <c r="N70" s="54" t="s">
        <v>237</v>
      </c>
      <c r="O70" s="54" t="s">
        <v>191</v>
      </c>
      <c r="P70" s="54" t="s">
        <v>344</v>
      </c>
      <c r="Q70" s="54" t="s">
        <v>303</v>
      </c>
      <c r="R70" s="54" t="s">
        <v>191</v>
      </c>
      <c r="S70" s="54" t="s">
        <v>191</v>
      </c>
      <c r="T70" s="54" t="s">
        <v>1422</v>
      </c>
      <c r="U70" s="123" t="s">
        <v>237</v>
      </c>
      <c r="V70" s="123" t="s">
        <v>1422</v>
      </c>
      <c r="W70" s="123" t="s">
        <v>344</v>
      </c>
      <c r="X70" s="54" t="s">
        <v>832</v>
      </c>
      <c r="Y70" s="54" t="s">
        <v>191</v>
      </c>
      <c r="Z70" s="54" t="s">
        <v>344</v>
      </c>
      <c r="AA70" s="54" t="s">
        <v>41</v>
      </c>
      <c r="AB70" s="54" t="s">
        <v>4210</v>
      </c>
      <c r="AC70" s="54" t="s">
        <v>344</v>
      </c>
      <c r="AD70" s="54" t="s">
        <v>191</v>
      </c>
      <c r="AE70" s="54" t="s">
        <v>237</v>
      </c>
      <c r="AF70" s="54" t="s">
        <v>344</v>
      </c>
      <c r="AG70" s="54" t="s">
        <v>728</v>
      </c>
      <c r="AH70" s="54" t="s">
        <v>1137</v>
      </c>
      <c r="AI70" s="54" t="s">
        <v>191</v>
      </c>
      <c r="AJ70" s="116" t="s">
        <v>41</v>
      </c>
      <c r="AK70" s="116" t="s">
        <v>2503</v>
      </c>
      <c r="AL70" s="54" t="s">
        <v>237</v>
      </c>
      <c r="AM70" s="54" t="s">
        <v>478</v>
      </c>
      <c r="AN70" s="54" t="s">
        <v>41</v>
      </c>
      <c r="AO70" s="54" t="s">
        <v>3582</v>
      </c>
      <c r="AP70" s="54" t="s">
        <v>3582</v>
      </c>
      <c r="AQ70" s="48" t="s">
        <v>3426</v>
      </c>
      <c r="AR70" s="48" t="s">
        <v>3426</v>
      </c>
      <c r="AS70" s="54" t="s">
        <v>39</v>
      </c>
      <c r="AT70" s="54" t="s">
        <v>237</v>
      </c>
      <c r="AU70" s="54" t="s">
        <v>39</v>
      </c>
      <c r="AV70" s="54" t="s">
        <v>191</v>
      </c>
      <c r="AW70" s="54" t="s">
        <v>344</v>
      </c>
      <c r="AX70" s="54" t="s">
        <v>372</v>
      </c>
      <c r="AY70" s="54" t="s">
        <v>478</v>
      </c>
      <c r="AZ70" s="54" t="s">
        <v>191</v>
      </c>
      <c r="BA70" s="54" t="s">
        <v>191</v>
      </c>
      <c r="BB70" s="54" t="s">
        <v>390</v>
      </c>
      <c r="BC70" s="54" t="s">
        <v>191</v>
      </c>
      <c r="BD70" s="54" t="s">
        <v>191</v>
      </c>
      <c r="BE70" s="54" t="s">
        <v>344</v>
      </c>
      <c r="BF70" s="54" t="s">
        <v>41</v>
      </c>
      <c r="BG70" s="54" t="s">
        <v>780</v>
      </c>
      <c r="BH70" s="54" t="s">
        <v>237</v>
      </c>
      <c r="BI70" s="54" t="s">
        <v>344</v>
      </c>
      <c r="BJ70" s="54" t="s">
        <v>344</v>
      </c>
      <c r="BK70" s="54" t="s">
        <v>41</v>
      </c>
      <c r="BL70" s="54" t="s">
        <v>237</v>
      </c>
      <c r="BM70" s="54" t="s">
        <v>344</v>
      </c>
      <c r="BN70" s="54" t="s">
        <v>237</v>
      </c>
      <c r="BO70" s="54" t="s">
        <v>344</v>
      </c>
    </row>
    <row r="71" spans="1:75" s="2" customFormat="1" ht="11.25" customHeight="1">
      <c r="A71" s="95" t="s">
        <v>688</v>
      </c>
      <c r="B71" s="94"/>
      <c r="C71" s="94" t="s">
        <v>3122</v>
      </c>
      <c r="D71" s="94" t="s">
        <v>3120</v>
      </c>
      <c r="E71" s="94" t="s">
        <v>1949</v>
      </c>
      <c r="F71" s="94" t="s">
        <v>1979</v>
      </c>
      <c r="G71" s="94" t="s">
        <v>3637</v>
      </c>
      <c r="H71" s="94" t="s">
        <v>2041</v>
      </c>
      <c r="I71" s="94" t="s">
        <v>3024</v>
      </c>
      <c r="J71" s="94" t="s">
        <v>1387</v>
      </c>
      <c r="K71" s="94" t="s">
        <v>2742</v>
      </c>
      <c r="L71" s="94" t="s">
        <v>1206</v>
      </c>
      <c r="M71" s="94" t="s">
        <v>1206</v>
      </c>
      <c r="N71" s="94" t="s">
        <v>1387</v>
      </c>
      <c r="O71" s="94" t="s">
        <v>2828</v>
      </c>
      <c r="P71" s="94" t="s">
        <v>1291</v>
      </c>
      <c r="Q71" s="94" t="s">
        <v>3822</v>
      </c>
      <c r="R71" s="94" t="s">
        <v>1689</v>
      </c>
      <c r="S71" s="94" t="s">
        <v>1387</v>
      </c>
      <c r="T71" s="94" t="s">
        <v>3735</v>
      </c>
      <c r="U71" s="94" t="s">
        <v>4078</v>
      </c>
      <c r="V71" s="94" t="s">
        <v>4077</v>
      </c>
      <c r="W71" s="94" t="s">
        <v>4094</v>
      </c>
      <c r="X71" s="94" t="s">
        <v>812</v>
      </c>
      <c r="Y71" s="94" t="s">
        <v>1387</v>
      </c>
      <c r="Z71" s="94" t="s">
        <v>3924</v>
      </c>
      <c r="AA71" s="94" t="s">
        <v>3925</v>
      </c>
      <c r="AB71" s="94" t="s">
        <v>1387</v>
      </c>
      <c r="AC71" s="94" t="s">
        <v>2761</v>
      </c>
      <c r="AD71" s="94" t="s">
        <v>1387</v>
      </c>
      <c r="AE71" s="94" t="s">
        <v>2385</v>
      </c>
      <c r="AF71" s="94" t="s">
        <v>2337</v>
      </c>
      <c r="AG71" s="94" t="s">
        <v>2275</v>
      </c>
      <c r="AH71" s="94" t="s">
        <v>1136</v>
      </c>
      <c r="AI71" s="94"/>
      <c r="AJ71" s="94" t="s">
        <v>1206</v>
      </c>
      <c r="AK71" s="94" t="s">
        <v>2504</v>
      </c>
      <c r="AL71" s="94" t="s">
        <v>1387</v>
      </c>
      <c r="AM71" s="94" t="s">
        <v>3340</v>
      </c>
      <c r="AN71" s="94" t="s">
        <v>3290</v>
      </c>
      <c r="AO71" s="94" t="s">
        <v>3522</v>
      </c>
      <c r="AP71" s="94" t="s">
        <v>3522</v>
      </c>
      <c r="AQ71" s="94" t="s">
        <v>3522</v>
      </c>
      <c r="AR71" s="94" t="s">
        <v>3522</v>
      </c>
      <c r="AS71" s="94"/>
      <c r="AT71" s="94"/>
      <c r="AU71" s="94"/>
      <c r="AV71" s="94" t="s">
        <v>1456</v>
      </c>
      <c r="AW71" s="94" t="s">
        <v>1456</v>
      </c>
      <c r="AX71" s="94"/>
      <c r="AY71" s="94" t="s">
        <v>2888</v>
      </c>
      <c r="AZ71" s="94" t="s">
        <v>1387</v>
      </c>
      <c r="BA71" s="94" t="s">
        <v>1387</v>
      </c>
      <c r="BB71" s="94" t="s">
        <v>1738</v>
      </c>
      <c r="BC71" s="94" t="s">
        <v>889</v>
      </c>
      <c r="BD71" s="94" t="s">
        <v>889</v>
      </c>
      <c r="BE71" s="94" t="s">
        <v>1332</v>
      </c>
      <c r="BF71" s="94" t="s">
        <v>1332</v>
      </c>
      <c r="BG71" s="94" t="s">
        <v>781</v>
      </c>
      <c r="BH71" s="94" t="s">
        <v>3247</v>
      </c>
      <c r="BI71" s="94" t="s">
        <v>3247</v>
      </c>
      <c r="BJ71" s="94" t="s">
        <v>3402</v>
      </c>
      <c r="BK71" s="94" t="s">
        <v>2115</v>
      </c>
      <c r="BL71" s="94" t="s">
        <v>1408</v>
      </c>
      <c r="BM71" s="94" t="s">
        <v>1581</v>
      </c>
      <c r="BN71" s="94" t="s">
        <v>1596</v>
      </c>
      <c r="BO71" s="94"/>
      <c r="BR71" s="19"/>
      <c r="BS71" s="20"/>
      <c r="BT71" s="11"/>
      <c r="BU71" s="19"/>
      <c r="BV71" s="19"/>
      <c r="BW71" s="19"/>
    </row>
    <row r="72" spans="1:75" s="14" customFormat="1" ht="22.5" customHeight="1">
      <c r="A72" s="53" t="s">
        <v>98</v>
      </c>
      <c r="B72" s="54" t="s">
        <v>200</v>
      </c>
      <c r="C72" s="54" t="s">
        <v>94</v>
      </c>
      <c r="D72" s="54" t="s">
        <v>94</v>
      </c>
      <c r="E72" s="54" t="s">
        <v>1921</v>
      </c>
      <c r="F72" s="54" t="s">
        <v>1921</v>
      </c>
      <c r="G72" s="54" t="s">
        <v>649</v>
      </c>
      <c r="H72" s="123" t="s">
        <v>94</v>
      </c>
      <c r="I72" s="54" t="s">
        <v>3023</v>
      </c>
      <c r="J72" s="54" t="s">
        <v>94</v>
      </c>
      <c r="K72" s="54" t="s">
        <v>94</v>
      </c>
      <c r="L72" s="54" t="s">
        <v>94</v>
      </c>
      <c r="M72" s="54" t="s">
        <v>94</v>
      </c>
      <c r="N72" s="54" t="s">
        <v>41</v>
      </c>
      <c r="O72" s="54" t="s">
        <v>41</v>
      </c>
      <c r="P72" s="54" t="s">
        <v>3808</v>
      </c>
      <c r="Q72" s="54" t="s">
        <v>200</v>
      </c>
      <c r="R72" s="54" t="s">
        <v>200</v>
      </c>
      <c r="S72" s="54" t="s">
        <v>1392</v>
      </c>
      <c r="T72" s="54" t="s">
        <v>41</v>
      </c>
      <c r="U72" s="123" t="s">
        <v>94</v>
      </c>
      <c r="V72" s="123" t="s">
        <v>94</v>
      </c>
      <c r="W72" s="123" t="s">
        <v>94</v>
      </c>
      <c r="X72" s="54" t="s">
        <v>200</v>
      </c>
      <c r="Y72" s="54" t="s">
        <v>3926</v>
      </c>
      <c r="Z72" s="54" t="s">
        <v>3927</v>
      </c>
      <c r="AA72" s="54" t="s">
        <v>3927</v>
      </c>
      <c r="AB72" s="54" t="s">
        <v>94</v>
      </c>
      <c r="AC72" s="54" t="s">
        <v>94</v>
      </c>
      <c r="AD72" s="54" t="s">
        <v>94</v>
      </c>
      <c r="AE72" s="54" t="s">
        <v>94</v>
      </c>
      <c r="AF72" s="54" t="s">
        <v>41</v>
      </c>
      <c r="AG72" s="54" t="s">
        <v>41</v>
      </c>
      <c r="AH72" s="54" t="s">
        <v>1147</v>
      </c>
      <c r="AI72" s="54" t="s">
        <v>94</v>
      </c>
      <c r="AJ72" s="54" t="s">
        <v>309</v>
      </c>
      <c r="AK72" s="54" t="s">
        <v>41</v>
      </c>
      <c r="AL72" s="54" t="s">
        <v>94</v>
      </c>
      <c r="AM72" s="54" t="s">
        <v>309</v>
      </c>
      <c r="AN72" s="54" t="s">
        <v>3287</v>
      </c>
      <c r="AO72" s="54" t="s">
        <v>41</v>
      </c>
      <c r="AP72" s="54" t="s">
        <v>41</v>
      </c>
      <c r="AQ72" s="54" t="s">
        <v>41</v>
      </c>
      <c r="AR72" s="54" t="s">
        <v>41</v>
      </c>
      <c r="AS72" s="54" t="s">
        <v>39</v>
      </c>
      <c r="AT72" s="54" t="s">
        <v>94</v>
      </c>
      <c r="AU72" s="54" t="s">
        <v>39</v>
      </c>
      <c r="AV72" s="54" t="s">
        <v>200</v>
      </c>
      <c r="AW72" s="54" t="s">
        <v>200</v>
      </c>
      <c r="AX72" s="54" t="s">
        <v>272</v>
      </c>
      <c r="AY72" s="54" t="s">
        <v>200</v>
      </c>
      <c r="AZ72" s="54" t="s">
        <v>3385</v>
      </c>
      <c r="BA72" s="54" t="s">
        <v>94</v>
      </c>
      <c r="BB72" s="54" t="s">
        <v>94</v>
      </c>
      <c r="BC72" s="54" t="s">
        <v>94</v>
      </c>
      <c r="BD72" s="54" t="s">
        <v>94</v>
      </c>
      <c r="BE72" s="54" t="s">
        <v>1296</v>
      </c>
      <c r="BF72" s="54" t="s">
        <v>1296</v>
      </c>
      <c r="BG72" s="54" t="s">
        <v>94</v>
      </c>
      <c r="BH72" s="54" t="s">
        <v>1410</v>
      </c>
      <c r="BI72" s="54" t="s">
        <v>1410</v>
      </c>
      <c r="BJ72" s="54" t="s">
        <v>94</v>
      </c>
      <c r="BK72" s="54" t="s">
        <v>94</v>
      </c>
      <c r="BL72" s="54" t="s">
        <v>2162</v>
      </c>
      <c r="BM72" s="54" t="s">
        <v>94</v>
      </c>
      <c r="BN72" s="54" t="s">
        <v>94</v>
      </c>
      <c r="BO72" s="54" t="s">
        <v>200</v>
      </c>
    </row>
    <row r="73" spans="1:75" s="2" customFormat="1" ht="11.25" customHeight="1">
      <c r="A73" s="95" t="s">
        <v>688</v>
      </c>
      <c r="B73" s="94"/>
      <c r="C73" s="94" t="s">
        <v>3179</v>
      </c>
      <c r="D73" s="94" t="s">
        <v>3178</v>
      </c>
      <c r="E73" s="94" t="s">
        <v>1930</v>
      </c>
      <c r="F73" s="94" t="s">
        <v>1961</v>
      </c>
      <c r="G73" s="94"/>
      <c r="H73" s="94" t="s">
        <v>2050</v>
      </c>
      <c r="I73" s="94" t="s">
        <v>3022</v>
      </c>
      <c r="J73" s="94" t="s">
        <v>1212</v>
      </c>
      <c r="K73" s="94" t="s">
        <v>1212</v>
      </c>
      <c r="L73" s="94" t="s">
        <v>1214</v>
      </c>
      <c r="M73" s="94" t="s">
        <v>1214</v>
      </c>
      <c r="N73" s="94" t="s">
        <v>1403</v>
      </c>
      <c r="O73" s="94" t="s">
        <v>2854</v>
      </c>
      <c r="P73" s="94" t="s">
        <v>1287</v>
      </c>
      <c r="Q73" s="94" t="s">
        <v>3800</v>
      </c>
      <c r="R73" s="94" t="s">
        <v>1687</v>
      </c>
      <c r="S73" s="94" t="s">
        <v>1212</v>
      </c>
      <c r="T73" s="94" t="s">
        <v>3712</v>
      </c>
      <c r="U73" s="94" t="s">
        <v>4105</v>
      </c>
      <c r="V73" s="94" t="s">
        <v>4105</v>
      </c>
      <c r="W73" s="94" t="s">
        <v>4105</v>
      </c>
      <c r="X73" s="94" t="s">
        <v>833</v>
      </c>
      <c r="Y73" s="94" t="s">
        <v>3888</v>
      </c>
      <c r="Z73" s="94" t="s">
        <v>3928</v>
      </c>
      <c r="AA73" s="94" t="s">
        <v>3929</v>
      </c>
      <c r="AB73" s="94" t="s">
        <v>1212</v>
      </c>
      <c r="AC73" s="94" t="s">
        <v>1212</v>
      </c>
      <c r="AD73" s="94" t="s">
        <v>2428</v>
      </c>
      <c r="AE73" s="94" t="s">
        <v>2399</v>
      </c>
      <c r="AF73" s="94" t="s">
        <v>2357</v>
      </c>
      <c r="AG73" s="94" t="s">
        <v>2289</v>
      </c>
      <c r="AH73" s="94" t="s">
        <v>1146</v>
      </c>
      <c r="AI73" s="94"/>
      <c r="AJ73" s="94" t="s">
        <v>2558</v>
      </c>
      <c r="AK73" s="94" t="s">
        <v>2515</v>
      </c>
      <c r="AL73" s="94" t="s">
        <v>1212</v>
      </c>
      <c r="AM73" s="94" t="s">
        <v>3285</v>
      </c>
      <c r="AN73" s="94" t="s">
        <v>3285</v>
      </c>
      <c r="AO73" s="94" t="s">
        <v>3489</v>
      </c>
      <c r="AP73" s="94" t="s">
        <v>3489</v>
      </c>
      <c r="AQ73" s="94" t="s">
        <v>3489</v>
      </c>
      <c r="AR73" s="94" t="s">
        <v>3489</v>
      </c>
      <c r="AS73" s="94"/>
      <c r="AT73" s="94"/>
      <c r="AU73" s="94"/>
      <c r="AV73" s="94" t="s">
        <v>1500</v>
      </c>
      <c r="AW73" s="94" t="s">
        <v>1462</v>
      </c>
      <c r="AX73" s="94"/>
      <c r="AY73" s="94" t="s">
        <v>1212</v>
      </c>
      <c r="AZ73" s="94" t="s">
        <v>3384</v>
      </c>
      <c r="BA73" s="94" t="s">
        <v>1212</v>
      </c>
      <c r="BB73" s="94" t="s">
        <v>1737</v>
      </c>
      <c r="BC73" s="94" t="s">
        <v>891</v>
      </c>
      <c r="BD73" s="94" t="s">
        <v>891</v>
      </c>
      <c r="BE73" s="94" t="s">
        <v>1297</v>
      </c>
      <c r="BF73" s="94" t="s">
        <v>1297</v>
      </c>
      <c r="BG73" s="94" t="s">
        <v>775</v>
      </c>
      <c r="BH73" s="94" t="s">
        <v>3219</v>
      </c>
      <c r="BI73" s="94" t="s">
        <v>3219</v>
      </c>
      <c r="BJ73" s="94" t="s">
        <v>2144</v>
      </c>
      <c r="BK73" s="94" t="s">
        <v>2144</v>
      </c>
      <c r="BL73" s="94" t="s">
        <v>2213</v>
      </c>
      <c r="BM73" s="94" t="s">
        <v>1617</v>
      </c>
      <c r="BN73" s="94" t="s">
        <v>1617</v>
      </c>
      <c r="BO73" s="94"/>
      <c r="BR73" s="19"/>
      <c r="BS73" s="20"/>
      <c r="BT73" s="11"/>
      <c r="BU73" s="19"/>
      <c r="BV73" s="19"/>
      <c r="BW73" s="19"/>
    </row>
    <row r="74" spans="1:75" s="14" customFormat="1" ht="22.5" customHeight="1">
      <c r="A74" s="90" t="s">
        <v>153</v>
      </c>
      <c r="B74" s="54" t="s">
        <v>689</v>
      </c>
      <c r="C74" s="54" t="s">
        <v>94</v>
      </c>
      <c r="D74" s="54" t="s">
        <v>94</v>
      </c>
      <c r="E74" s="54" t="s">
        <v>1921</v>
      </c>
      <c r="F74" s="54" t="s">
        <v>1921</v>
      </c>
      <c r="G74" s="54" t="s">
        <v>649</v>
      </c>
      <c r="H74" s="123" t="s">
        <v>94</v>
      </c>
      <c r="I74" s="54" t="s">
        <v>200</v>
      </c>
      <c r="J74" s="54" t="s">
        <v>39</v>
      </c>
      <c r="K74" s="54" t="s">
        <v>39</v>
      </c>
      <c r="L74" s="54" t="s">
        <v>94</v>
      </c>
      <c r="M74" s="54" t="s">
        <v>94</v>
      </c>
      <c r="N74" s="54" t="s">
        <v>1902</v>
      </c>
      <c r="O74" s="54" t="s">
        <v>200</v>
      </c>
      <c r="P74" s="54" t="s">
        <v>94</v>
      </c>
      <c r="Q74" s="54" t="s">
        <v>200</v>
      </c>
      <c r="R74" s="54" t="s">
        <v>200</v>
      </c>
      <c r="S74" s="54" t="s">
        <v>1393</v>
      </c>
      <c r="T74" s="54" t="s">
        <v>200</v>
      </c>
      <c r="U74" s="123" t="s">
        <v>94</v>
      </c>
      <c r="V74" s="123" t="s">
        <v>94</v>
      </c>
      <c r="W74" s="123" t="s">
        <v>94</v>
      </c>
      <c r="X74" s="54" t="s">
        <v>200</v>
      </c>
      <c r="Y74" s="54" t="s">
        <v>3926</v>
      </c>
      <c r="Z74" s="54" t="s">
        <v>3287</v>
      </c>
      <c r="AA74" s="54" t="s">
        <v>3287</v>
      </c>
      <c r="AB74" s="54" t="s">
        <v>4216</v>
      </c>
      <c r="AC74" s="54" t="s">
        <v>94</v>
      </c>
      <c r="AD74" s="54" t="s">
        <v>39</v>
      </c>
      <c r="AE74" s="54" t="s">
        <v>39</v>
      </c>
      <c r="AF74" s="54" t="s">
        <v>94</v>
      </c>
      <c r="AG74" s="54" t="s">
        <v>94</v>
      </c>
      <c r="AH74" s="54" t="s">
        <v>39</v>
      </c>
      <c r="AI74" s="54" t="s">
        <v>39</v>
      </c>
      <c r="AJ74" s="54" t="s">
        <v>309</v>
      </c>
      <c r="AK74" s="54" t="s">
        <v>309</v>
      </c>
      <c r="AL74" s="54" t="s">
        <v>39</v>
      </c>
      <c r="AM74" s="54" t="s">
        <v>309</v>
      </c>
      <c r="AN74" s="54" t="s">
        <v>3287</v>
      </c>
      <c r="AO74" s="54" t="s">
        <v>41</v>
      </c>
      <c r="AP74" s="54" t="s">
        <v>41</v>
      </c>
      <c r="AQ74" s="54" t="s">
        <v>41</v>
      </c>
      <c r="AR74" s="54" t="s">
        <v>41</v>
      </c>
      <c r="AS74" s="54" t="s">
        <v>39</v>
      </c>
      <c r="AT74" s="54" t="s">
        <v>94</v>
      </c>
      <c r="AU74" s="54" t="s">
        <v>39</v>
      </c>
      <c r="AV74" s="54" t="s">
        <v>200</v>
      </c>
      <c r="AW74" s="54" t="s">
        <v>1463</v>
      </c>
      <c r="AX74" s="54" t="s">
        <v>39</v>
      </c>
      <c r="AY74" s="54" t="s">
        <v>200</v>
      </c>
      <c r="AZ74" s="54" t="s">
        <v>3385</v>
      </c>
      <c r="BA74" s="54" t="s">
        <v>200</v>
      </c>
      <c r="BB74" s="54" t="s">
        <v>39</v>
      </c>
      <c r="BC74" s="54" t="s">
        <v>94</v>
      </c>
      <c r="BD74" s="54" t="s">
        <v>94</v>
      </c>
      <c r="BE74" s="54" t="s">
        <v>1294</v>
      </c>
      <c r="BF74" s="54" t="s">
        <v>1294</v>
      </c>
      <c r="BG74" s="54" t="s">
        <v>94</v>
      </c>
      <c r="BH74" s="54" t="s">
        <v>3190</v>
      </c>
      <c r="BI74" s="54" t="s">
        <v>3190</v>
      </c>
      <c r="BJ74" s="54" t="s">
        <v>94</v>
      </c>
      <c r="BK74" s="54" t="s">
        <v>94</v>
      </c>
      <c r="BL74" s="54" t="s">
        <v>2162</v>
      </c>
      <c r="BM74" s="54" t="s">
        <v>94</v>
      </c>
      <c r="BN74" s="54" t="s">
        <v>94</v>
      </c>
      <c r="BO74" s="54" t="s">
        <v>200</v>
      </c>
    </row>
    <row r="75" spans="1:75" s="2" customFormat="1" ht="11.25" customHeight="1">
      <c r="A75" s="95" t="s">
        <v>688</v>
      </c>
      <c r="B75" s="94"/>
      <c r="C75" s="94" t="s">
        <v>3179</v>
      </c>
      <c r="D75" s="94" t="s">
        <v>3178</v>
      </c>
      <c r="E75" s="94" t="s">
        <v>1930</v>
      </c>
      <c r="F75" s="94" t="s">
        <v>1961</v>
      </c>
      <c r="G75" s="94"/>
      <c r="H75" s="94" t="s">
        <v>2050</v>
      </c>
      <c r="I75" s="94" t="s">
        <v>3022</v>
      </c>
      <c r="J75" s="94" t="s">
        <v>1215</v>
      </c>
      <c r="K75" s="94" t="s">
        <v>1215</v>
      </c>
      <c r="L75" s="94" t="s">
        <v>1214</v>
      </c>
      <c r="M75" s="94" t="s">
        <v>1214</v>
      </c>
      <c r="N75" s="94" t="s">
        <v>1403</v>
      </c>
      <c r="O75" s="94" t="s">
        <v>2805</v>
      </c>
      <c r="P75" s="94" t="s">
        <v>1287</v>
      </c>
      <c r="Q75" s="94" t="s">
        <v>3800</v>
      </c>
      <c r="R75" s="94" t="s">
        <v>1687</v>
      </c>
      <c r="S75" s="94" t="s">
        <v>1212</v>
      </c>
      <c r="T75" s="94" t="s">
        <v>3713</v>
      </c>
      <c r="U75" s="94" t="s">
        <v>4105</v>
      </c>
      <c r="V75" s="94" t="s">
        <v>4105</v>
      </c>
      <c r="W75" s="94" t="s">
        <v>4105</v>
      </c>
      <c r="X75" s="94" t="s">
        <v>833</v>
      </c>
      <c r="Y75" s="94" t="s">
        <v>3888</v>
      </c>
      <c r="Z75" s="94" t="s">
        <v>3928</v>
      </c>
      <c r="AA75" s="94" t="s">
        <v>3929</v>
      </c>
      <c r="AB75" s="94" t="s">
        <v>4217</v>
      </c>
      <c r="AC75" s="94" t="s">
        <v>1212</v>
      </c>
      <c r="AD75" s="94" t="s">
        <v>2428</v>
      </c>
      <c r="AE75" s="94" t="s">
        <v>2399</v>
      </c>
      <c r="AF75" s="94" t="s">
        <v>2356</v>
      </c>
      <c r="AG75" s="94" t="s">
        <v>2288</v>
      </c>
      <c r="AH75" s="94" t="s">
        <v>39</v>
      </c>
      <c r="AI75" s="94"/>
      <c r="AJ75" s="94" t="s">
        <v>2558</v>
      </c>
      <c r="AK75" s="94" t="s">
        <v>2517</v>
      </c>
      <c r="AL75" s="94" t="s">
        <v>1212</v>
      </c>
      <c r="AM75" s="94" t="s">
        <v>3285</v>
      </c>
      <c r="AN75" s="94" t="s">
        <v>3285</v>
      </c>
      <c r="AO75" s="94" t="s">
        <v>3489</v>
      </c>
      <c r="AP75" s="94" t="s">
        <v>3489</v>
      </c>
      <c r="AQ75" s="94" t="s">
        <v>3489</v>
      </c>
      <c r="AR75" s="94" t="s">
        <v>3489</v>
      </c>
      <c r="AS75" s="94"/>
      <c r="AT75" s="94"/>
      <c r="AU75" s="94"/>
      <c r="AV75" s="94" t="s">
        <v>1500</v>
      </c>
      <c r="AW75" s="94" t="s">
        <v>1462</v>
      </c>
      <c r="AX75" s="94"/>
      <c r="AY75" s="94" t="s">
        <v>1212</v>
      </c>
      <c r="AZ75" s="94" t="s">
        <v>3384</v>
      </c>
      <c r="BA75" s="94" t="s">
        <v>1212</v>
      </c>
      <c r="BB75" s="94" t="s">
        <v>2857</v>
      </c>
      <c r="BC75" s="94" t="s">
        <v>891</v>
      </c>
      <c r="BD75" s="94" t="s">
        <v>891</v>
      </c>
      <c r="BE75" s="94" t="s">
        <v>1293</v>
      </c>
      <c r="BF75" s="94" t="s">
        <v>1293</v>
      </c>
      <c r="BG75" s="94" t="s">
        <v>775</v>
      </c>
      <c r="BH75" s="94" t="s">
        <v>3219</v>
      </c>
      <c r="BI75" s="94" t="s">
        <v>3219</v>
      </c>
      <c r="BJ75" s="94" t="s">
        <v>2144</v>
      </c>
      <c r="BK75" s="94" t="s">
        <v>2144</v>
      </c>
      <c r="BL75" s="94" t="s">
        <v>2213</v>
      </c>
      <c r="BM75" s="94" t="s">
        <v>1617</v>
      </c>
      <c r="BN75" s="94" t="s">
        <v>1617</v>
      </c>
      <c r="BO75" s="94"/>
      <c r="BR75" s="19"/>
      <c r="BS75" s="20"/>
      <c r="BT75" s="11"/>
      <c r="BU75" s="19"/>
      <c r="BV75" s="19"/>
      <c r="BW75" s="19"/>
    </row>
    <row r="76" spans="1:75" s="117" customFormat="1" ht="22.5" customHeight="1">
      <c r="A76" s="53" t="s">
        <v>140</v>
      </c>
      <c r="B76" s="54" t="s">
        <v>39</v>
      </c>
      <c r="C76" s="54" t="s">
        <v>179</v>
      </c>
      <c r="D76" s="54" t="s">
        <v>179</v>
      </c>
      <c r="E76" s="54" t="s">
        <v>39</v>
      </c>
      <c r="F76" s="54" t="s">
        <v>41</v>
      </c>
      <c r="G76" s="54" t="s">
        <v>39</v>
      </c>
      <c r="H76" s="123" t="s">
        <v>2086</v>
      </c>
      <c r="I76" s="54" t="s">
        <v>41</v>
      </c>
      <c r="J76" s="54" t="s">
        <v>39</v>
      </c>
      <c r="K76" s="54" t="s">
        <v>39</v>
      </c>
      <c r="L76" s="54" t="s">
        <v>39</v>
      </c>
      <c r="M76" s="54" t="s">
        <v>39</v>
      </c>
      <c r="N76" s="54" t="s">
        <v>39</v>
      </c>
      <c r="O76" s="54" t="s">
        <v>39</v>
      </c>
      <c r="P76" s="54" t="s">
        <v>39</v>
      </c>
      <c r="Q76" s="54" t="s">
        <v>39</v>
      </c>
      <c r="R76" s="54" t="s">
        <v>39</v>
      </c>
      <c r="S76" s="54" t="s">
        <v>39</v>
      </c>
      <c r="T76" s="54" t="s">
        <v>39</v>
      </c>
      <c r="U76" s="123" t="s">
        <v>4101</v>
      </c>
      <c r="V76" s="123" t="s">
        <v>4101</v>
      </c>
      <c r="W76" s="123" t="s">
        <v>4101</v>
      </c>
      <c r="X76" s="54" t="s">
        <v>41</v>
      </c>
      <c r="Y76" s="54" t="s">
        <v>39</v>
      </c>
      <c r="Z76" s="54" t="s">
        <v>41</v>
      </c>
      <c r="AA76" s="54" t="s">
        <v>41</v>
      </c>
      <c r="AB76" s="54" t="s">
        <v>4218</v>
      </c>
      <c r="AC76" s="54" t="s">
        <v>179</v>
      </c>
      <c r="AD76" s="54" t="s">
        <v>39</v>
      </c>
      <c r="AE76" s="54" t="s">
        <v>39</v>
      </c>
      <c r="AF76" s="54" t="s">
        <v>179</v>
      </c>
      <c r="AG76" s="54" t="s">
        <v>179</v>
      </c>
      <c r="AH76" s="54" t="s">
        <v>39</v>
      </c>
      <c r="AI76" s="54" t="s">
        <v>39</v>
      </c>
      <c r="AJ76" s="54" t="s">
        <v>179</v>
      </c>
      <c r="AK76" s="54" t="s">
        <v>2460</v>
      </c>
      <c r="AL76" s="73" t="s">
        <v>39</v>
      </c>
      <c r="AM76" s="54" t="s">
        <v>41</v>
      </c>
      <c r="AN76" s="54" t="s">
        <v>41</v>
      </c>
      <c r="AO76" s="54" t="s">
        <v>41</v>
      </c>
      <c r="AP76" s="54" t="s">
        <v>41</v>
      </c>
      <c r="AQ76" s="54" t="s">
        <v>41</v>
      </c>
      <c r="AR76" s="54" t="s">
        <v>41</v>
      </c>
      <c r="AS76" s="54" t="s">
        <v>39</v>
      </c>
      <c r="AT76" s="54" t="s">
        <v>39</v>
      </c>
      <c r="AU76" s="54" t="s">
        <v>39</v>
      </c>
      <c r="AV76" s="54" t="s">
        <v>39</v>
      </c>
      <c r="AW76" s="54" t="s">
        <v>1443</v>
      </c>
      <c r="AX76" s="54" t="s">
        <v>39</v>
      </c>
      <c r="AY76" s="54" t="s">
        <v>39</v>
      </c>
      <c r="AZ76" s="54" t="s">
        <v>41</v>
      </c>
      <c r="BA76" s="48" t="s">
        <v>39</v>
      </c>
      <c r="BB76" s="54" t="s">
        <v>39</v>
      </c>
      <c r="BC76" s="54" t="s">
        <v>39</v>
      </c>
      <c r="BD76" s="54" t="s">
        <v>39</v>
      </c>
      <c r="BE76" s="54" t="s">
        <v>41</v>
      </c>
      <c r="BF76" s="54" t="s">
        <v>41</v>
      </c>
      <c r="BG76" s="54" t="s">
        <v>41</v>
      </c>
      <c r="BH76" s="54" t="s">
        <v>39</v>
      </c>
      <c r="BI76" s="54" t="s">
        <v>39</v>
      </c>
      <c r="BJ76" s="54" t="s">
        <v>39</v>
      </c>
      <c r="BK76" s="54" t="s">
        <v>39</v>
      </c>
      <c r="BL76" s="54" t="s">
        <v>2173</v>
      </c>
      <c r="BM76" s="54" t="s">
        <v>39</v>
      </c>
      <c r="BN76" s="54" t="s">
        <v>39</v>
      </c>
      <c r="BO76" s="54" t="s">
        <v>39</v>
      </c>
    </row>
    <row r="77" spans="1:75" s="2" customFormat="1" ht="11.25" customHeight="1">
      <c r="A77" s="95" t="s">
        <v>688</v>
      </c>
      <c r="B77" s="94"/>
      <c r="C77" s="94" t="s">
        <v>3115</v>
      </c>
      <c r="D77" s="94" t="s">
        <v>3113</v>
      </c>
      <c r="E77" s="94" t="s">
        <v>39</v>
      </c>
      <c r="F77" s="94" t="s">
        <v>1956</v>
      </c>
      <c r="G77" s="94"/>
      <c r="H77" s="94" t="s">
        <v>2668</v>
      </c>
      <c r="I77" s="94" t="s">
        <v>3021</v>
      </c>
      <c r="J77" s="94" t="s">
        <v>39</v>
      </c>
      <c r="K77" s="94" t="s">
        <v>39</v>
      </c>
      <c r="L77" s="94" t="s">
        <v>39</v>
      </c>
      <c r="M77" s="94" t="s">
        <v>39</v>
      </c>
      <c r="N77" s="94" t="s">
        <v>39</v>
      </c>
      <c r="O77" s="94" t="s">
        <v>39</v>
      </c>
      <c r="P77" s="94" t="s">
        <v>39</v>
      </c>
      <c r="Q77" s="94" t="s">
        <v>39</v>
      </c>
      <c r="R77" s="94" t="s">
        <v>39</v>
      </c>
      <c r="S77" s="94" t="s">
        <v>39</v>
      </c>
      <c r="T77" s="94" t="s">
        <v>39</v>
      </c>
      <c r="U77" s="94" t="s">
        <v>4100</v>
      </c>
      <c r="V77" s="94" t="s">
        <v>4100</v>
      </c>
      <c r="W77" s="94" t="s">
        <v>4100</v>
      </c>
      <c r="X77" s="94" t="s">
        <v>801</v>
      </c>
      <c r="Y77" s="94" t="s">
        <v>39</v>
      </c>
      <c r="Z77" s="94" t="s">
        <v>3930</v>
      </c>
      <c r="AA77" s="94" t="s">
        <v>3931</v>
      </c>
      <c r="AB77" s="94" t="s">
        <v>4219</v>
      </c>
      <c r="AC77" s="94" t="s">
        <v>3383</v>
      </c>
      <c r="AD77" s="94" t="s">
        <v>39</v>
      </c>
      <c r="AE77" s="94" t="s">
        <v>39</v>
      </c>
      <c r="AF77" s="94" t="s">
        <v>2302</v>
      </c>
      <c r="AG77" s="94" t="s">
        <v>730</v>
      </c>
      <c r="AH77" s="94" t="s">
        <v>39</v>
      </c>
      <c r="AI77" s="94"/>
      <c r="AJ77" s="94" t="s">
        <v>2528</v>
      </c>
      <c r="AK77" s="94" t="s">
        <v>2461</v>
      </c>
      <c r="AL77" s="94" t="s">
        <v>39</v>
      </c>
      <c r="AM77" s="94" t="s">
        <v>3331</v>
      </c>
      <c r="AN77" s="94" t="s">
        <v>3279</v>
      </c>
      <c r="AO77" s="94" t="s">
        <v>3487</v>
      </c>
      <c r="AP77" s="94" t="s">
        <v>3487</v>
      </c>
      <c r="AQ77" s="94" t="s">
        <v>3487</v>
      </c>
      <c r="AR77" s="94" t="s">
        <v>3487</v>
      </c>
      <c r="AS77" s="94"/>
      <c r="AT77" s="94"/>
      <c r="AU77" s="94"/>
      <c r="AV77" s="94" t="s">
        <v>39</v>
      </c>
      <c r="AW77" s="94" t="s">
        <v>1442</v>
      </c>
      <c r="AX77" s="94"/>
      <c r="AY77" s="94" t="s">
        <v>39</v>
      </c>
      <c r="AZ77" s="94" t="s">
        <v>1223</v>
      </c>
      <c r="BA77" s="94" t="s">
        <v>39</v>
      </c>
      <c r="BB77" s="94" t="s">
        <v>39</v>
      </c>
      <c r="BC77" s="94" t="s">
        <v>39</v>
      </c>
      <c r="BD77" s="94" t="s">
        <v>39</v>
      </c>
      <c r="BE77" s="94" t="s">
        <v>1316</v>
      </c>
      <c r="BF77" s="94" t="s">
        <v>1315</v>
      </c>
      <c r="BG77" s="94" t="s">
        <v>782</v>
      </c>
      <c r="BH77" s="94" t="s">
        <v>39</v>
      </c>
      <c r="BI77" s="94" t="s">
        <v>39</v>
      </c>
      <c r="BJ77" s="94" t="s">
        <v>39</v>
      </c>
      <c r="BK77" s="94" t="s">
        <v>39</v>
      </c>
      <c r="BL77" s="94" t="s">
        <v>2172</v>
      </c>
      <c r="BM77" s="94" t="s">
        <v>39</v>
      </c>
      <c r="BN77" s="94" t="s">
        <v>39</v>
      </c>
      <c r="BO77" s="94"/>
      <c r="BR77" s="19"/>
      <c r="BS77" s="20"/>
      <c r="BT77" s="11"/>
      <c r="BU77" s="19"/>
      <c r="BV77" s="19"/>
      <c r="BW77" s="19"/>
    </row>
    <row r="78" spans="1:75" s="14" customFormat="1" ht="22.5" customHeight="1">
      <c r="A78" s="53" t="s">
        <v>96</v>
      </c>
      <c r="B78" s="48">
        <v>0.25</v>
      </c>
      <c r="C78" s="48" t="s">
        <v>39</v>
      </c>
      <c r="D78" s="48" t="s">
        <v>39</v>
      </c>
      <c r="E78" s="48" t="s">
        <v>39</v>
      </c>
      <c r="F78" s="48" t="s">
        <v>39</v>
      </c>
      <c r="G78" s="54" t="s">
        <v>39</v>
      </c>
      <c r="H78" s="123" t="s">
        <v>4163</v>
      </c>
      <c r="I78" s="54" t="s">
        <v>2691</v>
      </c>
      <c r="J78" s="48" t="s">
        <v>2759</v>
      </c>
      <c r="K78" s="48" t="s">
        <v>2759</v>
      </c>
      <c r="L78" s="54" t="s">
        <v>39</v>
      </c>
      <c r="M78" s="54" t="s">
        <v>39</v>
      </c>
      <c r="N78" s="48" t="s">
        <v>1415</v>
      </c>
      <c r="O78" s="54" t="s">
        <v>39</v>
      </c>
      <c r="P78" s="54" t="s">
        <v>39</v>
      </c>
      <c r="Q78" s="54" t="s">
        <v>39</v>
      </c>
      <c r="R78" s="54" t="s">
        <v>39</v>
      </c>
      <c r="S78" s="54" t="s">
        <v>39</v>
      </c>
      <c r="T78" s="48">
        <v>0.1</v>
      </c>
      <c r="U78" s="131" t="s">
        <v>4034</v>
      </c>
      <c r="V78" s="131" t="s">
        <v>4035</v>
      </c>
      <c r="W78" s="131" t="s">
        <v>4036</v>
      </c>
      <c r="X78" s="54" t="s">
        <v>39</v>
      </c>
      <c r="Y78" s="54" t="s">
        <v>39</v>
      </c>
      <c r="Z78" s="48">
        <v>0.1</v>
      </c>
      <c r="AA78" s="54" t="s">
        <v>3932</v>
      </c>
      <c r="AB78" s="48">
        <v>0.1</v>
      </c>
      <c r="AC78" s="54" t="s">
        <v>3652</v>
      </c>
      <c r="AD78" s="54" t="s">
        <v>39</v>
      </c>
      <c r="AE78" s="54" t="s">
        <v>39</v>
      </c>
      <c r="AF78" s="54" t="s">
        <v>39</v>
      </c>
      <c r="AG78" s="54" t="s">
        <v>39</v>
      </c>
      <c r="AH78" s="54" t="s">
        <v>39</v>
      </c>
      <c r="AI78" s="54" t="s">
        <v>39</v>
      </c>
      <c r="AJ78" s="54" t="s">
        <v>181</v>
      </c>
      <c r="AK78" s="54" t="s">
        <v>181</v>
      </c>
      <c r="AL78" s="73" t="s">
        <v>39</v>
      </c>
      <c r="AM78" s="54" t="s">
        <v>39</v>
      </c>
      <c r="AN78" s="54" t="s">
        <v>39</v>
      </c>
      <c r="AO78" s="54" t="s">
        <v>39</v>
      </c>
      <c r="AP78" s="54" t="s">
        <v>39</v>
      </c>
      <c r="AQ78" s="54" t="s">
        <v>39</v>
      </c>
      <c r="AR78" s="54" t="s">
        <v>39</v>
      </c>
      <c r="AS78" s="54" t="s">
        <v>39</v>
      </c>
      <c r="AT78" s="54" t="s">
        <v>39</v>
      </c>
      <c r="AU78" s="54" t="s">
        <v>39</v>
      </c>
      <c r="AV78" s="54" t="s">
        <v>39</v>
      </c>
      <c r="AW78" s="54" t="s">
        <v>39</v>
      </c>
      <c r="AX78" s="54" t="s">
        <v>39</v>
      </c>
      <c r="AY78" s="54" t="s">
        <v>39</v>
      </c>
      <c r="AZ78" s="48" t="s">
        <v>39</v>
      </c>
      <c r="BA78" s="48" t="s">
        <v>39</v>
      </c>
      <c r="BB78" s="48" t="s">
        <v>2759</v>
      </c>
      <c r="BC78" s="54" t="s">
        <v>39</v>
      </c>
      <c r="BD78" s="54" t="s">
        <v>39</v>
      </c>
      <c r="BE78" s="54" t="s">
        <v>39</v>
      </c>
      <c r="BF78" s="54" t="s">
        <v>39</v>
      </c>
      <c r="BG78" s="54" t="s">
        <v>39</v>
      </c>
      <c r="BH78" s="54" t="s">
        <v>39</v>
      </c>
      <c r="BI78" s="54" t="s">
        <v>39</v>
      </c>
      <c r="BJ78" s="54" t="s">
        <v>39</v>
      </c>
      <c r="BK78" s="54" t="s">
        <v>39</v>
      </c>
      <c r="BL78" s="54" t="s">
        <v>39</v>
      </c>
      <c r="BM78" s="54" t="s">
        <v>39</v>
      </c>
      <c r="BN78" s="54" t="s">
        <v>39</v>
      </c>
      <c r="BO78" s="48">
        <v>0.25</v>
      </c>
    </row>
    <row r="79" spans="1:75" s="2" customFormat="1" ht="11.25" customHeight="1">
      <c r="A79" s="95" t="s">
        <v>688</v>
      </c>
      <c r="B79" s="94"/>
      <c r="C79" s="94" t="s">
        <v>39</v>
      </c>
      <c r="D79" s="94" t="s">
        <v>39</v>
      </c>
      <c r="E79" s="94" t="s">
        <v>39</v>
      </c>
      <c r="F79" s="94" t="s">
        <v>39</v>
      </c>
      <c r="G79" s="94"/>
      <c r="H79" s="94" t="s">
        <v>4164</v>
      </c>
      <c r="I79" s="94" t="s">
        <v>2690</v>
      </c>
      <c r="J79" s="94" t="s">
        <v>2779</v>
      </c>
      <c r="K79" s="94" t="s">
        <v>1238</v>
      </c>
      <c r="L79" s="94" t="s">
        <v>39</v>
      </c>
      <c r="M79" s="94" t="s">
        <v>39</v>
      </c>
      <c r="N79" s="94" t="s">
        <v>1903</v>
      </c>
      <c r="O79" s="94" t="s">
        <v>39</v>
      </c>
      <c r="P79" s="94" t="s">
        <v>39</v>
      </c>
      <c r="Q79" s="94" t="s">
        <v>39</v>
      </c>
      <c r="R79" s="94" t="s">
        <v>39</v>
      </c>
      <c r="S79" s="94" t="s">
        <v>39</v>
      </c>
      <c r="T79" s="94" t="s">
        <v>3733</v>
      </c>
      <c r="U79" s="94" t="s">
        <v>4047</v>
      </c>
      <c r="V79" s="94" t="s">
        <v>4046</v>
      </c>
      <c r="W79" s="94" t="s">
        <v>4083</v>
      </c>
      <c r="X79" s="94" t="s">
        <v>39</v>
      </c>
      <c r="Y79" s="94" t="s">
        <v>39</v>
      </c>
      <c r="Z79" s="94" t="s">
        <v>3933</v>
      </c>
      <c r="AA79" s="94" t="s">
        <v>3934</v>
      </c>
      <c r="AB79" s="94" t="s">
        <v>4220</v>
      </c>
      <c r="AC79" s="94" t="s">
        <v>1226</v>
      </c>
      <c r="AD79" s="94" t="s">
        <v>39</v>
      </c>
      <c r="AE79" s="94" t="s">
        <v>39</v>
      </c>
      <c r="AF79" s="94" t="s">
        <v>39</v>
      </c>
      <c r="AG79" s="94" t="s">
        <v>39</v>
      </c>
      <c r="AH79" s="94" t="s">
        <v>39</v>
      </c>
      <c r="AI79" s="94"/>
      <c r="AJ79" s="94" t="s">
        <v>1284</v>
      </c>
      <c r="AK79" s="94" t="s">
        <v>1323</v>
      </c>
      <c r="AL79" s="94" t="s">
        <v>39</v>
      </c>
      <c r="AM79" s="94" t="s">
        <v>39</v>
      </c>
      <c r="AN79" s="94" t="s">
        <v>39</v>
      </c>
      <c r="AO79" s="94" t="s">
        <v>39</v>
      </c>
      <c r="AP79" s="94" t="s">
        <v>39</v>
      </c>
      <c r="AQ79" s="94" t="s">
        <v>39</v>
      </c>
      <c r="AR79" s="94" t="s">
        <v>39</v>
      </c>
      <c r="AS79" s="94"/>
      <c r="AT79" s="94"/>
      <c r="AU79" s="94"/>
      <c r="AV79" s="94" t="s">
        <v>39</v>
      </c>
      <c r="AW79" s="94" t="s">
        <v>39</v>
      </c>
      <c r="AX79" s="94"/>
      <c r="AY79" s="94" t="s">
        <v>39</v>
      </c>
      <c r="AZ79" s="94" t="s">
        <v>39</v>
      </c>
      <c r="BA79" s="94" t="s">
        <v>39</v>
      </c>
      <c r="BB79" s="94" t="s">
        <v>2866</v>
      </c>
      <c r="BC79" s="94" t="s">
        <v>39</v>
      </c>
      <c r="BD79" s="94" t="s">
        <v>39</v>
      </c>
      <c r="BE79" s="94" t="s">
        <v>39</v>
      </c>
      <c r="BF79" s="94" t="s">
        <v>39</v>
      </c>
      <c r="BG79" s="94" t="s">
        <v>39</v>
      </c>
      <c r="BH79" s="94" t="s">
        <v>39</v>
      </c>
      <c r="BI79" s="94" t="s">
        <v>39</v>
      </c>
      <c r="BJ79" s="94" t="s">
        <v>39</v>
      </c>
      <c r="BK79" s="94" t="s">
        <v>39</v>
      </c>
      <c r="BL79" s="94" t="s">
        <v>39</v>
      </c>
      <c r="BM79" s="94" t="s">
        <v>39</v>
      </c>
      <c r="BN79" s="94" t="s">
        <v>39</v>
      </c>
      <c r="BO79" s="94"/>
      <c r="BR79" s="19"/>
      <c r="BS79" s="20"/>
      <c r="BT79" s="11"/>
      <c r="BU79" s="19"/>
      <c r="BV79" s="19"/>
      <c r="BW79" s="19"/>
    </row>
    <row r="80" spans="1:75" s="117" customFormat="1" ht="22.5" customHeight="1">
      <c r="A80" s="53" t="s">
        <v>144</v>
      </c>
      <c r="B80" s="54" t="s">
        <v>39</v>
      </c>
      <c r="C80" s="48" t="s">
        <v>39</v>
      </c>
      <c r="D80" s="48" t="s">
        <v>39</v>
      </c>
      <c r="E80" s="48" t="s">
        <v>39</v>
      </c>
      <c r="F80" s="48" t="s">
        <v>39</v>
      </c>
      <c r="G80" s="54" t="s">
        <v>39</v>
      </c>
      <c r="H80" s="123" t="s">
        <v>39</v>
      </c>
      <c r="I80" s="54" t="s">
        <v>2691</v>
      </c>
      <c r="J80" s="48" t="s">
        <v>2759</v>
      </c>
      <c r="K80" s="48" t="s">
        <v>2759</v>
      </c>
      <c r="L80" s="54" t="s">
        <v>39</v>
      </c>
      <c r="M80" s="54" t="s">
        <v>39</v>
      </c>
      <c r="N80" s="48" t="s">
        <v>1415</v>
      </c>
      <c r="O80" s="54" t="s">
        <v>39</v>
      </c>
      <c r="P80" s="54" t="s">
        <v>39</v>
      </c>
      <c r="Q80" s="54" t="s">
        <v>39</v>
      </c>
      <c r="R80" s="54" t="s">
        <v>39</v>
      </c>
      <c r="S80" s="54" t="s">
        <v>39</v>
      </c>
      <c r="T80" s="54" t="s">
        <v>39</v>
      </c>
      <c r="U80" s="131" t="s">
        <v>4034</v>
      </c>
      <c r="V80" s="131" t="s">
        <v>4035</v>
      </c>
      <c r="W80" s="131" t="s">
        <v>4036</v>
      </c>
      <c r="X80" s="54" t="s">
        <v>39</v>
      </c>
      <c r="Y80" s="54" t="s">
        <v>39</v>
      </c>
      <c r="Z80" s="48">
        <v>0.1</v>
      </c>
      <c r="AA80" s="48">
        <v>0.1</v>
      </c>
      <c r="AB80" s="48">
        <v>0.1</v>
      </c>
      <c r="AC80" s="54" t="s">
        <v>39</v>
      </c>
      <c r="AD80" s="54" t="s">
        <v>39</v>
      </c>
      <c r="AE80" s="54" t="s">
        <v>39</v>
      </c>
      <c r="AF80" s="54" t="s">
        <v>39</v>
      </c>
      <c r="AG80" s="54" t="s">
        <v>39</v>
      </c>
      <c r="AH80" s="54" t="s">
        <v>39</v>
      </c>
      <c r="AI80" s="54" t="s">
        <v>39</v>
      </c>
      <c r="AJ80" s="54" t="s">
        <v>181</v>
      </c>
      <c r="AK80" s="54" t="s">
        <v>181</v>
      </c>
      <c r="AL80" s="73" t="s">
        <v>39</v>
      </c>
      <c r="AM80" s="54" t="s">
        <v>39</v>
      </c>
      <c r="AN80" s="54" t="s">
        <v>39</v>
      </c>
      <c r="AO80" s="54" t="s">
        <v>39</v>
      </c>
      <c r="AP80" s="54" t="s">
        <v>39</v>
      </c>
      <c r="AQ80" s="54" t="s">
        <v>39</v>
      </c>
      <c r="AR80" s="54" t="s">
        <v>39</v>
      </c>
      <c r="AS80" s="54" t="s">
        <v>39</v>
      </c>
      <c r="AT80" s="54" t="s">
        <v>39</v>
      </c>
      <c r="AU80" s="54" t="s">
        <v>39</v>
      </c>
      <c r="AV80" s="54" t="s">
        <v>39</v>
      </c>
      <c r="AW80" s="54" t="s">
        <v>39</v>
      </c>
      <c r="AX80" s="54" t="s">
        <v>39</v>
      </c>
      <c r="AY80" s="54" t="s">
        <v>39</v>
      </c>
      <c r="AZ80" s="54" t="s">
        <v>39</v>
      </c>
      <c r="BA80" s="48" t="s">
        <v>39</v>
      </c>
      <c r="BB80" s="48" t="s">
        <v>2759</v>
      </c>
      <c r="BC80" s="54" t="s">
        <v>39</v>
      </c>
      <c r="BD80" s="54" t="s">
        <v>39</v>
      </c>
      <c r="BE80" s="54" t="s">
        <v>39</v>
      </c>
      <c r="BF80" s="54" t="s">
        <v>39</v>
      </c>
      <c r="BG80" s="54" t="s">
        <v>39</v>
      </c>
      <c r="BH80" s="54" t="s">
        <v>39</v>
      </c>
      <c r="BI80" s="54" t="s">
        <v>39</v>
      </c>
      <c r="BJ80" s="54" t="s">
        <v>39</v>
      </c>
      <c r="BK80" s="54" t="s">
        <v>39</v>
      </c>
      <c r="BL80" s="54" t="s">
        <v>39</v>
      </c>
      <c r="BM80" s="54" t="s">
        <v>39</v>
      </c>
      <c r="BN80" s="54" t="s">
        <v>39</v>
      </c>
      <c r="BO80" s="48">
        <v>0.25</v>
      </c>
    </row>
    <row r="81" spans="1:75" s="2" customFormat="1" ht="11.25" customHeight="1">
      <c r="A81" s="95" t="s">
        <v>688</v>
      </c>
      <c r="B81" s="94"/>
      <c r="C81" s="94" t="s">
        <v>39</v>
      </c>
      <c r="D81" s="94" t="s">
        <v>39</v>
      </c>
      <c r="E81" s="94" t="s">
        <v>39</v>
      </c>
      <c r="F81" s="94" t="s">
        <v>39</v>
      </c>
      <c r="G81" s="94"/>
      <c r="H81" s="94" t="s">
        <v>39</v>
      </c>
      <c r="I81" s="94" t="s">
        <v>2690</v>
      </c>
      <c r="J81" s="94" t="s">
        <v>2779</v>
      </c>
      <c r="K81" s="94" t="s">
        <v>1238</v>
      </c>
      <c r="L81" s="94" t="s">
        <v>39</v>
      </c>
      <c r="M81" s="94" t="s">
        <v>39</v>
      </c>
      <c r="N81" s="94" t="s">
        <v>1903</v>
      </c>
      <c r="O81" s="94" t="s">
        <v>39</v>
      </c>
      <c r="P81" s="94" t="s">
        <v>39</v>
      </c>
      <c r="Q81" s="94" t="s">
        <v>39</v>
      </c>
      <c r="R81" s="94" t="s">
        <v>39</v>
      </c>
      <c r="S81" s="94" t="s">
        <v>39</v>
      </c>
      <c r="T81" s="94" t="s">
        <v>39</v>
      </c>
      <c r="U81" s="94" t="s">
        <v>4047</v>
      </c>
      <c r="V81" s="94" t="s">
        <v>4046</v>
      </c>
      <c r="W81" s="94" t="s">
        <v>4083</v>
      </c>
      <c r="X81" s="94" t="s">
        <v>39</v>
      </c>
      <c r="Y81" s="94" t="s">
        <v>39</v>
      </c>
      <c r="Z81" s="94" t="s">
        <v>3933</v>
      </c>
      <c r="AA81" s="94" t="s">
        <v>3935</v>
      </c>
      <c r="AB81" s="94" t="s">
        <v>4220</v>
      </c>
      <c r="AC81" s="94" t="s">
        <v>39</v>
      </c>
      <c r="AD81" s="94" t="s">
        <v>39</v>
      </c>
      <c r="AE81" s="94" t="s">
        <v>39</v>
      </c>
      <c r="AF81" s="94" t="s">
        <v>39</v>
      </c>
      <c r="AG81" s="94" t="s">
        <v>39</v>
      </c>
      <c r="AH81" s="94" t="s">
        <v>39</v>
      </c>
      <c r="AI81" s="94"/>
      <c r="AJ81" s="94" t="s">
        <v>1284</v>
      </c>
      <c r="AK81" s="94" t="s">
        <v>1323</v>
      </c>
      <c r="AL81" s="94" t="s">
        <v>39</v>
      </c>
      <c r="AM81" s="94" t="s">
        <v>39</v>
      </c>
      <c r="AN81" s="94" t="s">
        <v>39</v>
      </c>
      <c r="AO81" s="94" t="s">
        <v>39</v>
      </c>
      <c r="AP81" s="94" t="s">
        <v>39</v>
      </c>
      <c r="AQ81" s="94" t="s">
        <v>39</v>
      </c>
      <c r="AR81" s="94" t="s">
        <v>39</v>
      </c>
      <c r="AS81" s="94"/>
      <c r="AT81" s="94"/>
      <c r="AU81" s="94"/>
      <c r="AV81" s="94" t="s">
        <v>39</v>
      </c>
      <c r="AW81" s="94" t="s">
        <v>39</v>
      </c>
      <c r="AX81" s="94"/>
      <c r="AY81" s="94" t="s">
        <v>39</v>
      </c>
      <c r="AZ81" s="94" t="s">
        <v>39</v>
      </c>
      <c r="BA81" s="94" t="s">
        <v>39</v>
      </c>
      <c r="BB81" s="94" t="s">
        <v>2866</v>
      </c>
      <c r="BC81" s="94" t="s">
        <v>39</v>
      </c>
      <c r="BD81" s="94" t="s">
        <v>39</v>
      </c>
      <c r="BE81" s="94" t="s">
        <v>39</v>
      </c>
      <c r="BF81" s="94" t="s">
        <v>39</v>
      </c>
      <c r="BG81" s="94" t="s">
        <v>39</v>
      </c>
      <c r="BH81" s="94" t="s">
        <v>39</v>
      </c>
      <c r="BI81" s="94" t="s">
        <v>39</v>
      </c>
      <c r="BJ81" s="94" t="s">
        <v>39</v>
      </c>
      <c r="BK81" s="94" t="s">
        <v>39</v>
      </c>
      <c r="BL81" s="94" t="s">
        <v>39</v>
      </c>
      <c r="BM81" s="94" t="s">
        <v>39</v>
      </c>
      <c r="BN81" s="94" t="s">
        <v>39</v>
      </c>
      <c r="BO81" s="94"/>
      <c r="BR81" s="19"/>
      <c r="BS81" s="20"/>
      <c r="BT81" s="11"/>
      <c r="BU81" s="19"/>
      <c r="BV81" s="19"/>
      <c r="BW81" s="19"/>
    </row>
    <row r="82" spans="1:75" s="117" customFormat="1" ht="22.5" customHeight="1">
      <c r="A82" s="53" t="s">
        <v>143</v>
      </c>
      <c r="B82" s="54" t="s">
        <v>39</v>
      </c>
      <c r="C82" s="48" t="s">
        <v>39</v>
      </c>
      <c r="D82" s="48" t="s">
        <v>39</v>
      </c>
      <c r="E82" s="48" t="s">
        <v>39</v>
      </c>
      <c r="F82" s="48" t="s">
        <v>39</v>
      </c>
      <c r="G82" s="54" t="s">
        <v>39</v>
      </c>
      <c r="H82" s="123" t="s">
        <v>2630</v>
      </c>
      <c r="I82" s="54" t="s">
        <v>2691</v>
      </c>
      <c r="J82" s="54" t="s">
        <v>39</v>
      </c>
      <c r="K82" s="54" t="s">
        <v>39</v>
      </c>
      <c r="L82" s="54" t="s">
        <v>39</v>
      </c>
      <c r="M82" s="54" t="s">
        <v>39</v>
      </c>
      <c r="N82" s="48" t="s">
        <v>1415</v>
      </c>
      <c r="O82" s="54" t="s">
        <v>39</v>
      </c>
      <c r="P82" s="54" t="s">
        <v>39</v>
      </c>
      <c r="Q82" s="54" t="s">
        <v>39</v>
      </c>
      <c r="R82" s="54" t="s">
        <v>39</v>
      </c>
      <c r="S82" s="54" t="s">
        <v>39</v>
      </c>
      <c r="T82" s="54" t="s">
        <v>39</v>
      </c>
      <c r="U82" s="131" t="s">
        <v>4034</v>
      </c>
      <c r="V82" s="131" t="s">
        <v>4035</v>
      </c>
      <c r="W82" s="131" t="s">
        <v>4036</v>
      </c>
      <c r="X82" s="54" t="s">
        <v>39</v>
      </c>
      <c r="Y82" s="54" t="s">
        <v>39</v>
      </c>
      <c r="Z82" s="48">
        <v>0.1</v>
      </c>
      <c r="AA82" s="54" t="s">
        <v>3932</v>
      </c>
      <c r="AB82" s="48">
        <v>0.1</v>
      </c>
      <c r="AC82" s="54" t="s">
        <v>39</v>
      </c>
      <c r="AD82" s="54" t="s">
        <v>39</v>
      </c>
      <c r="AE82" s="54" t="s">
        <v>39</v>
      </c>
      <c r="AF82" s="54" t="s">
        <v>39</v>
      </c>
      <c r="AG82" s="54" t="s">
        <v>39</v>
      </c>
      <c r="AH82" s="54" t="s">
        <v>39</v>
      </c>
      <c r="AI82" s="54" t="s">
        <v>39</v>
      </c>
      <c r="AJ82" s="54" t="s">
        <v>39</v>
      </c>
      <c r="AK82" s="54" t="s">
        <v>39</v>
      </c>
      <c r="AL82" s="73" t="s">
        <v>39</v>
      </c>
      <c r="AM82" s="54" t="s">
        <v>39</v>
      </c>
      <c r="AN82" s="54" t="s">
        <v>39</v>
      </c>
      <c r="AO82" s="54" t="s">
        <v>39</v>
      </c>
      <c r="AP82" s="54" t="s">
        <v>39</v>
      </c>
      <c r="AQ82" s="54" t="s">
        <v>39</v>
      </c>
      <c r="AR82" s="54" t="s">
        <v>39</v>
      </c>
      <c r="AS82" s="54" t="s">
        <v>39</v>
      </c>
      <c r="AT82" s="54" t="s">
        <v>39</v>
      </c>
      <c r="AU82" s="54" t="s">
        <v>39</v>
      </c>
      <c r="AV82" s="54" t="s">
        <v>39</v>
      </c>
      <c r="AW82" s="54" t="s">
        <v>39</v>
      </c>
      <c r="AX82" s="54" t="s">
        <v>39</v>
      </c>
      <c r="AY82" s="54" t="s">
        <v>39</v>
      </c>
      <c r="AZ82" s="54" t="s">
        <v>39</v>
      </c>
      <c r="BA82" s="48" t="s">
        <v>39</v>
      </c>
      <c r="BB82" s="54" t="s">
        <v>39</v>
      </c>
      <c r="BC82" s="54" t="s">
        <v>39</v>
      </c>
      <c r="BD82" s="54" t="s">
        <v>39</v>
      </c>
      <c r="BE82" s="54" t="s">
        <v>39</v>
      </c>
      <c r="BF82" s="54" t="s">
        <v>39</v>
      </c>
      <c r="BG82" s="54" t="s">
        <v>39</v>
      </c>
      <c r="BH82" s="54" t="s">
        <v>39</v>
      </c>
      <c r="BI82" s="54" t="s">
        <v>39</v>
      </c>
      <c r="BJ82" s="54" t="s">
        <v>39</v>
      </c>
      <c r="BK82" s="54" t="s">
        <v>39</v>
      </c>
      <c r="BL82" s="54" t="s">
        <v>39</v>
      </c>
      <c r="BM82" s="54" t="s">
        <v>39</v>
      </c>
      <c r="BN82" s="54" t="s">
        <v>39</v>
      </c>
      <c r="BO82" s="48">
        <v>0.25</v>
      </c>
    </row>
    <row r="83" spans="1:75" s="2" customFormat="1" ht="11.25" customHeight="1">
      <c r="A83" s="95" t="s">
        <v>688</v>
      </c>
      <c r="B83" s="94"/>
      <c r="C83" s="94" t="s">
        <v>39</v>
      </c>
      <c r="D83" s="94" t="s">
        <v>39</v>
      </c>
      <c r="E83" s="94" t="s">
        <v>39</v>
      </c>
      <c r="F83" s="94" t="s">
        <v>39</v>
      </c>
      <c r="G83" s="94"/>
      <c r="H83" s="94" t="s">
        <v>2670</v>
      </c>
      <c r="I83" s="94" t="s">
        <v>2690</v>
      </c>
      <c r="J83" s="94" t="s">
        <v>39</v>
      </c>
      <c r="K83" s="94" t="s">
        <v>39</v>
      </c>
      <c r="L83" s="94" t="s">
        <v>39</v>
      </c>
      <c r="M83" s="94" t="s">
        <v>39</v>
      </c>
      <c r="N83" s="94" t="s">
        <v>1903</v>
      </c>
      <c r="O83" s="94" t="s">
        <v>39</v>
      </c>
      <c r="P83" s="94" t="s">
        <v>39</v>
      </c>
      <c r="Q83" s="94" t="s">
        <v>39</v>
      </c>
      <c r="R83" s="94" t="s">
        <v>39</v>
      </c>
      <c r="S83" s="94" t="s">
        <v>39</v>
      </c>
      <c r="T83" s="94" t="s">
        <v>39</v>
      </c>
      <c r="U83" s="94" t="s">
        <v>4047</v>
      </c>
      <c r="V83" s="94" t="s">
        <v>4046</v>
      </c>
      <c r="W83" s="94" t="s">
        <v>4083</v>
      </c>
      <c r="X83" s="94" t="s">
        <v>39</v>
      </c>
      <c r="Y83" s="94" t="s">
        <v>39</v>
      </c>
      <c r="Z83" s="94" t="s">
        <v>3933</v>
      </c>
      <c r="AA83" s="94" t="s">
        <v>3934</v>
      </c>
      <c r="AB83" s="94" t="s">
        <v>4220</v>
      </c>
      <c r="AC83" s="94" t="s">
        <v>39</v>
      </c>
      <c r="AD83" s="94" t="s">
        <v>39</v>
      </c>
      <c r="AE83" s="94" t="s">
        <v>39</v>
      </c>
      <c r="AF83" s="94" t="s">
        <v>39</v>
      </c>
      <c r="AG83" s="94" t="s">
        <v>39</v>
      </c>
      <c r="AH83" s="94" t="s">
        <v>39</v>
      </c>
      <c r="AI83" s="94"/>
      <c r="AJ83" s="94" t="s">
        <v>39</v>
      </c>
      <c r="AK83" s="94" t="s">
        <v>39</v>
      </c>
      <c r="AL83" s="94" t="s">
        <v>39</v>
      </c>
      <c r="AM83" s="94" t="s">
        <v>39</v>
      </c>
      <c r="AN83" s="94" t="s">
        <v>39</v>
      </c>
      <c r="AO83" s="94" t="s">
        <v>39</v>
      </c>
      <c r="AP83" s="94" t="s">
        <v>39</v>
      </c>
      <c r="AQ83" s="94" t="s">
        <v>39</v>
      </c>
      <c r="AR83" s="94" t="s">
        <v>39</v>
      </c>
      <c r="AS83" s="94"/>
      <c r="AT83" s="94"/>
      <c r="AU83" s="94"/>
      <c r="AV83" s="94" t="s">
        <v>39</v>
      </c>
      <c r="AW83" s="94" t="s">
        <v>39</v>
      </c>
      <c r="AX83" s="94"/>
      <c r="AY83" s="94" t="s">
        <v>39</v>
      </c>
      <c r="AZ83" s="94" t="s">
        <v>39</v>
      </c>
      <c r="BA83" s="94" t="s">
        <v>39</v>
      </c>
      <c r="BB83" s="94" t="s">
        <v>39</v>
      </c>
      <c r="BC83" s="94" t="s">
        <v>39</v>
      </c>
      <c r="BD83" s="94" t="s">
        <v>39</v>
      </c>
      <c r="BE83" s="94" t="s">
        <v>39</v>
      </c>
      <c r="BF83" s="94" t="s">
        <v>39</v>
      </c>
      <c r="BG83" s="94" t="s">
        <v>39</v>
      </c>
      <c r="BH83" s="94" t="s">
        <v>39</v>
      </c>
      <c r="BI83" s="94" t="s">
        <v>39</v>
      </c>
      <c r="BJ83" s="94" t="s">
        <v>39</v>
      </c>
      <c r="BK83" s="94" t="s">
        <v>39</v>
      </c>
      <c r="BL83" s="94" t="s">
        <v>39</v>
      </c>
      <c r="BM83" s="94" t="s">
        <v>39</v>
      </c>
      <c r="BN83" s="94" t="s">
        <v>39</v>
      </c>
      <c r="BO83" s="94"/>
      <c r="BR83" s="19"/>
      <c r="BS83" s="20"/>
      <c r="BT83" s="11"/>
      <c r="BU83" s="19"/>
      <c r="BV83" s="19"/>
      <c r="BW83" s="19"/>
    </row>
    <row r="84" spans="1:75" s="117" customFormat="1" ht="27" customHeight="1">
      <c r="A84" s="53" t="s">
        <v>182</v>
      </c>
      <c r="B84" s="54" t="s">
        <v>39</v>
      </c>
      <c r="C84" s="48" t="s">
        <v>39</v>
      </c>
      <c r="D84" s="48" t="s">
        <v>39</v>
      </c>
      <c r="E84" s="48" t="s">
        <v>39</v>
      </c>
      <c r="F84" s="48" t="s">
        <v>39</v>
      </c>
      <c r="G84" s="54" t="s">
        <v>39</v>
      </c>
      <c r="H84" s="123" t="s">
        <v>4159</v>
      </c>
      <c r="I84" s="54" t="s">
        <v>39</v>
      </c>
      <c r="J84" s="54" t="s">
        <v>39</v>
      </c>
      <c r="K84" s="54" t="s">
        <v>39</v>
      </c>
      <c r="L84" s="54" t="s">
        <v>39</v>
      </c>
      <c r="M84" s="54" t="s">
        <v>39</v>
      </c>
      <c r="N84" s="54" t="s">
        <v>39</v>
      </c>
      <c r="O84" s="54" t="s">
        <v>673</v>
      </c>
      <c r="P84" s="54" t="s">
        <v>39</v>
      </c>
      <c r="Q84" s="54" t="s">
        <v>39</v>
      </c>
      <c r="R84" s="54" t="s">
        <v>39</v>
      </c>
      <c r="S84" s="54" t="s">
        <v>39</v>
      </c>
      <c r="T84" s="48" t="s">
        <v>3734</v>
      </c>
      <c r="U84" s="123" t="s">
        <v>39</v>
      </c>
      <c r="V84" s="123" t="s">
        <v>39</v>
      </c>
      <c r="W84" s="123" t="s">
        <v>39</v>
      </c>
      <c r="X84" s="54" t="s">
        <v>39</v>
      </c>
      <c r="Y84" s="48" t="s">
        <v>39</v>
      </c>
      <c r="Z84" s="48" t="s">
        <v>39</v>
      </c>
      <c r="AA84" s="48" t="s">
        <v>39</v>
      </c>
      <c r="AB84" s="48" t="s">
        <v>4209</v>
      </c>
      <c r="AC84" s="54" t="s">
        <v>39</v>
      </c>
      <c r="AD84" s="54" t="s">
        <v>39</v>
      </c>
      <c r="AE84" s="54" t="s">
        <v>39</v>
      </c>
      <c r="AF84" s="54" t="s">
        <v>39</v>
      </c>
      <c r="AG84" s="54" t="s">
        <v>39</v>
      </c>
      <c r="AH84" s="54" t="s">
        <v>39</v>
      </c>
      <c r="AI84" s="54" t="s">
        <v>39</v>
      </c>
      <c r="AJ84" s="54" t="s">
        <v>183</v>
      </c>
      <c r="AK84" s="54" t="s">
        <v>183</v>
      </c>
      <c r="AL84" s="73" t="s">
        <v>39</v>
      </c>
      <c r="AM84" s="54" t="s">
        <v>39</v>
      </c>
      <c r="AN84" s="54" t="s">
        <v>39</v>
      </c>
      <c r="AO84" s="54" t="s">
        <v>39</v>
      </c>
      <c r="AP84" s="54" t="s">
        <v>39</v>
      </c>
      <c r="AQ84" s="54" t="s">
        <v>39</v>
      </c>
      <c r="AR84" s="54" t="s">
        <v>39</v>
      </c>
      <c r="AS84" s="54" t="s">
        <v>39</v>
      </c>
      <c r="AT84" s="54" t="s">
        <v>441</v>
      </c>
      <c r="AU84" s="54" t="s">
        <v>525</v>
      </c>
      <c r="AV84" s="54" t="s">
        <v>39</v>
      </c>
      <c r="AW84" s="54" t="s">
        <v>39</v>
      </c>
      <c r="AX84" s="54" t="s">
        <v>39</v>
      </c>
      <c r="AY84" s="54" t="s">
        <v>39</v>
      </c>
      <c r="AZ84" s="54" t="s">
        <v>39</v>
      </c>
      <c r="BA84" s="48" t="s">
        <v>39</v>
      </c>
      <c r="BB84" s="54" t="s">
        <v>39</v>
      </c>
      <c r="BC84" s="54" t="s">
        <v>39</v>
      </c>
      <c r="BD84" s="54" t="s">
        <v>39</v>
      </c>
      <c r="BE84" s="54" t="s">
        <v>39</v>
      </c>
      <c r="BF84" s="54" t="s">
        <v>39</v>
      </c>
      <c r="BG84" s="54" t="s">
        <v>39</v>
      </c>
      <c r="BH84" s="54" t="s">
        <v>39</v>
      </c>
      <c r="BI84" s="54" t="s">
        <v>39</v>
      </c>
      <c r="BJ84" s="54" t="s">
        <v>39</v>
      </c>
      <c r="BK84" s="54" t="s">
        <v>39</v>
      </c>
      <c r="BL84" s="54" t="s">
        <v>39</v>
      </c>
      <c r="BM84" s="54" t="s">
        <v>39</v>
      </c>
      <c r="BN84" s="54" t="s">
        <v>39</v>
      </c>
      <c r="BO84" s="75" t="s">
        <v>441</v>
      </c>
    </row>
    <row r="85" spans="1:75" s="2" customFormat="1" ht="11.25" customHeight="1">
      <c r="A85" s="95" t="s">
        <v>688</v>
      </c>
      <c r="B85" s="94"/>
      <c r="C85" s="94" t="s">
        <v>39</v>
      </c>
      <c r="D85" s="94" t="s">
        <v>39</v>
      </c>
      <c r="E85" s="94" t="s">
        <v>39</v>
      </c>
      <c r="F85" s="94" t="s">
        <v>39</v>
      </c>
      <c r="G85" s="94"/>
      <c r="H85" s="94" t="s">
        <v>4158</v>
      </c>
      <c r="I85" s="94" t="s">
        <v>39</v>
      </c>
      <c r="J85" s="94" t="s">
        <v>39</v>
      </c>
      <c r="K85" s="94" t="s">
        <v>39</v>
      </c>
      <c r="L85" s="94" t="s">
        <v>39</v>
      </c>
      <c r="M85" s="94" t="s">
        <v>39</v>
      </c>
      <c r="N85" s="94" t="s">
        <v>39</v>
      </c>
      <c r="O85" s="94" t="s">
        <v>2808</v>
      </c>
      <c r="P85" s="94" t="s">
        <v>39</v>
      </c>
      <c r="Q85" s="94" t="s">
        <v>39</v>
      </c>
      <c r="R85" s="94" t="s">
        <v>39</v>
      </c>
      <c r="S85" s="94" t="s">
        <v>39</v>
      </c>
      <c r="T85" s="94" t="s">
        <v>3733</v>
      </c>
      <c r="U85" s="94" t="s">
        <v>39</v>
      </c>
      <c r="V85" s="94" t="s">
        <v>39</v>
      </c>
      <c r="W85" s="94" t="s">
        <v>39</v>
      </c>
      <c r="X85" s="94" t="s">
        <v>39</v>
      </c>
      <c r="Y85" s="94" t="s">
        <v>39</v>
      </c>
      <c r="Z85" s="94" t="s">
        <v>39</v>
      </c>
      <c r="AA85" s="94" t="s">
        <v>39</v>
      </c>
      <c r="AB85" s="94"/>
      <c r="AC85" s="94" t="s">
        <v>39</v>
      </c>
      <c r="AD85" s="94" t="s">
        <v>39</v>
      </c>
      <c r="AE85" s="94" t="s">
        <v>39</v>
      </c>
      <c r="AF85" s="94" t="s">
        <v>39</v>
      </c>
      <c r="AG85" s="94" t="s">
        <v>39</v>
      </c>
      <c r="AH85" s="94" t="s">
        <v>39</v>
      </c>
      <c r="AI85" s="94"/>
      <c r="AJ85" s="94" t="s">
        <v>2547</v>
      </c>
      <c r="AK85" s="94" t="s">
        <v>1325</v>
      </c>
      <c r="AL85" s="94" t="s">
        <v>39</v>
      </c>
      <c r="AM85" s="94" t="s">
        <v>39</v>
      </c>
      <c r="AN85" s="94" t="s">
        <v>39</v>
      </c>
      <c r="AO85" s="94" t="s">
        <v>39</v>
      </c>
      <c r="AP85" s="94" t="s">
        <v>39</v>
      </c>
      <c r="AQ85" s="94" t="s">
        <v>39</v>
      </c>
      <c r="AR85" s="94" t="s">
        <v>39</v>
      </c>
      <c r="AS85" s="94"/>
      <c r="AT85" s="94"/>
      <c r="AU85" s="94"/>
      <c r="AV85" s="94" t="s">
        <v>39</v>
      </c>
      <c r="AW85" s="94" t="s">
        <v>39</v>
      </c>
      <c r="AX85" s="94"/>
      <c r="AY85" s="94" t="s">
        <v>39</v>
      </c>
      <c r="AZ85" s="94" t="s">
        <v>39</v>
      </c>
      <c r="BA85" s="94" t="s">
        <v>39</v>
      </c>
      <c r="BB85" s="94" t="s">
        <v>39</v>
      </c>
      <c r="BC85" s="94" t="s">
        <v>39</v>
      </c>
      <c r="BD85" s="94" t="s">
        <v>39</v>
      </c>
      <c r="BE85" s="94" t="s">
        <v>39</v>
      </c>
      <c r="BF85" s="94" t="s">
        <v>39</v>
      </c>
      <c r="BG85" s="94" t="s">
        <v>39</v>
      </c>
      <c r="BH85" s="94" t="s">
        <v>39</v>
      </c>
      <c r="BI85" s="94" t="s">
        <v>39</v>
      </c>
      <c r="BJ85" s="94" t="s">
        <v>39</v>
      </c>
      <c r="BK85" s="94" t="s">
        <v>39</v>
      </c>
      <c r="BL85" s="94" t="s">
        <v>39</v>
      </c>
      <c r="BM85" s="94" t="s">
        <v>39</v>
      </c>
      <c r="BN85" s="94" t="s">
        <v>39</v>
      </c>
      <c r="BO85" s="94"/>
      <c r="BR85" s="19"/>
      <c r="BS85" s="20"/>
      <c r="BT85" s="11"/>
      <c r="BU85" s="19"/>
      <c r="BV85" s="19"/>
      <c r="BW85" s="19"/>
    </row>
    <row r="86" spans="1:75" s="14" customFormat="1" ht="22.5" customHeight="1">
      <c r="A86" s="53" t="s">
        <v>141</v>
      </c>
      <c r="B86" s="54" t="s">
        <v>277</v>
      </c>
      <c r="C86" s="54" t="s">
        <v>2760</v>
      </c>
      <c r="D86" s="54" t="s">
        <v>2760</v>
      </c>
      <c r="E86" s="54" t="s">
        <v>1967</v>
      </c>
      <c r="F86" s="54" t="s">
        <v>1967</v>
      </c>
      <c r="G86" s="54" t="s">
        <v>357</v>
      </c>
      <c r="H86" s="123" t="s">
        <v>2093</v>
      </c>
      <c r="I86" s="54" t="s">
        <v>39</v>
      </c>
      <c r="J86" s="54" t="s">
        <v>2760</v>
      </c>
      <c r="K86" s="54" t="s">
        <v>2760</v>
      </c>
      <c r="L86" s="54" t="s">
        <v>39</v>
      </c>
      <c r="M86" s="54" t="s">
        <v>39</v>
      </c>
      <c r="N86" s="54" t="s">
        <v>39</v>
      </c>
      <c r="O86" s="54" t="s">
        <v>672</v>
      </c>
      <c r="P86" s="54" t="s">
        <v>39</v>
      </c>
      <c r="Q86" s="54" t="s">
        <v>39</v>
      </c>
      <c r="R86" s="54" t="s">
        <v>39</v>
      </c>
      <c r="S86" s="54" t="s">
        <v>39</v>
      </c>
      <c r="T86" s="54" t="s">
        <v>39</v>
      </c>
      <c r="U86" s="123" t="s">
        <v>39</v>
      </c>
      <c r="V86" s="123" t="s">
        <v>4033</v>
      </c>
      <c r="W86" s="123" t="s">
        <v>4033</v>
      </c>
      <c r="X86" s="54" t="s">
        <v>2952</v>
      </c>
      <c r="Y86" s="54" t="s">
        <v>39</v>
      </c>
      <c r="Z86" s="54" t="s">
        <v>3936</v>
      </c>
      <c r="AA86" s="54" t="s">
        <v>3937</v>
      </c>
      <c r="AB86" s="54" t="s">
        <v>4211</v>
      </c>
      <c r="AC86" s="54" t="s">
        <v>3692</v>
      </c>
      <c r="AD86" s="54" t="s">
        <v>39</v>
      </c>
      <c r="AE86" s="54" t="s">
        <v>731</v>
      </c>
      <c r="AF86" s="54" t="s">
        <v>731</v>
      </c>
      <c r="AG86" s="54" t="s">
        <v>731</v>
      </c>
      <c r="AH86" s="54" t="s">
        <v>39</v>
      </c>
      <c r="AI86" s="54" t="s">
        <v>39</v>
      </c>
      <c r="AJ86" s="54" t="s">
        <v>2543</v>
      </c>
      <c r="AK86" s="54" t="s">
        <v>2494</v>
      </c>
      <c r="AL86" s="73" t="s">
        <v>39</v>
      </c>
      <c r="AM86" s="54" t="s">
        <v>479</v>
      </c>
      <c r="AN86" s="54" t="s">
        <v>480</v>
      </c>
      <c r="AO86" s="54" t="s">
        <v>3578</v>
      </c>
      <c r="AP86" s="54" t="s">
        <v>3442</v>
      </c>
      <c r="AQ86" s="54" t="s">
        <v>3430</v>
      </c>
      <c r="AR86" s="54" t="s">
        <v>3442</v>
      </c>
      <c r="AS86" s="54" t="s">
        <v>39</v>
      </c>
      <c r="AT86" s="54" t="s">
        <v>39</v>
      </c>
      <c r="AU86" s="54" t="s">
        <v>39</v>
      </c>
      <c r="AV86" s="54" t="s">
        <v>39</v>
      </c>
      <c r="AW86" s="54" t="s">
        <v>1478</v>
      </c>
      <c r="AX86" s="54" t="s">
        <v>39</v>
      </c>
      <c r="AY86" s="54" t="s">
        <v>39</v>
      </c>
      <c r="AZ86" s="54" t="s">
        <v>39</v>
      </c>
      <c r="BA86" s="48" t="s">
        <v>39</v>
      </c>
      <c r="BB86" s="54" t="s">
        <v>2760</v>
      </c>
      <c r="BC86" s="54" t="s">
        <v>399</v>
      </c>
      <c r="BD86" s="54" t="s">
        <v>399</v>
      </c>
      <c r="BE86" s="54" t="s">
        <v>1356</v>
      </c>
      <c r="BF86" s="54" t="s">
        <v>1279</v>
      </c>
      <c r="BG86" s="54" t="s">
        <v>39</v>
      </c>
      <c r="BH86" s="54" t="s">
        <v>3246</v>
      </c>
      <c r="BI86" s="54" t="s">
        <v>3246</v>
      </c>
      <c r="BJ86" s="54" t="s">
        <v>192</v>
      </c>
      <c r="BK86" s="54" t="s">
        <v>192</v>
      </c>
      <c r="BL86" s="54" t="s">
        <v>2194</v>
      </c>
      <c r="BM86" s="54" t="s">
        <v>39</v>
      </c>
      <c r="BN86" s="54" t="s">
        <v>39</v>
      </c>
      <c r="BO86" s="54" t="s">
        <v>39</v>
      </c>
    </row>
    <row r="87" spans="1:75" s="2" customFormat="1" ht="11.25" customHeight="1">
      <c r="A87" s="95" t="s">
        <v>688</v>
      </c>
      <c r="B87" s="94"/>
      <c r="C87" s="94" t="s">
        <v>3175</v>
      </c>
      <c r="D87" s="94" t="s">
        <v>3169</v>
      </c>
      <c r="E87" s="94" t="s">
        <v>1943</v>
      </c>
      <c r="F87" s="94" t="s">
        <v>1966</v>
      </c>
      <c r="G87" s="94"/>
      <c r="H87" s="94" t="s">
        <v>2671</v>
      </c>
      <c r="I87" s="94" t="s">
        <v>39</v>
      </c>
      <c r="J87" s="94" t="s">
        <v>2752</v>
      </c>
      <c r="K87" s="94" t="s">
        <v>1242</v>
      </c>
      <c r="L87" s="94" t="s">
        <v>39</v>
      </c>
      <c r="M87" s="94" t="s">
        <v>39</v>
      </c>
      <c r="N87" s="94" t="s">
        <v>39</v>
      </c>
      <c r="O87" s="94" t="s">
        <v>2804</v>
      </c>
      <c r="P87" s="94" t="s">
        <v>39</v>
      </c>
      <c r="Q87" s="94" t="s">
        <v>39</v>
      </c>
      <c r="R87" s="94" t="s">
        <v>39</v>
      </c>
      <c r="S87" s="94" t="s">
        <v>39</v>
      </c>
      <c r="T87" s="94" t="s">
        <v>39</v>
      </c>
      <c r="U87" s="94" t="s">
        <v>39</v>
      </c>
      <c r="V87" s="94" t="s">
        <v>4039</v>
      </c>
      <c r="W87" s="94" t="s">
        <v>4039</v>
      </c>
      <c r="X87" s="94" t="s">
        <v>828</v>
      </c>
      <c r="Y87" s="94" t="s">
        <v>39</v>
      </c>
      <c r="Z87" s="94" t="s">
        <v>3938</v>
      </c>
      <c r="AA87" s="94" t="s">
        <v>3939</v>
      </c>
      <c r="AB87" s="94" t="s">
        <v>4212</v>
      </c>
      <c r="AC87" s="94" t="s">
        <v>1238</v>
      </c>
      <c r="AD87" s="94" t="s">
        <v>39</v>
      </c>
      <c r="AE87" s="94" t="s">
        <v>2404</v>
      </c>
      <c r="AF87" s="94" t="s">
        <v>2360</v>
      </c>
      <c r="AG87" s="94" t="s">
        <v>2296</v>
      </c>
      <c r="AH87" s="94" t="s">
        <v>39</v>
      </c>
      <c r="AI87" s="94"/>
      <c r="AJ87" s="94" t="s">
        <v>2541</v>
      </c>
      <c r="AK87" s="94" t="s">
        <v>1326</v>
      </c>
      <c r="AL87" s="94" t="s">
        <v>39</v>
      </c>
      <c r="AM87" s="94" t="s">
        <v>3341</v>
      </c>
      <c r="AN87" s="94" t="s">
        <v>3300</v>
      </c>
      <c r="AO87" s="94" t="s">
        <v>3577</v>
      </c>
      <c r="AP87" s="94" t="s">
        <v>3613</v>
      </c>
      <c r="AQ87" s="94" t="s">
        <v>3519</v>
      </c>
      <c r="AR87" s="94" t="s">
        <v>3612</v>
      </c>
      <c r="AS87" s="94"/>
      <c r="AT87" s="94"/>
      <c r="AU87" s="94"/>
      <c r="AV87" s="94" t="s">
        <v>39</v>
      </c>
      <c r="AW87" s="94" t="s">
        <v>1477</v>
      </c>
      <c r="AX87" s="94"/>
      <c r="AY87" s="94" t="s">
        <v>39</v>
      </c>
      <c r="AZ87" s="94" t="s">
        <v>39</v>
      </c>
      <c r="BA87" s="94" t="s">
        <v>39</v>
      </c>
      <c r="BB87" s="94" t="s">
        <v>2867</v>
      </c>
      <c r="BC87" s="94" t="s">
        <v>856</v>
      </c>
      <c r="BD87" s="94" t="s">
        <v>856</v>
      </c>
      <c r="BE87" s="94" t="s">
        <v>1278</v>
      </c>
      <c r="BF87" s="94" t="s">
        <v>1278</v>
      </c>
      <c r="BG87" s="94" t="s">
        <v>39</v>
      </c>
      <c r="BH87" s="94" t="s">
        <v>3244</v>
      </c>
      <c r="BI87" s="94" t="s">
        <v>3245</v>
      </c>
      <c r="BJ87" s="94" t="s">
        <v>2134</v>
      </c>
      <c r="BK87" s="94" t="s">
        <v>2134</v>
      </c>
      <c r="BL87" s="94" t="s">
        <v>2200</v>
      </c>
      <c r="BM87" s="94" t="s">
        <v>39</v>
      </c>
      <c r="BN87" s="94" t="s">
        <v>39</v>
      </c>
      <c r="BO87" s="94"/>
      <c r="BR87" s="19"/>
      <c r="BS87" s="20"/>
      <c r="BT87" s="11"/>
      <c r="BU87" s="19"/>
      <c r="BV87" s="19"/>
      <c r="BW87" s="19"/>
    </row>
    <row r="88" spans="1:75" s="117" customFormat="1" ht="22.5" customHeight="1">
      <c r="A88" s="53" t="s">
        <v>142</v>
      </c>
      <c r="B88" s="54" t="s">
        <v>39</v>
      </c>
      <c r="C88" s="48" t="s">
        <v>39</v>
      </c>
      <c r="D88" s="48" t="s">
        <v>39</v>
      </c>
      <c r="E88" s="54" t="s">
        <v>1941</v>
      </c>
      <c r="F88" s="54" t="s">
        <v>1941</v>
      </c>
      <c r="G88" s="54" t="s">
        <v>39</v>
      </c>
      <c r="H88" s="123" t="s">
        <v>2092</v>
      </c>
      <c r="I88" s="54" t="s">
        <v>2703</v>
      </c>
      <c r="J88" s="54" t="s">
        <v>39</v>
      </c>
      <c r="K88" s="54" t="s">
        <v>39</v>
      </c>
      <c r="L88" s="54" t="s">
        <v>39</v>
      </c>
      <c r="M88" s="54" t="s">
        <v>39</v>
      </c>
      <c r="N88" s="54" t="s">
        <v>39</v>
      </c>
      <c r="O88" s="54" t="s">
        <v>672</v>
      </c>
      <c r="P88" s="54" t="s">
        <v>39</v>
      </c>
      <c r="Q88" s="54" t="s">
        <v>39</v>
      </c>
      <c r="R88" s="54" t="s">
        <v>39</v>
      </c>
      <c r="S88" s="54" t="s">
        <v>39</v>
      </c>
      <c r="T88" s="54" t="s">
        <v>39</v>
      </c>
      <c r="U88" s="123" t="s">
        <v>39</v>
      </c>
      <c r="V88" s="123" t="s">
        <v>39</v>
      </c>
      <c r="W88" s="123" t="s">
        <v>39</v>
      </c>
      <c r="X88" s="54" t="s">
        <v>39</v>
      </c>
      <c r="Y88" s="54" t="s">
        <v>39</v>
      </c>
      <c r="Z88" s="54" t="s">
        <v>39</v>
      </c>
      <c r="AA88" s="54" t="s">
        <v>39</v>
      </c>
      <c r="AB88" s="54" t="s">
        <v>4209</v>
      </c>
      <c r="AC88" s="54" t="s">
        <v>39</v>
      </c>
      <c r="AD88" s="54" t="s">
        <v>39</v>
      </c>
      <c r="AE88" s="54" t="s">
        <v>39</v>
      </c>
      <c r="AF88" s="54" t="s">
        <v>39</v>
      </c>
      <c r="AG88" s="54" t="s">
        <v>39</v>
      </c>
      <c r="AH88" s="54" t="s">
        <v>39</v>
      </c>
      <c r="AI88" s="54" t="s">
        <v>39</v>
      </c>
      <c r="AJ88" s="54" t="s">
        <v>2496</v>
      </c>
      <c r="AK88" s="54" t="s">
        <v>2496</v>
      </c>
      <c r="AL88" s="73" t="s">
        <v>39</v>
      </c>
      <c r="AM88" s="54" t="s">
        <v>39</v>
      </c>
      <c r="AN88" s="54" t="s">
        <v>39</v>
      </c>
      <c r="AO88" s="54" t="s">
        <v>39</v>
      </c>
      <c r="AP88" s="54" t="s">
        <v>39</v>
      </c>
      <c r="AQ88" s="54" t="s">
        <v>39</v>
      </c>
      <c r="AR88" s="54" t="s">
        <v>39</v>
      </c>
      <c r="AS88" s="54" t="s">
        <v>39</v>
      </c>
      <c r="AT88" s="54" t="s">
        <v>39</v>
      </c>
      <c r="AU88" s="54" t="s">
        <v>39</v>
      </c>
      <c r="AV88" s="54" t="s">
        <v>39</v>
      </c>
      <c r="AW88" s="54" t="s">
        <v>39</v>
      </c>
      <c r="AX88" s="54" t="s">
        <v>39</v>
      </c>
      <c r="AY88" s="54" t="s">
        <v>2908</v>
      </c>
      <c r="AZ88" s="54" t="s">
        <v>39</v>
      </c>
      <c r="BA88" s="48" t="s">
        <v>39</v>
      </c>
      <c r="BB88" s="54" t="s">
        <v>39</v>
      </c>
      <c r="BC88" s="54" t="s">
        <v>39</v>
      </c>
      <c r="BD88" s="54" t="s">
        <v>39</v>
      </c>
      <c r="BE88" s="54" t="s">
        <v>39</v>
      </c>
      <c r="BF88" s="54" t="s">
        <v>39</v>
      </c>
      <c r="BG88" s="54" t="s">
        <v>39</v>
      </c>
      <c r="BH88" s="54" t="s">
        <v>39</v>
      </c>
      <c r="BI88" s="54" t="s">
        <v>39</v>
      </c>
      <c r="BJ88" s="54" t="s">
        <v>39</v>
      </c>
      <c r="BK88" s="54" t="s">
        <v>39</v>
      </c>
      <c r="BL88" s="54" t="s">
        <v>2232</v>
      </c>
      <c r="BM88" s="54" t="s">
        <v>1635</v>
      </c>
      <c r="BN88" s="54" t="s">
        <v>1635</v>
      </c>
      <c r="BO88" s="54" t="s">
        <v>39</v>
      </c>
    </row>
    <row r="89" spans="1:75" s="2" customFormat="1" ht="11.25" customHeight="1">
      <c r="A89" s="95" t="s">
        <v>688</v>
      </c>
      <c r="B89" s="94"/>
      <c r="C89" s="94" t="s">
        <v>39</v>
      </c>
      <c r="D89" s="94" t="s">
        <v>39</v>
      </c>
      <c r="E89" s="94" t="s">
        <v>1942</v>
      </c>
      <c r="F89" s="94" t="s">
        <v>1965</v>
      </c>
      <c r="G89" s="94"/>
      <c r="H89" s="94" t="s">
        <v>2671</v>
      </c>
      <c r="I89" s="94" t="s">
        <v>2704</v>
      </c>
      <c r="J89" s="94" t="s">
        <v>39</v>
      </c>
      <c r="K89" s="94" t="s">
        <v>39</v>
      </c>
      <c r="L89" s="94" t="s">
        <v>39</v>
      </c>
      <c r="M89" s="94" t="s">
        <v>39</v>
      </c>
      <c r="N89" s="94" t="s">
        <v>39</v>
      </c>
      <c r="O89" s="94" t="s">
        <v>2804</v>
      </c>
      <c r="P89" s="94" t="s">
        <v>39</v>
      </c>
      <c r="Q89" s="94" t="s">
        <v>39</v>
      </c>
      <c r="R89" s="94" t="s">
        <v>39</v>
      </c>
      <c r="S89" s="94" t="s">
        <v>39</v>
      </c>
      <c r="T89" s="94" t="s">
        <v>39</v>
      </c>
      <c r="U89" s="94" t="s">
        <v>39</v>
      </c>
      <c r="V89" s="94" t="s">
        <v>39</v>
      </c>
      <c r="W89" s="94" t="s">
        <v>39</v>
      </c>
      <c r="X89" s="94" t="s">
        <v>39</v>
      </c>
      <c r="Y89" s="94" t="s">
        <v>39</v>
      </c>
      <c r="Z89" s="94" t="s">
        <v>39</v>
      </c>
      <c r="AA89" s="94" t="s">
        <v>39</v>
      </c>
      <c r="AB89" s="94"/>
      <c r="AC89" s="94" t="s">
        <v>39</v>
      </c>
      <c r="AD89" s="94" t="s">
        <v>39</v>
      </c>
      <c r="AE89" s="94" t="s">
        <v>39</v>
      </c>
      <c r="AF89" s="94" t="s">
        <v>39</v>
      </c>
      <c r="AG89" s="94" t="s">
        <v>39</v>
      </c>
      <c r="AH89" s="94" t="s">
        <v>39</v>
      </c>
      <c r="AI89" s="94"/>
      <c r="AJ89" s="94" t="s">
        <v>2542</v>
      </c>
      <c r="AK89" s="94" t="s">
        <v>2495</v>
      </c>
      <c r="AL89" s="94" t="s">
        <v>39</v>
      </c>
      <c r="AM89" s="94" t="s">
        <v>39</v>
      </c>
      <c r="AN89" s="94" t="s">
        <v>39</v>
      </c>
      <c r="AO89" s="94" t="s">
        <v>39</v>
      </c>
      <c r="AP89" s="94" t="s">
        <v>39</v>
      </c>
      <c r="AQ89" s="94" t="s">
        <v>39</v>
      </c>
      <c r="AR89" s="94" t="s">
        <v>39</v>
      </c>
      <c r="AS89" s="94"/>
      <c r="AT89" s="94"/>
      <c r="AU89" s="94"/>
      <c r="AV89" s="94" t="s">
        <v>39</v>
      </c>
      <c r="AW89" s="94" t="s">
        <v>39</v>
      </c>
      <c r="AX89" s="94"/>
      <c r="AY89" s="94" t="s">
        <v>2909</v>
      </c>
      <c r="AZ89" s="94" t="s">
        <v>39</v>
      </c>
      <c r="BA89" s="94" t="s">
        <v>39</v>
      </c>
      <c r="BB89" s="94" t="s">
        <v>39</v>
      </c>
      <c r="BC89" s="94" t="s">
        <v>39</v>
      </c>
      <c r="BD89" s="94" t="s">
        <v>39</v>
      </c>
      <c r="BE89" s="94" t="s">
        <v>39</v>
      </c>
      <c r="BF89" s="94" t="s">
        <v>39</v>
      </c>
      <c r="BG89" s="94" t="s">
        <v>39</v>
      </c>
      <c r="BH89" s="94" t="s">
        <v>39</v>
      </c>
      <c r="BI89" s="94" t="s">
        <v>39</v>
      </c>
      <c r="BJ89" s="94" t="s">
        <v>39</v>
      </c>
      <c r="BK89" s="94" t="s">
        <v>39</v>
      </c>
      <c r="BL89" s="94" t="s">
        <v>2231</v>
      </c>
      <c r="BM89" s="94" t="s">
        <v>1634</v>
      </c>
      <c r="BN89" s="94" t="s">
        <v>1634</v>
      </c>
      <c r="BO89" s="94"/>
      <c r="BR89" s="19"/>
      <c r="BS89" s="20"/>
      <c r="BT89" s="11"/>
      <c r="BU89" s="19"/>
      <c r="BV89" s="19"/>
      <c r="BW89" s="19"/>
    </row>
    <row r="90" spans="1:75" s="14" customFormat="1" ht="22.5" customHeight="1">
      <c r="A90" s="53" t="s">
        <v>95</v>
      </c>
      <c r="B90" s="54" t="s">
        <v>39</v>
      </c>
      <c r="C90" s="48" t="s">
        <v>39</v>
      </c>
      <c r="D90" s="48" t="s">
        <v>39</v>
      </c>
      <c r="E90" s="54" t="s">
        <v>1941</v>
      </c>
      <c r="F90" s="54" t="s">
        <v>1941</v>
      </c>
      <c r="G90" s="54" t="s">
        <v>3648</v>
      </c>
      <c r="H90" s="123" t="s">
        <v>2092</v>
      </c>
      <c r="I90" s="54" t="s">
        <v>2706</v>
      </c>
      <c r="J90" s="54" t="s">
        <v>39</v>
      </c>
      <c r="K90" s="54" t="s">
        <v>39</v>
      </c>
      <c r="L90" s="54" t="s">
        <v>39</v>
      </c>
      <c r="M90" s="54" t="s">
        <v>39</v>
      </c>
      <c r="N90" s="54" t="s">
        <v>39</v>
      </c>
      <c r="O90" s="54" t="s">
        <v>672</v>
      </c>
      <c r="P90" s="54" t="s">
        <v>39</v>
      </c>
      <c r="Q90" s="54" t="s">
        <v>39</v>
      </c>
      <c r="R90" s="54" t="s">
        <v>39</v>
      </c>
      <c r="S90" s="54" t="s">
        <v>39</v>
      </c>
      <c r="T90" s="54" t="s">
        <v>3726</v>
      </c>
      <c r="U90" s="123" t="s">
        <v>39</v>
      </c>
      <c r="V90" s="123" t="s">
        <v>39</v>
      </c>
      <c r="W90" s="123" t="s">
        <v>39</v>
      </c>
      <c r="X90" s="54" t="s">
        <v>687</v>
      </c>
      <c r="Y90" s="54" t="s">
        <v>39</v>
      </c>
      <c r="Z90" s="54" t="s">
        <v>39</v>
      </c>
      <c r="AA90" s="54" t="s">
        <v>39</v>
      </c>
      <c r="AB90" s="54" t="s">
        <v>4209</v>
      </c>
      <c r="AC90" s="54" t="s">
        <v>3693</v>
      </c>
      <c r="AD90" s="54" t="s">
        <v>39</v>
      </c>
      <c r="AE90" s="54" t="s">
        <v>687</v>
      </c>
      <c r="AF90" s="54" t="s">
        <v>687</v>
      </c>
      <c r="AG90" s="54" t="s">
        <v>687</v>
      </c>
      <c r="AH90" s="54" t="s">
        <v>39</v>
      </c>
      <c r="AI90" s="54" t="s">
        <v>39</v>
      </c>
      <c r="AJ90" s="54" t="s">
        <v>2496</v>
      </c>
      <c r="AK90" s="54" t="s">
        <v>2496</v>
      </c>
      <c r="AL90" s="73" t="s">
        <v>39</v>
      </c>
      <c r="AM90" s="54" t="s">
        <v>39</v>
      </c>
      <c r="AN90" s="54" t="s">
        <v>39</v>
      </c>
      <c r="AO90" s="54" t="s">
        <v>39</v>
      </c>
      <c r="AP90" s="54" t="s">
        <v>39</v>
      </c>
      <c r="AQ90" s="54" t="s">
        <v>39</v>
      </c>
      <c r="AR90" s="54" t="s">
        <v>39</v>
      </c>
      <c r="AS90" s="54" t="s">
        <v>39</v>
      </c>
      <c r="AT90" s="54" t="s">
        <v>39</v>
      </c>
      <c r="AU90" s="54" t="s">
        <v>39</v>
      </c>
      <c r="AV90" s="54" t="s">
        <v>39</v>
      </c>
      <c r="AW90" s="54" t="s">
        <v>39</v>
      </c>
      <c r="AX90" s="54" t="s">
        <v>39</v>
      </c>
      <c r="AY90" s="54" t="s">
        <v>39</v>
      </c>
      <c r="AZ90" s="54" t="s">
        <v>39</v>
      </c>
      <c r="BA90" s="54" t="s">
        <v>2595</v>
      </c>
      <c r="BB90" s="54" t="s">
        <v>39</v>
      </c>
      <c r="BC90" s="54" t="s">
        <v>39</v>
      </c>
      <c r="BD90" s="54" t="s">
        <v>39</v>
      </c>
      <c r="BE90" s="54" t="s">
        <v>39</v>
      </c>
      <c r="BF90" s="54" t="s">
        <v>39</v>
      </c>
      <c r="BG90" s="54" t="s">
        <v>2974</v>
      </c>
      <c r="BH90" s="54" t="s">
        <v>39</v>
      </c>
      <c r="BI90" s="54" t="s">
        <v>39</v>
      </c>
      <c r="BJ90" s="54" t="s">
        <v>39</v>
      </c>
      <c r="BK90" s="54" t="s">
        <v>39</v>
      </c>
      <c r="BL90" s="54" t="s">
        <v>39</v>
      </c>
      <c r="BM90" s="54" t="s">
        <v>926</v>
      </c>
      <c r="BN90" s="54" t="s">
        <v>926</v>
      </c>
      <c r="BO90" s="54" t="s">
        <v>437</v>
      </c>
    </row>
    <row r="91" spans="1:75" s="2" customFormat="1" ht="11.25" customHeight="1">
      <c r="A91" s="95" t="s">
        <v>688</v>
      </c>
      <c r="B91" s="94"/>
      <c r="C91" s="94" t="s">
        <v>39</v>
      </c>
      <c r="D91" s="94" t="s">
        <v>39</v>
      </c>
      <c r="E91" s="94" t="s">
        <v>1942</v>
      </c>
      <c r="F91" s="94" t="s">
        <v>1942</v>
      </c>
      <c r="G91" s="94"/>
      <c r="H91" s="94" t="s">
        <v>2671</v>
      </c>
      <c r="I91" s="94" t="s">
        <v>2705</v>
      </c>
      <c r="J91" s="94" t="s">
        <v>39</v>
      </c>
      <c r="K91" s="94" t="s">
        <v>39</v>
      </c>
      <c r="L91" s="94" t="s">
        <v>39</v>
      </c>
      <c r="M91" s="94" t="s">
        <v>39</v>
      </c>
      <c r="N91" s="94" t="s">
        <v>39</v>
      </c>
      <c r="O91" s="94" t="s">
        <v>2804</v>
      </c>
      <c r="P91" s="94" t="s">
        <v>39</v>
      </c>
      <c r="Q91" s="94" t="s">
        <v>39</v>
      </c>
      <c r="R91" s="94" t="s">
        <v>39</v>
      </c>
      <c r="S91" s="94" t="s">
        <v>39</v>
      </c>
      <c r="T91" s="94" t="s">
        <v>3723</v>
      </c>
      <c r="U91" s="94" t="s">
        <v>39</v>
      </c>
      <c r="V91" s="94" t="s">
        <v>39</v>
      </c>
      <c r="W91" s="94" t="s">
        <v>39</v>
      </c>
      <c r="X91" s="94" t="s">
        <v>2957</v>
      </c>
      <c r="Y91" s="94" t="s">
        <v>39</v>
      </c>
      <c r="Z91" s="94" t="s">
        <v>39</v>
      </c>
      <c r="AA91" s="94" t="s">
        <v>39</v>
      </c>
      <c r="AB91" s="94"/>
      <c r="AC91" s="94" t="s">
        <v>1238</v>
      </c>
      <c r="AD91" s="94" t="s">
        <v>39</v>
      </c>
      <c r="AE91" s="94" t="s">
        <v>2445</v>
      </c>
      <c r="AF91" s="94" t="s">
        <v>2443</v>
      </c>
      <c r="AG91" s="94" t="s">
        <v>2444</v>
      </c>
      <c r="AH91" s="94" t="s">
        <v>39</v>
      </c>
      <c r="AI91" s="94"/>
      <c r="AJ91" s="94" t="s">
        <v>2544</v>
      </c>
      <c r="AK91" s="94" t="s">
        <v>2498</v>
      </c>
      <c r="AL91" s="94" t="s">
        <v>39</v>
      </c>
      <c r="AM91" s="94" t="s">
        <v>39</v>
      </c>
      <c r="AN91" s="94" t="s">
        <v>39</v>
      </c>
      <c r="AO91" s="94" t="s">
        <v>39</v>
      </c>
      <c r="AP91" s="94" t="s">
        <v>39</v>
      </c>
      <c r="AQ91" s="94" t="s">
        <v>39</v>
      </c>
      <c r="AR91" s="94" t="s">
        <v>39</v>
      </c>
      <c r="AS91" s="94"/>
      <c r="AT91" s="94"/>
      <c r="AU91" s="94"/>
      <c r="AV91" s="94" t="s">
        <v>39</v>
      </c>
      <c r="AW91" s="94" t="s">
        <v>39</v>
      </c>
      <c r="AX91" s="94"/>
      <c r="AY91" s="94" t="s">
        <v>39</v>
      </c>
      <c r="AZ91" s="94" t="s">
        <v>39</v>
      </c>
      <c r="BA91" s="94" t="s">
        <v>2614</v>
      </c>
      <c r="BB91" s="94" t="s">
        <v>39</v>
      </c>
      <c r="BC91" s="94" t="s">
        <v>39</v>
      </c>
      <c r="BD91" s="94" t="s">
        <v>39</v>
      </c>
      <c r="BE91" s="94" t="s">
        <v>39</v>
      </c>
      <c r="BF91" s="94" t="s">
        <v>39</v>
      </c>
      <c r="BG91" s="94" t="s">
        <v>2975</v>
      </c>
      <c r="BH91" s="94" t="s">
        <v>39</v>
      </c>
      <c r="BI91" s="94" t="s">
        <v>39</v>
      </c>
      <c r="BJ91" s="94" t="s">
        <v>39</v>
      </c>
      <c r="BK91" s="94" t="s">
        <v>39</v>
      </c>
      <c r="BL91" s="94" t="s">
        <v>39</v>
      </c>
      <c r="BM91" s="94" t="s">
        <v>1630</v>
      </c>
      <c r="BN91" s="94" t="s">
        <v>1630</v>
      </c>
      <c r="BO91" s="94"/>
      <c r="BR91" s="19"/>
      <c r="BS91" s="20"/>
      <c r="BT91" s="11"/>
      <c r="BU91" s="19"/>
      <c r="BV91" s="19"/>
      <c r="BW91" s="19"/>
    </row>
    <row r="92" spans="1:75" s="14" customFormat="1" ht="22.5" customHeight="1">
      <c r="A92" s="53" t="s">
        <v>145</v>
      </c>
      <c r="B92" s="54" t="s">
        <v>39</v>
      </c>
      <c r="C92" s="54" t="s">
        <v>41</v>
      </c>
      <c r="D92" s="54" t="s">
        <v>41</v>
      </c>
      <c r="E92" s="54" t="s">
        <v>41</v>
      </c>
      <c r="F92" s="54" t="s">
        <v>41</v>
      </c>
      <c r="G92" s="54" t="s">
        <v>41</v>
      </c>
      <c r="H92" s="123" t="s">
        <v>2672</v>
      </c>
      <c r="I92" s="54" t="s">
        <v>3036</v>
      </c>
      <c r="J92" s="54" t="s">
        <v>39</v>
      </c>
      <c r="K92" s="54" t="s">
        <v>39</v>
      </c>
      <c r="L92" s="54" t="s">
        <v>39</v>
      </c>
      <c r="M92" s="54" t="s">
        <v>39</v>
      </c>
      <c r="N92" s="54" t="s">
        <v>39</v>
      </c>
      <c r="O92" s="54" t="s">
        <v>2827</v>
      </c>
      <c r="P92" s="54" t="s">
        <v>2827</v>
      </c>
      <c r="Q92" s="54" t="s">
        <v>39</v>
      </c>
      <c r="R92" s="54" t="s">
        <v>39</v>
      </c>
      <c r="S92" s="54" t="s">
        <v>39</v>
      </c>
      <c r="T92" s="54" t="s">
        <v>39</v>
      </c>
      <c r="U92" s="123" t="s">
        <v>39</v>
      </c>
      <c r="V92" s="123" t="s">
        <v>41</v>
      </c>
      <c r="W92" s="123" t="s">
        <v>41</v>
      </c>
      <c r="X92" s="54" t="s">
        <v>41</v>
      </c>
      <c r="Y92" s="54" t="s">
        <v>39</v>
      </c>
      <c r="Z92" s="54" t="s">
        <v>39</v>
      </c>
      <c r="AA92" s="54" t="s">
        <v>41</v>
      </c>
      <c r="AB92" s="54" t="s">
        <v>4209</v>
      </c>
      <c r="AC92" s="54" t="s">
        <v>41</v>
      </c>
      <c r="AD92" s="54" t="s">
        <v>39</v>
      </c>
      <c r="AE92" s="54" t="s">
        <v>39</v>
      </c>
      <c r="AF92" s="54" t="s">
        <v>41</v>
      </c>
      <c r="AG92" s="54" t="s">
        <v>41</v>
      </c>
      <c r="AH92" s="54" t="s">
        <v>39</v>
      </c>
      <c r="AI92" s="54" t="s">
        <v>39</v>
      </c>
      <c r="AJ92" s="54" t="s">
        <v>41</v>
      </c>
      <c r="AK92" s="54" t="s">
        <v>41</v>
      </c>
      <c r="AL92" s="73" t="s">
        <v>39</v>
      </c>
      <c r="AM92" s="54" t="s">
        <v>39</v>
      </c>
      <c r="AN92" s="54" t="s">
        <v>41</v>
      </c>
      <c r="AO92" s="54" t="s">
        <v>41</v>
      </c>
      <c r="AP92" s="54" t="s">
        <v>41</v>
      </c>
      <c r="AQ92" s="54" t="s">
        <v>41</v>
      </c>
      <c r="AR92" s="54" t="s">
        <v>41</v>
      </c>
      <c r="AS92" s="54" t="s">
        <v>39</v>
      </c>
      <c r="AT92" s="54" t="s">
        <v>39</v>
      </c>
      <c r="AU92" s="54" t="s">
        <v>39</v>
      </c>
      <c r="AV92" s="54" t="s">
        <v>1490</v>
      </c>
      <c r="AW92" s="54" t="s">
        <v>41</v>
      </c>
      <c r="AX92" s="54" t="s">
        <v>41</v>
      </c>
      <c r="AY92" s="54" t="s">
        <v>39</v>
      </c>
      <c r="AZ92" s="54" t="s">
        <v>39</v>
      </c>
      <c r="BA92" s="48" t="s">
        <v>39</v>
      </c>
      <c r="BB92" s="54" t="s">
        <v>39</v>
      </c>
      <c r="BC92" s="54" t="s">
        <v>39</v>
      </c>
      <c r="BD92" s="54" t="s">
        <v>39</v>
      </c>
      <c r="BE92" s="54" t="s">
        <v>41</v>
      </c>
      <c r="BF92" s="54" t="s">
        <v>41</v>
      </c>
      <c r="BG92" s="54" t="s">
        <v>39</v>
      </c>
      <c r="BH92" s="54" t="s">
        <v>3253</v>
      </c>
      <c r="BI92" s="54" t="s">
        <v>41</v>
      </c>
      <c r="BJ92" s="54" t="s">
        <v>41</v>
      </c>
      <c r="BK92" s="54" t="s">
        <v>41</v>
      </c>
      <c r="BL92" s="54" t="s">
        <v>41</v>
      </c>
      <c r="BM92" s="54" t="s">
        <v>39</v>
      </c>
      <c r="BN92" s="54" t="s">
        <v>39</v>
      </c>
      <c r="BO92" s="54" t="s">
        <v>41</v>
      </c>
    </row>
    <row r="93" spans="1:75" s="2" customFormat="1" ht="11.25" customHeight="1">
      <c r="A93" s="95" t="s">
        <v>688</v>
      </c>
      <c r="B93" s="94"/>
      <c r="C93" s="94" t="s">
        <v>3185</v>
      </c>
      <c r="D93" s="94" t="s">
        <v>3185</v>
      </c>
      <c r="E93" s="94" t="s">
        <v>1932</v>
      </c>
      <c r="F93" s="94" t="s">
        <v>1958</v>
      </c>
      <c r="G93" s="94"/>
      <c r="H93" s="94" t="s">
        <v>2649</v>
      </c>
      <c r="I93" s="94" t="s">
        <v>3035</v>
      </c>
      <c r="J93" s="94" t="s">
        <v>39</v>
      </c>
      <c r="K93" s="94" t="s">
        <v>39</v>
      </c>
      <c r="L93" s="94" t="s">
        <v>39</v>
      </c>
      <c r="M93" s="94" t="s">
        <v>39</v>
      </c>
      <c r="N93" s="94" t="s">
        <v>39</v>
      </c>
      <c r="O93" s="94" t="s">
        <v>2813</v>
      </c>
      <c r="P93" s="94" t="s">
        <v>1278</v>
      </c>
      <c r="Q93" s="94" t="s">
        <v>39</v>
      </c>
      <c r="R93" s="94" t="s">
        <v>39</v>
      </c>
      <c r="S93" s="94" t="s">
        <v>1391</v>
      </c>
      <c r="T93" s="94" t="s">
        <v>39</v>
      </c>
      <c r="U93" s="94" t="s">
        <v>4043</v>
      </c>
      <c r="V93" s="94" t="s">
        <v>4042</v>
      </c>
      <c r="W93" s="94" t="s">
        <v>4042</v>
      </c>
      <c r="X93" s="94" t="s">
        <v>803</v>
      </c>
      <c r="Y93" s="94" t="s">
        <v>39</v>
      </c>
      <c r="Z93" s="94" t="s">
        <v>39</v>
      </c>
      <c r="AA93" s="94" t="s">
        <v>3853</v>
      </c>
      <c r="AB93" s="94"/>
      <c r="AC93" s="94" t="s">
        <v>3694</v>
      </c>
      <c r="AD93" s="94" t="s">
        <v>39</v>
      </c>
      <c r="AE93" s="94" t="s">
        <v>39</v>
      </c>
      <c r="AF93" s="94" t="s">
        <v>2442</v>
      </c>
      <c r="AG93" s="94" t="s">
        <v>2441</v>
      </c>
      <c r="AH93" s="94" t="s">
        <v>39</v>
      </c>
      <c r="AI93" s="94"/>
      <c r="AJ93" s="94" t="s">
        <v>2555</v>
      </c>
      <c r="AK93" s="94" t="s">
        <v>2554</v>
      </c>
      <c r="AL93" s="94" t="s">
        <v>39</v>
      </c>
      <c r="AM93" s="94" t="s">
        <v>39</v>
      </c>
      <c r="AN93" s="94" t="s">
        <v>3284</v>
      </c>
      <c r="AO93" s="94" t="s">
        <v>3493</v>
      </c>
      <c r="AP93" s="94" t="s">
        <v>3493</v>
      </c>
      <c r="AQ93" s="94" t="s">
        <v>3493</v>
      </c>
      <c r="AR93" s="94" t="s">
        <v>3493</v>
      </c>
      <c r="AS93" s="94"/>
      <c r="AT93" s="94"/>
      <c r="AU93" s="94"/>
      <c r="AV93" s="94" t="s">
        <v>1431</v>
      </c>
      <c r="AW93" s="94" t="s">
        <v>1439</v>
      </c>
      <c r="AX93" s="94"/>
      <c r="AY93" s="94" t="s">
        <v>39</v>
      </c>
      <c r="AZ93" s="94" t="s">
        <v>39</v>
      </c>
      <c r="BA93" s="94" t="s">
        <v>39</v>
      </c>
      <c r="BB93" s="94" t="s">
        <v>39</v>
      </c>
      <c r="BC93" s="94" t="s">
        <v>39</v>
      </c>
      <c r="BD93" s="94" t="s">
        <v>39</v>
      </c>
      <c r="BE93" s="94" t="s">
        <v>1302</v>
      </c>
      <c r="BF93" s="94" t="s">
        <v>1361</v>
      </c>
      <c r="BG93" s="94" t="s">
        <v>39</v>
      </c>
      <c r="BH93" s="94" t="s">
        <v>3197</v>
      </c>
      <c r="BI93" s="94" t="s">
        <v>3196</v>
      </c>
      <c r="BJ93" s="94" t="s">
        <v>2136</v>
      </c>
      <c r="BK93" s="94" t="s">
        <v>2136</v>
      </c>
      <c r="BL93" s="94" t="s">
        <v>2235</v>
      </c>
      <c r="BM93" s="94" t="s">
        <v>39</v>
      </c>
      <c r="BN93" s="94" t="s">
        <v>39</v>
      </c>
      <c r="BO93" s="94"/>
      <c r="BR93" s="19"/>
      <c r="BS93" s="20"/>
      <c r="BT93" s="11"/>
      <c r="BU93" s="19"/>
      <c r="BV93" s="19"/>
      <c r="BW93" s="19"/>
    </row>
    <row r="94" spans="1:75" s="117" customFormat="1" ht="22.5" customHeight="1">
      <c r="A94" s="53" t="s">
        <v>146</v>
      </c>
      <c r="B94" s="54" t="s">
        <v>41</v>
      </c>
      <c r="C94" s="54" t="s">
        <v>41</v>
      </c>
      <c r="D94" s="54" t="s">
        <v>41</v>
      </c>
      <c r="E94" s="54" t="s">
        <v>41</v>
      </c>
      <c r="F94" s="54" t="s">
        <v>41</v>
      </c>
      <c r="G94" s="54" t="s">
        <v>41</v>
      </c>
      <c r="H94" s="123" t="s">
        <v>41</v>
      </c>
      <c r="I94" s="54" t="s">
        <v>41</v>
      </c>
      <c r="J94" s="54" t="s">
        <v>41</v>
      </c>
      <c r="K94" s="54" t="s">
        <v>41</v>
      </c>
      <c r="L94" s="54" t="s">
        <v>41</v>
      </c>
      <c r="M94" s="54" t="s">
        <v>41</v>
      </c>
      <c r="N94" s="54" t="s">
        <v>41</v>
      </c>
      <c r="O94" s="54" t="s">
        <v>41</v>
      </c>
      <c r="P94" s="54" t="s">
        <v>41</v>
      </c>
      <c r="Q94" s="54" t="s">
        <v>41</v>
      </c>
      <c r="R94" s="54" t="s">
        <v>41</v>
      </c>
      <c r="S94" s="54" t="s">
        <v>41</v>
      </c>
      <c r="T94" s="54" t="s">
        <v>41</v>
      </c>
      <c r="U94" s="123" t="s">
        <v>41</v>
      </c>
      <c r="V94" s="123" t="s">
        <v>41</v>
      </c>
      <c r="W94" s="123" t="s">
        <v>41</v>
      </c>
      <c r="X94" s="54" t="s">
        <v>41</v>
      </c>
      <c r="Y94" s="54" t="s">
        <v>41</v>
      </c>
      <c r="Z94" s="54" t="s">
        <v>3940</v>
      </c>
      <c r="AA94" s="54" t="s">
        <v>3940</v>
      </c>
      <c r="AB94" s="54" t="s">
        <v>4209</v>
      </c>
      <c r="AC94" s="54" t="s">
        <v>41</v>
      </c>
      <c r="AD94" s="54" t="s">
        <v>41</v>
      </c>
      <c r="AE94" s="54" t="s">
        <v>41</v>
      </c>
      <c r="AF94" s="54" t="s">
        <v>41</v>
      </c>
      <c r="AG94" s="54" t="s">
        <v>41</v>
      </c>
      <c r="AH94" s="54" t="s">
        <v>41</v>
      </c>
      <c r="AI94" s="54" t="s">
        <v>41</v>
      </c>
      <c r="AJ94" s="54" t="s">
        <v>41</v>
      </c>
      <c r="AK94" s="54" t="s">
        <v>41</v>
      </c>
      <c r="AL94" s="54" t="s">
        <v>41</v>
      </c>
      <c r="AM94" s="54" t="s">
        <v>41</v>
      </c>
      <c r="AN94" s="54" t="s">
        <v>41</v>
      </c>
      <c r="AO94" s="54" t="s">
        <v>41</v>
      </c>
      <c r="AP94" s="54" t="s">
        <v>41</v>
      </c>
      <c r="AQ94" s="54" t="s">
        <v>41</v>
      </c>
      <c r="AR94" s="54" t="s">
        <v>41</v>
      </c>
      <c r="AS94" s="54" t="s">
        <v>39</v>
      </c>
      <c r="AT94" s="54" t="s">
        <v>41</v>
      </c>
      <c r="AU94" s="54" t="s">
        <v>41</v>
      </c>
      <c r="AV94" s="54" t="s">
        <v>41</v>
      </c>
      <c r="AW94" s="54" t="s">
        <v>41</v>
      </c>
      <c r="AX94" s="54" t="s">
        <v>41</v>
      </c>
      <c r="AY94" s="54" t="s">
        <v>41</v>
      </c>
      <c r="AZ94" s="54" t="s">
        <v>41</v>
      </c>
      <c r="BA94" s="54" t="s">
        <v>41</v>
      </c>
      <c r="BB94" s="54" t="s">
        <v>41</v>
      </c>
      <c r="BC94" s="54" t="s">
        <v>41</v>
      </c>
      <c r="BD94" s="54" t="s">
        <v>41</v>
      </c>
      <c r="BE94" s="54" t="s">
        <v>41</v>
      </c>
      <c r="BF94" s="54" t="s">
        <v>41</v>
      </c>
      <c r="BG94" s="54" t="s">
        <v>41</v>
      </c>
      <c r="BH94" s="54" t="s">
        <v>41</v>
      </c>
      <c r="BI94" s="54" t="s">
        <v>41</v>
      </c>
      <c r="BJ94" s="54" t="s">
        <v>41</v>
      </c>
      <c r="BK94" s="54" t="s">
        <v>41</v>
      </c>
      <c r="BL94" s="54" t="s">
        <v>41</v>
      </c>
      <c r="BM94" s="54" t="s">
        <v>41</v>
      </c>
      <c r="BN94" s="54" t="s">
        <v>41</v>
      </c>
      <c r="BO94" s="54" t="s">
        <v>449</v>
      </c>
    </row>
    <row r="95" spans="1:75" s="2" customFormat="1" ht="11.25" customHeight="1">
      <c r="A95" s="95" t="s">
        <v>688</v>
      </c>
      <c r="B95" s="94" t="s">
        <v>1168</v>
      </c>
      <c r="C95" s="94" t="s">
        <v>1168</v>
      </c>
      <c r="D95" s="94" t="s">
        <v>1168</v>
      </c>
      <c r="E95" s="94" t="s">
        <v>1986</v>
      </c>
      <c r="F95" s="94" t="s">
        <v>1986</v>
      </c>
      <c r="G95" s="94" t="s">
        <v>1168</v>
      </c>
      <c r="H95" s="94" t="s">
        <v>2673</v>
      </c>
      <c r="I95" s="94" t="s">
        <v>1168</v>
      </c>
      <c r="J95" s="94" t="s">
        <v>1168</v>
      </c>
      <c r="K95" s="94" t="s">
        <v>1168</v>
      </c>
      <c r="L95" s="94" t="s">
        <v>1168</v>
      </c>
      <c r="M95" s="94" t="s">
        <v>1168</v>
      </c>
      <c r="N95" s="94" t="s">
        <v>1168</v>
      </c>
      <c r="O95" s="94" t="s">
        <v>1168</v>
      </c>
      <c r="P95" s="94" t="s">
        <v>1168</v>
      </c>
      <c r="Q95" s="94" t="s">
        <v>1168</v>
      </c>
      <c r="R95" s="94" t="s">
        <v>1168</v>
      </c>
      <c r="S95" s="94" t="s">
        <v>1168</v>
      </c>
      <c r="T95" s="94" t="s">
        <v>1168</v>
      </c>
      <c r="U95" s="94" t="s">
        <v>1168</v>
      </c>
      <c r="V95" s="94" t="s">
        <v>1168</v>
      </c>
      <c r="W95" s="94" t="s">
        <v>1168</v>
      </c>
      <c r="X95" s="94" t="s">
        <v>1168</v>
      </c>
      <c r="Y95" s="94" t="s">
        <v>1168</v>
      </c>
      <c r="Z95" s="94" t="s">
        <v>3941</v>
      </c>
      <c r="AA95" s="94" t="s">
        <v>3942</v>
      </c>
      <c r="AB95" s="94"/>
      <c r="AC95" s="94" t="s">
        <v>3383</v>
      </c>
      <c r="AD95" s="94" t="s">
        <v>1168</v>
      </c>
      <c r="AE95" s="94" t="s">
        <v>1168</v>
      </c>
      <c r="AF95" s="94" t="s">
        <v>2358</v>
      </c>
      <c r="AG95" s="94" t="s">
        <v>2290</v>
      </c>
      <c r="AH95" s="94" t="s">
        <v>1168</v>
      </c>
      <c r="AI95" s="94" t="s">
        <v>1168</v>
      </c>
      <c r="AJ95" s="94" t="s">
        <v>1168</v>
      </c>
      <c r="AK95" s="94" t="s">
        <v>2516</v>
      </c>
      <c r="AL95" s="94" t="s">
        <v>1168</v>
      </c>
      <c r="AM95" s="94" t="s">
        <v>1168</v>
      </c>
      <c r="AN95" s="94" t="s">
        <v>1168</v>
      </c>
      <c r="AO95" s="94" t="s">
        <v>1168</v>
      </c>
      <c r="AP95" s="94" t="s">
        <v>1168</v>
      </c>
      <c r="AQ95" s="94" t="s">
        <v>1168</v>
      </c>
      <c r="AR95" s="94" t="s">
        <v>1168</v>
      </c>
      <c r="AS95" s="94"/>
      <c r="AT95" s="94" t="s">
        <v>1168</v>
      </c>
      <c r="AU95" s="94" t="s">
        <v>1168</v>
      </c>
      <c r="AV95" s="94" t="s">
        <v>1168</v>
      </c>
      <c r="AW95" s="94" t="s">
        <v>1168</v>
      </c>
      <c r="AX95" s="94" t="s">
        <v>1168</v>
      </c>
      <c r="AY95" s="94" t="s">
        <v>1168</v>
      </c>
      <c r="AZ95" s="94" t="s">
        <v>1168</v>
      </c>
      <c r="BA95" s="94" t="s">
        <v>1168</v>
      </c>
      <c r="BB95" s="94" t="s">
        <v>1168</v>
      </c>
      <c r="BC95" s="94" t="s">
        <v>1168</v>
      </c>
      <c r="BD95" s="94" t="s">
        <v>1168</v>
      </c>
      <c r="BE95" s="94" t="s">
        <v>1168</v>
      </c>
      <c r="BF95" s="94" t="s">
        <v>1168</v>
      </c>
      <c r="BG95" s="94" t="s">
        <v>1168</v>
      </c>
      <c r="BH95" s="94" t="s">
        <v>1168</v>
      </c>
      <c r="BI95" s="94" t="s">
        <v>1168</v>
      </c>
      <c r="BJ95" s="94" t="s">
        <v>1168</v>
      </c>
      <c r="BK95" s="94" t="s">
        <v>1168</v>
      </c>
      <c r="BL95" s="94" t="s">
        <v>1168</v>
      </c>
      <c r="BM95" s="94" t="s">
        <v>1168</v>
      </c>
      <c r="BN95" s="94" t="s">
        <v>1168</v>
      </c>
      <c r="BO95" s="94"/>
      <c r="BR95" s="19"/>
      <c r="BS95" s="20"/>
      <c r="BT95" s="11"/>
      <c r="BU95" s="19"/>
      <c r="BV95" s="19"/>
      <c r="BW95" s="19"/>
    </row>
    <row r="96" spans="1:75" s="14" customFormat="1" ht="22.5" customHeight="1">
      <c r="A96" s="53" t="s">
        <v>154</v>
      </c>
      <c r="B96" s="54" t="s">
        <v>268</v>
      </c>
      <c r="C96" s="54" t="s">
        <v>3088</v>
      </c>
      <c r="D96" s="54" t="s">
        <v>3087</v>
      </c>
      <c r="E96" s="54" t="s">
        <v>1917</v>
      </c>
      <c r="F96" s="54" t="s">
        <v>1917</v>
      </c>
      <c r="G96" s="54" t="s">
        <v>39</v>
      </c>
      <c r="H96" s="123" t="s">
        <v>2089</v>
      </c>
      <c r="I96" s="54" t="s">
        <v>2707</v>
      </c>
      <c r="J96" s="54" t="s">
        <v>2758</v>
      </c>
      <c r="K96" s="54" t="s">
        <v>2758</v>
      </c>
      <c r="L96" s="54" t="s">
        <v>3052</v>
      </c>
      <c r="M96" s="54" t="s">
        <v>3052</v>
      </c>
      <c r="N96" s="54" t="s">
        <v>1407</v>
      </c>
      <c r="O96" s="54" t="s">
        <v>671</v>
      </c>
      <c r="P96" s="54" t="s">
        <v>3821</v>
      </c>
      <c r="Q96" s="54" t="s">
        <v>39</v>
      </c>
      <c r="R96" s="54" t="s">
        <v>1667</v>
      </c>
      <c r="S96" s="54" t="s">
        <v>39</v>
      </c>
      <c r="T96" s="54" t="s">
        <v>3725</v>
      </c>
      <c r="U96" s="123" t="s">
        <v>316</v>
      </c>
      <c r="V96" s="123" t="s">
        <v>316</v>
      </c>
      <c r="W96" s="123" t="s">
        <v>316</v>
      </c>
      <c r="X96" s="54" t="s">
        <v>823</v>
      </c>
      <c r="Y96" s="54" t="s">
        <v>39</v>
      </c>
      <c r="Z96" s="54" t="s">
        <v>3943</v>
      </c>
      <c r="AA96" s="54" t="s">
        <v>3944</v>
      </c>
      <c r="AB96" s="54" t="s">
        <v>4214</v>
      </c>
      <c r="AC96" s="54" t="s">
        <v>3661</v>
      </c>
      <c r="AD96" s="54" t="s">
        <v>39</v>
      </c>
      <c r="AE96" s="54" t="s">
        <v>2398</v>
      </c>
      <c r="AF96" s="54" t="s">
        <v>2355</v>
      </c>
      <c r="AG96" s="54" t="s">
        <v>734</v>
      </c>
      <c r="AH96" s="54" t="s">
        <v>39</v>
      </c>
      <c r="AI96" s="54" t="s">
        <v>165</v>
      </c>
      <c r="AJ96" s="54" t="s">
        <v>186</v>
      </c>
      <c r="AK96" s="54" t="s">
        <v>2499</v>
      </c>
      <c r="AL96" s="54" t="s">
        <v>24</v>
      </c>
      <c r="AM96" s="54" t="s">
        <v>473</v>
      </c>
      <c r="AN96" s="54" t="s">
        <v>305</v>
      </c>
      <c r="AO96" s="54" t="s">
        <v>3616</v>
      </c>
      <c r="AP96" s="54" t="s">
        <v>3615</v>
      </c>
      <c r="AQ96" s="54" t="s">
        <v>3614</v>
      </c>
      <c r="AR96" s="54" t="s">
        <v>3614</v>
      </c>
      <c r="AS96" s="54" t="s">
        <v>39</v>
      </c>
      <c r="AT96" s="54" t="s">
        <v>245</v>
      </c>
      <c r="AU96" s="54" t="s">
        <v>39</v>
      </c>
      <c r="AV96" s="54" t="s">
        <v>39</v>
      </c>
      <c r="AW96" s="54" t="s">
        <v>1480</v>
      </c>
      <c r="AX96" s="54" t="s">
        <v>369</v>
      </c>
      <c r="AY96" s="54" t="s">
        <v>2885</v>
      </c>
      <c r="AZ96" s="54" t="s">
        <v>39</v>
      </c>
      <c r="BA96" s="54" t="s">
        <v>93</v>
      </c>
      <c r="BB96" s="54" t="s">
        <v>2758</v>
      </c>
      <c r="BC96" s="54" t="s">
        <v>2930</v>
      </c>
      <c r="BD96" s="54" t="s">
        <v>2930</v>
      </c>
      <c r="BE96" s="54" t="s">
        <v>1355</v>
      </c>
      <c r="BF96" s="54" t="s">
        <v>1277</v>
      </c>
      <c r="BG96" s="54" t="s">
        <v>783</v>
      </c>
      <c r="BH96" s="54" t="s">
        <v>3189</v>
      </c>
      <c r="BI96" s="54" t="s">
        <v>3189</v>
      </c>
      <c r="BJ96" s="54" t="s">
        <v>193</v>
      </c>
      <c r="BK96" s="54" t="s">
        <v>193</v>
      </c>
      <c r="BL96" s="54" t="s">
        <v>2203</v>
      </c>
      <c r="BM96" s="54" t="s">
        <v>924</v>
      </c>
      <c r="BN96" s="54" t="s">
        <v>924</v>
      </c>
      <c r="BO96" s="54" t="s">
        <v>446</v>
      </c>
    </row>
    <row r="97" spans="1:75" s="2" customFormat="1" ht="11.25" customHeight="1">
      <c r="A97" s="95" t="s">
        <v>688</v>
      </c>
      <c r="B97" s="94"/>
      <c r="C97" s="94" t="s">
        <v>3174</v>
      </c>
      <c r="D97" s="94" t="s">
        <v>3173</v>
      </c>
      <c r="E97" s="94" t="s">
        <v>1944</v>
      </c>
      <c r="F97" s="94" t="s">
        <v>1968</v>
      </c>
      <c r="G97" s="94"/>
      <c r="H97" s="94" t="s">
        <v>2674</v>
      </c>
      <c r="I97" s="94" t="s">
        <v>2708</v>
      </c>
      <c r="J97" s="94" t="s">
        <v>2778</v>
      </c>
      <c r="K97" s="94" t="s">
        <v>1237</v>
      </c>
      <c r="L97" s="94" t="s">
        <v>3051</v>
      </c>
      <c r="M97" s="94" t="s">
        <v>3051</v>
      </c>
      <c r="N97" s="94" t="s">
        <v>1384</v>
      </c>
      <c r="O97" s="94" t="s">
        <v>2826</v>
      </c>
      <c r="P97" s="94" t="s">
        <v>3820</v>
      </c>
      <c r="Q97" s="94" t="s">
        <v>39</v>
      </c>
      <c r="R97" s="94" t="s">
        <v>1666</v>
      </c>
      <c r="S97" s="94" t="s">
        <v>39</v>
      </c>
      <c r="T97" s="94" t="s">
        <v>3724</v>
      </c>
      <c r="U97" s="94" t="s">
        <v>4113</v>
      </c>
      <c r="V97" s="94" t="s">
        <v>4113</v>
      </c>
      <c r="W97" s="94" t="s">
        <v>4113</v>
      </c>
      <c r="X97" s="94" t="s">
        <v>830</v>
      </c>
      <c r="Y97" s="94" t="s">
        <v>39</v>
      </c>
      <c r="Z97" s="94" t="s">
        <v>3945</v>
      </c>
      <c r="AA97" s="94" t="s">
        <v>3946</v>
      </c>
      <c r="AB97" s="94" t="s">
        <v>4215</v>
      </c>
      <c r="AC97" s="94" t="s">
        <v>1233</v>
      </c>
      <c r="AD97" s="94" t="s">
        <v>39</v>
      </c>
      <c r="AE97" s="94" t="s">
        <v>2397</v>
      </c>
      <c r="AF97" s="94" t="s">
        <v>2354</v>
      </c>
      <c r="AG97" s="94" t="s">
        <v>2287</v>
      </c>
      <c r="AH97" s="94" t="s">
        <v>39</v>
      </c>
      <c r="AI97" s="94"/>
      <c r="AJ97" s="94" t="s">
        <v>2538</v>
      </c>
      <c r="AK97" s="94" t="s">
        <v>2497</v>
      </c>
      <c r="AL97" s="94" t="s">
        <v>2582</v>
      </c>
      <c r="AM97" s="94" t="s">
        <v>3345</v>
      </c>
      <c r="AN97" s="94" t="s">
        <v>3303</v>
      </c>
      <c r="AO97" s="94" t="s">
        <v>3579</v>
      </c>
      <c r="AP97" s="94" t="s">
        <v>3617</v>
      </c>
      <c r="AQ97" s="94" t="s">
        <v>3520</v>
      </c>
      <c r="AR97" s="94" t="s">
        <v>3520</v>
      </c>
      <c r="AS97" s="94"/>
      <c r="AT97" s="94"/>
      <c r="AU97" s="94"/>
      <c r="AV97" s="94" t="s">
        <v>39</v>
      </c>
      <c r="AW97" s="94" t="s">
        <v>1479</v>
      </c>
      <c r="AX97" s="94"/>
      <c r="AY97" s="94" t="s">
        <v>2884</v>
      </c>
      <c r="AZ97" s="94" t="s">
        <v>39</v>
      </c>
      <c r="BA97" s="94" t="s">
        <v>2575</v>
      </c>
      <c r="BB97" s="94" t="s">
        <v>2865</v>
      </c>
      <c r="BC97" s="94" t="s">
        <v>853</v>
      </c>
      <c r="BD97" s="94" t="s">
        <v>853</v>
      </c>
      <c r="BE97" s="94" t="s">
        <v>1276</v>
      </c>
      <c r="BF97" s="94" t="s">
        <v>1276</v>
      </c>
      <c r="BG97" s="94" t="s">
        <v>3003</v>
      </c>
      <c r="BH97" s="94" t="s">
        <v>3242</v>
      </c>
      <c r="BI97" s="94" t="s">
        <v>3244</v>
      </c>
      <c r="BJ97" s="94" t="s">
        <v>2133</v>
      </c>
      <c r="BK97" s="94" t="s">
        <v>2133</v>
      </c>
      <c r="BL97" s="94" t="s">
        <v>2199</v>
      </c>
      <c r="BM97" s="94" t="s">
        <v>1636</v>
      </c>
      <c r="BN97" s="94" t="s">
        <v>1636</v>
      </c>
      <c r="BO97" s="94"/>
      <c r="BR97" s="19"/>
      <c r="BS97" s="20"/>
      <c r="BT97" s="11"/>
      <c r="BU97" s="19"/>
      <c r="BV97" s="19"/>
      <c r="BW97" s="19"/>
    </row>
    <row r="98" spans="1:75" s="14" customFormat="1" ht="45" customHeight="1">
      <c r="A98" s="53" t="s">
        <v>99</v>
      </c>
      <c r="B98" s="54" t="s">
        <v>274</v>
      </c>
      <c r="C98" s="116" t="s">
        <v>3171</v>
      </c>
      <c r="D98" s="116" t="s">
        <v>3172</v>
      </c>
      <c r="E98" s="54" t="s">
        <v>2000</v>
      </c>
      <c r="F98" s="54" t="s">
        <v>2000</v>
      </c>
      <c r="G98" s="54" t="s">
        <v>650</v>
      </c>
      <c r="H98" s="123" t="s">
        <v>2641</v>
      </c>
      <c r="I98" s="54" t="s">
        <v>2689</v>
      </c>
      <c r="J98" s="54" t="s">
        <v>2765</v>
      </c>
      <c r="K98" s="54" t="s">
        <v>2765</v>
      </c>
      <c r="L98" s="54" t="s">
        <v>3064</v>
      </c>
      <c r="M98" s="54" t="s">
        <v>3064</v>
      </c>
      <c r="N98" s="54" t="s">
        <v>1901</v>
      </c>
      <c r="O98" s="54" t="s">
        <v>2801</v>
      </c>
      <c r="P98" s="54" t="s">
        <v>3828</v>
      </c>
      <c r="Q98" s="54" t="s">
        <v>39</v>
      </c>
      <c r="R98" s="54" t="s">
        <v>1674</v>
      </c>
      <c r="S98" s="54" t="s">
        <v>39</v>
      </c>
      <c r="T98" s="54" t="s">
        <v>3732</v>
      </c>
      <c r="U98" s="123" t="s">
        <v>4112</v>
      </c>
      <c r="V98" s="123" t="s">
        <v>4112</v>
      </c>
      <c r="W98" s="123" t="s">
        <v>4112</v>
      </c>
      <c r="X98" s="54" t="s">
        <v>827</v>
      </c>
      <c r="Y98" s="54" t="s">
        <v>3947</v>
      </c>
      <c r="Z98" s="54" t="s">
        <v>3947</v>
      </c>
      <c r="AA98" s="54" t="s">
        <v>3947</v>
      </c>
      <c r="AB98" s="54" t="s">
        <v>4221</v>
      </c>
      <c r="AC98" s="54" t="s">
        <v>3675</v>
      </c>
      <c r="AD98" s="54" t="s">
        <v>39</v>
      </c>
      <c r="AE98" s="54" t="s">
        <v>2401</v>
      </c>
      <c r="AF98" s="54" t="s">
        <v>2402</v>
      </c>
      <c r="AG98" s="54" t="s">
        <v>2403</v>
      </c>
      <c r="AH98" s="54" t="s">
        <v>39</v>
      </c>
      <c r="AI98" s="54" t="s">
        <v>166</v>
      </c>
      <c r="AJ98" s="54" t="s">
        <v>2549</v>
      </c>
      <c r="AK98" s="54" t="s">
        <v>2507</v>
      </c>
      <c r="AL98" s="54" t="s">
        <v>2567</v>
      </c>
      <c r="AM98" s="54" t="s">
        <v>3360</v>
      </c>
      <c r="AN98" s="54" t="s">
        <v>3361</v>
      </c>
      <c r="AO98" s="54" t="s">
        <v>4132</v>
      </c>
      <c r="AP98" s="54" t="s">
        <v>3620</v>
      </c>
      <c r="AQ98" s="54" t="s">
        <v>3619</v>
      </c>
      <c r="AR98" s="54" t="s">
        <v>3620</v>
      </c>
      <c r="AS98" s="54" t="s">
        <v>39</v>
      </c>
      <c r="AT98" s="54" t="s">
        <v>248</v>
      </c>
      <c r="AU98" s="54" t="s">
        <v>39</v>
      </c>
      <c r="AV98" s="54" t="s">
        <v>1508</v>
      </c>
      <c r="AW98" s="54" t="s">
        <v>1507</v>
      </c>
      <c r="AX98" s="54" t="s">
        <v>374</v>
      </c>
      <c r="AY98" s="54" t="s">
        <v>2879</v>
      </c>
      <c r="AZ98" s="54" t="s">
        <v>39</v>
      </c>
      <c r="BA98" s="54" t="s">
        <v>2623</v>
      </c>
      <c r="BB98" s="54" t="s">
        <v>2765</v>
      </c>
      <c r="BC98" s="54" t="s">
        <v>2932</v>
      </c>
      <c r="BD98" s="54" t="s">
        <v>2932</v>
      </c>
      <c r="BE98" s="54" t="s">
        <v>825</v>
      </c>
      <c r="BF98" s="54" t="s">
        <v>1324</v>
      </c>
      <c r="BG98" s="54" t="s">
        <v>2979</v>
      </c>
      <c r="BH98" s="54" t="s">
        <v>3243</v>
      </c>
      <c r="BI98" s="54" t="s">
        <v>3243</v>
      </c>
      <c r="BJ98" s="54" t="s">
        <v>3407</v>
      </c>
      <c r="BK98" s="54" t="s">
        <v>2119</v>
      </c>
      <c r="BL98" s="54" t="s">
        <v>2205</v>
      </c>
      <c r="BM98" s="54" t="s">
        <v>1619</v>
      </c>
      <c r="BN98" s="54" t="s">
        <v>1619</v>
      </c>
      <c r="BO98" s="54" t="s">
        <v>432</v>
      </c>
    </row>
    <row r="99" spans="1:75" s="2" customFormat="1" ht="11.25" customHeight="1">
      <c r="A99" s="95" t="s">
        <v>688</v>
      </c>
      <c r="B99" s="94"/>
      <c r="C99" s="94" t="s">
        <v>3169</v>
      </c>
      <c r="D99" s="94" t="s">
        <v>3170</v>
      </c>
      <c r="E99" s="94" t="s">
        <v>1999</v>
      </c>
      <c r="F99" s="94" t="s">
        <v>1999</v>
      </c>
      <c r="G99" s="94"/>
      <c r="H99" s="94" t="s">
        <v>2028</v>
      </c>
      <c r="I99" s="94" t="s">
        <v>2729</v>
      </c>
      <c r="J99" s="94" t="s">
        <v>1233</v>
      </c>
      <c r="K99" s="94" t="s">
        <v>2764</v>
      </c>
      <c r="L99" s="94" t="s">
        <v>3063</v>
      </c>
      <c r="M99" s="94" t="s">
        <v>3063</v>
      </c>
      <c r="N99" s="94" t="s">
        <v>1416</v>
      </c>
      <c r="O99" s="94" t="s">
        <v>2799</v>
      </c>
      <c r="P99" s="94" t="s">
        <v>2501</v>
      </c>
      <c r="Q99" s="94" t="s">
        <v>39</v>
      </c>
      <c r="R99" s="94" t="s">
        <v>1673</v>
      </c>
      <c r="S99" s="94" t="s">
        <v>39</v>
      </c>
      <c r="T99" s="94" t="s">
        <v>3730</v>
      </c>
      <c r="U99" s="94" t="s">
        <v>4110</v>
      </c>
      <c r="V99" s="94" t="s">
        <v>4110</v>
      </c>
      <c r="W99" s="94" t="s">
        <v>4110</v>
      </c>
      <c r="X99" s="94" t="s">
        <v>824</v>
      </c>
      <c r="Y99" s="94" t="s">
        <v>3948</v>
      </c>
      <c r="Z99" s="94" t="s">
        <v>3949</v>
      </c>
      <c r="AA99" s="94" t="s">
        <v>3950</v>
      </c>
      <c r="AB99" s="94" t="s">
        <v>4222</v>
      </c>
      <c r="AC99" s="94" t="s">
        <v>3674</v>
      </c>
      <c r="AD99" s="94" t="s">
        <v>39</v>
      </c>
      <c r="AE99" s="94" t="s">
        <v>2400</v>
      </c>
      <c r="AF99" s="94" t="s">
        <v>2359</v>
      </c>
      <c r="AG99" s="94" t="s">
        <v>2291</v>
      </c>
      <c r="AH99" s="94" t="s">
        <v>39</v>
      </c>
      <c r="AI99" s="94"/>
      <c r="AJ99" s="94" t="s">
        <v>2548</v>
      </c>
      <c r="AK99" s="94" t="s">
        <v>2500</v>
      </c>
      <c r="AL99" s="94" t="s">
        <v>2566</v>
      </c>
      <c r="AM99" s="94" t="s">
        <v>3359</v>
      </c>
      <c r="AN99" s="94" t="s">
        <v>3308</v>
      </c>
      <c r="AO99" s="94" t="s">
        <v>3587</v>
      </c>
      <c r="AP99" s="94" t="s">
        <v>3618</v>
      </c>
      <c r="AQ99" s="94" t="s">
        <v>3531</v>
      </c>
      <c r="AR99" s="94" t="s">
        <v>3554</v>
      </c>
      <c r="AS99" s="94"/>
      <c r="AT99" s="94"/>
      <c r="AU99" s="94"/>
      <c r="AV99" s="94" t="s">
        <v>1510</v>
      </c>
      <c r="AW99" s="94" t="s">
        <v>1509</v>
      </c>
      <c r="AX99" s="94"/>
      <c r="AY99" s="94" t="s">
        <v>2876</v>
      </c>
      <c r="AZ99" s="94" t="s">
        <v>39</v>
      </c>
      <c r="BA99" s="94" t="s">
        <v>2622</v>
      </c>
      <c r="BB99" s="94" t="s">
        <v>2868</v>
      </c>
      <c r="BC99" s="94" t="s">
        <v>2931</v>
      </c>
      <c r="BD99" s="94" t="s">
        <v>2931</v>
      </c>
      <c r="BE99" s="94" t="s">
        <v>1322</v>
      </c>
      <c r="BF99" s="94" t="s">
        <v>1322</v>
      </c>
      <c r="BG99" s="94" t="s">
        <v>2978</v>
      </c>
      <c r="BH99" s="94" t="s">
        <v>3241</v>
      </c>
      <c r="BI99" s="94" t="s">
        <v>3242</v>
      </c>
      <c r="BJ99" s="94" t="s">
        <v>3406</v>
      </c>
      <c r="BK99" s="94" t="s">
        <v>2118</v>
      </c>
      <c r="BL99" s="94" t="s">
        <v>2204</v>
      </c>
      <c r="BM99" s="94" t="s">
        <v>1618</v>
      </c>
      <c r="BN99" s="94" t="s">
        <v>1618</v>
      </c>
      <c r="BO99" s="94"/>
      <c r="BR99" s="19"/>
      <c r="BS99" s="20"/>
      <c r="BT99" s="11"/>
      <c r="BU99" s="19"/>
      <c r="BV99" s="19"/>
      <c r="BW99" s="19"/>
    </row>
    <row r="100" spans="1:75" s="14" customFormat="1" ht="22.5" customHeight="1">
      <c r="A100" s="53" t="s">
        <v>137</v>
      </c>
      <c r="B100" s="54" t="s">
        <v>39</v>
      </c>
      <c r="C100" s="54" t="s">
        <v>39</v>
      </c>
      <c r="D100" s="54" t="s">
        <v>39</v>
      </c>
      <c r="E100" s="54" t="s">
        <v>39</v>
      </c>
      <c r="F100" s="54" t="s">
        <v>39</v>
      </c>
      <c r="G100" s="54" t="s">
        <v>39</v>
      </c>
      <c r="H100" s="123" t="s">
        <v>2642</v>
      </c>
      <c r="I100" s="54" t="s">
        <v>39</v>
      </c>
      <c r="J100" s="54" t="s">
        <v>39</v>
      </c>
      <c r="K100" s="54" t="s">
        <v>39</v>
      </c>
      <c r="L100" s="54" t="s">
        <v>39</v>
      </c>
      <c r="M100" s="54" t="s">
        <v>39</v>
      </c>
      <c r="N100" s="54" t="s">
        <v>39</v>
      </c>
      <c r="O100" s="54" t="s">
        <v>39</v>
      </c>
      <c r="P100" s="54" t="s">
        <v>39</v>
      </c>
      <c r="Q100" s="54" t="s">
        <v>39</v>
      </c>
      <c r="R100" s="54" t="s">
        <v>39</v>
      </c>
      <c r="S100" s="54" t="s">
        <v>39</v>
      </c>
      <c r="T100" s="54" t="s">
        <v>39</v>
      </c>
      <c r="U100" s="123" t="s">
        <v>39</v>
      </c>
      <c r="V100" s="123" t="s">
        <v>39</v>
      </c>
      <c r="W100" s="123" t="s">
        <v>39</v>
      </c>
      <c r="X100" s="54" t="s">
        <v>39</v>
      </c>
      <c r="Y100" s="54" t="s">
        <v>39</v>
      </c>
      <c r="Z100" s="54" t="s">
        <v>39</v>
      </c>
      <c r="AA100" s="54" t="s">
        <v>39</v>
      </c>
      <c r="AB100" s="54" t="s">
        <v>4209</v>
      </c>
      <c r="AC100" s="54" t="s">
        <v>39</v>
      </c>
      <c r="AD100" s="54" t="s">
        <v>39</v>
      </c>
      <c r="AE100" s="54" t="s">
        <v>39</v>
      </c>
      <c r="AF100" s="54" t="s">
        <v>39</v>
      </c>
      <c r="AG100" s="54" t="s">
        <v>39</v>
      </c>
      <c r="AH100" s="54" t="s">
        <v>39</v>
      </c>
      <c r="AI100" s="54" t="s">
        <v>39</v>
      </c>
      <c r="AJ100" s="54" t="s">
        <v>39</v>
      </c>
      <c r="AK100" s="54" t="s">
        <v>39</v>
      </c>
      <c r="AL100" s="73" t="s">
        <v>39</v>
      </c>
      <c r="AM100" s="54" t="s">
        <v>39</v>
      </c>
      <c r="AN100" s="54" t="s">
        <v>39</v>
      </c>
      <c r="AO100" s="54" t="s">
        <v>39</v>
      </c>
      <c r="AP100" s="54" t="s">
        <v>39</v>
      </c>
      <c r="AQ100" s="54" t="s">
        <v>39</v>
      </c>
      <c r="AR100" s="54" t="s">
        <v>39</v>
      </c>
      <c r="AS100" s="54" t="s">
        <v>39</v>
      </c>
      <c r="AT100" s="54" t="s">
        <v>39</v>
      </c>
      <c r="AU100" s="54" t="s">
        <v>39</v>
      </c>
      <c r="AV100" s="54" t="s">
        <v>39</v>
      </c>
      <c r="AW100" s="54" t="s">
        <v>39</v>
      </c>
      <c r="AX100" s="54" t="s">
        <v>39</v>
      </c>
      <c r="AY100" s="54" t="s">
        <v>39</v>
      </c>
      <c r="AZ100" s="54" t="s">
        <v>39</v>
      </c>
      <c r="BA100" s="48" t="s">
        <v>39</v>
      </c>
      <c r="BB100" s="54" t="s">
        <v>39</v>
      </c>
      <c r="BC100" s="54" t="s">
        <v>39</v>
      </c>
      <c r="BD100" s="54" t="s">
        <v>39</v>
      </c>
      <c r="BE100" s="54" t="s">
        <v>39</v>
      </c>
      <c r="BF100" s="54" t="s">
        <v>39</v>
      </c>
      <c r="BG100" s="54" t="s">
        <v>39</v>
      </c>
      <c r="BH100" s="54" t="s">
        <v>39</v>
      </c>
      <c r="BI100" s="54" t="s">
        <v>39</v>
      </c>
      <c r="BJ100" s="54" t="s">
        <v>39</v>
      </c>
      <c r="BK100" s="54" t="s">
        <v>39</v>
      </c>
      <c r="BL100" s="54" t="s">
        <v>39</v>
      </c>
      <c r="BM100" s="54" t="s">
        <v>39</v>
      </c>
      <c r="BN100" s="54" t="s">
        <v>39</v>
      </c>
      <c r="BO100" s="54" t="s">
        <v>39</v>
      </c>
    </row>
    <row r="101" spans="1:75" s="2" customFormat="1" ht="11.25" customHeight="1">
      <c r="A101" s="95" t="s">
        <v>688</v>
      </c>
      <c r="B101" s="94"/>
      <c r="C101" s="94" t="s">
        <v>39</v>
      </c>
      <c r="D101" s="94" t="s">
        <v>39</v>
      </c>
      <c r="E101" s="94" t="s">
        <v>39</v>
      </c>
      <c r="F101" s="94" t="s">
        <v>39</v>
      </c>
      <c r="G101" s="94"/>
      <c r="H101" s="94" t="s">
        <v>2030</v>
      </c>
      <c r="I101" s="94" t="s">
        <v>39</v>
      </c>
      <c r="J101" s="94" t="s">
        <v>39</v>
      </c>
      <c r="K101" s="94" t="s">
        <v>39</v>
      </c>
      <c r="L101" s="94" t="s">
        <v>39</v>
      </c>
      <c r="M101" s="94" t="s">
        <v>39</v>
      </c>
      <c r="N101" s="94" t="s">
        <v>39</v>
      </c>
      <c r="O101" s="94" t="s">
        <v>39</v>
      </c>
      <c r="P101" s="94" t="s">
        <v>39</v>
      </c>
      <c r="Q101" s="94" t="s">
        <v>39</v>
      </c>
      <c r="R101" s="94" t="s">
        <v>39</v>
      </c>
      <c r="S101" s="94" t="s">
        <v>39</v>
      </c>
      <c r="T101" s="94" t="s">
        <v>39</v>
      </c>
      <c r="U101" s="94" t="s">
        <v>39</v>
      </c>
      <c r="V101" s="94" t="s">
        <v>39</v>
      </c>
      <c r="W101" s="94" t="s">
        <v>39</v>
      </c>
      <c r="X101" s="94" t="s">
        <v>39</v>
      </c>
      <c r="Y101" s="94" t="s">
        <v>39</v>
      </c>
      <c r="Z101" s="94" t="s">
        <v>39</v>
      </c>
      <c r="AA101" s="94" t="s">
        <v>39</v>
      </c>
      <c r="AB101" s="94"/>
      <c r="AC101" s="94" t="s">
        <v>39</v>
      </c>
      <c r="AD101" s="94" t="s">
        <v>39</v>
      </c>
      <c r="AE101" s="94" t="s">
        <v>39</v>
      </c>
      <c r="AF101" s="94" t="s">
        <v>39</v>
      </c>
      <c r="AG101" s="94" t="s">
        <v>39</v>
      </c>
      <c r="AH101" s="94" t="s">
        <v>39</v>
      </c>
      <c r="AI101" s="94"/>
      <c r="AJ101" s="94" t="s">
        <v>39</v>
      </c>
      <c r="AK101" s="94" t="s">
        <v>39</v>
      </c>
      <c r="AL101" s="94" t="s">
        <v>39</v>
      </c>
      <c r="AM101" s="94" t="s">
        <v>39</v>
      </c>
      <c r="AN101" s="94" t="s">
        <v>39</v>
      </c>
      <c r="AO101" s="94" t="s">
        <v>39</v>
      </c>
      <c r="AP101" s="94" t="s">
        <v>39</v>
      </c>
      <c r="AQ101" s="94" t="s">
        <v>39</v>
      </c>
      <c r="AR101" s="94" t="s">
        <v>39</v>
      </c>
      <c r="AS101" s="94"/>
      <c r="AT101" s="94"/>
      <c r="AU101" s="94"/>
      <c r="AV101" s="94" t="s">
        <v>39</v>
      </c>
      <c r="AW101" s="94" t="s">
        <v>39</v>
      </c>
      <c r="AX101" s="94"/>
      <c r="AY101" s="94" t="s">
        <v>39</v>
      </c>
      <c r="AZ101" s="94" t="s">
        <v>39</v>
      </c>
      <c r="BA101" s="94" t="s">
        <v>39</v>
      </c>
      <c r="BB101" s="94" t="s">
        <v>39</v>
      </c>
      <c r="BC101" s="94" t="s">
        <v>39</v>
      </c>
      <c r="BD101" s="94" t="s">
        <v>39</v>
      </c>
      <c r="BE101" s="94" t="s">
        <v>39</v>
      </c>
      <c r="BF101" s="94" t="s">
        <v>39</v>
      </c>
      <c r="BG101" s="94" t="s">
        <v>39</v>
      </c>
      <c r="BH101" s="94" t="s">
        <v>39</v>
      </c>
      <c r="BI101" s="94" t="s">
        <v>39</v>
      </c>
      <c r="BJ101" s="94" t="s">
        <v>39</v>
      </c>
      <c r="BK101" s="94" t="s">
        <v>39</v>
      </c>
      <c r="BL101" s="94" t="s">
        <v>39</v>
      </c>
      <c r="BM101" s="94" t="s">
        <v>39</v>
      </c>
      <c r="BN101" s="94" t="s">
        <v>39</v>
      </c>
      <c r="BO101" s="94"/>
      <c r="BR101" s="19"/>
      <c r="BS101" s="20"/>
      <c r="BT101" s="11"/>
      <c r="BU101" s="19"/>
      <c r="BV101" s="19"/>
      <c r="BW101" s="19"/>
    </row>
    <row r="102" spans="1:75" s="2" customFormat="1" ht="15" customHeight="1">
      <c r="A102" s="56"/>
      <c r="B102" s="55"/>
      <c r="C102" s="55"/>
      <c r="D102" s="55"/>
      <c r="E102" s="55"/>
      <c r="F102" s="55"/>
      <c r="G102" s="55"/>
      <c r="H102" s="3"/>
      <c r="I102" s="55"/>
      <c r="J102" s="3"/>
      <c r="K102" s="3"/>
      <c r="L102" s="3"/>
      <c r="M102" s="3"/>
      <c r="N102" s="3"/>
      <c r="O102" s="3"/>
      <c r="P102" s="56"/>
      <c r="Q102" s="56"/>
      <c r="R102" s="3"/>
      <c r="S102" s="55"/>
      <c r="T102" s="120"/>
      <c r="U102" s="120"/>
      <c r="V102" s="120"/>
      <c r="W102" s="55"/>
      <c r="X102" s="56"/>
      <c r="Y102" s="56"/>
      <c r="Z102" s="56"/>
      <c r="AA102" s="56"/>
      <c r="AB102" s="56"/>
      <c r="AC102" s="56"/>
      <c r="AD102" s="55"/>
      <c r="AE102" s="55"/>
      <c r="AF102" s="56"/>
      <c r="AG102" s="56"/>
      <c r="AH102" s="3"/>
      <c r="AI102" s="3"/>
      <c r="AJ102" s="121"/>
      <c r="AK102" s="121"/>
      <c r="AL102" s="4"/>
      <c r="AM102" s="4"/>
      <c r="AN102" s="121"/>
      <c r="AO102" s="4"/>
      <c r="AP102" s="4"/>
      <c r="AQ102" s="4"/>
      <c r="AR102" s="4"/>
      <c r="AS102" s="4"/>
      <c r="AT102" s="4"/>
      <c r="AU102" s="4"/>
      <c r="AV102" s="4"/>
      <c r="AW102" s="4"/>
      <c r="AX102" s="55"/>
      <c r="AY102" s="55"/>
      <c r="AZ102" s="4"/>
      <c r="BA102" s="4"/>
      <c r="BB102" s="55"/>
      <c r="BC102" s="55"/>
      <c r="BD102" s="55"/>
      <c r="BE102" s="4"/>
      <c r="BF102" s="4"/>
      <c r="BG102" s="55"/>
      <c r="BH102" s="55"/>
      <c r="BI102" s="55"/>
      <c r="BJ102" s="121"/>
      <c r="BK102" s="121"/>
      <c r="BL102" s="121"/>
      <c r="BM102" s="4"/>
      <c r="BN102" s="4"/>
      <c r="BO102" s="55"/>
    </row>
    <row r="103" spans="1:75" s="2" customFormat="1" ht="22.5" customHeight="1">
      <c r="A103" s="50" t="s">
        <v>70</v>
      </c>
      <c r="B103" s="57" t="str">
        <f t="shared" ref="B103:AX103" si="4">B1</f>
        <v>Alte Leipziger XXL</v>
      </c>
      <c r="C103" s="57" t="str">
        <f t="shared" si="4"/>
        <v>Ammerländer Excellent</v>
      </c>
      <c r="D103" s="57" t="str">
        <f t="shared" si="4"/>
        <v>Ammerländer Exclusiv</v>
      </c>
      <c r="E103" s="57" t="str">
        <f t="shared" si="4"/>
        <v>ARAG Komfort</v>
      </c>
      <c r="F103" s="57" t="str">
        <f t="shared" si="4"/>
        <v>ARAG Premium</v>
      </c>
      <c r="G103" s="57" t="str">
        <f t="shared" si="4"/>
        <v>AXA Komfort ohne BR</v>
      </c>
      <c r="H103" s="57" t="str">
        <f t="shared" si="4"/>
        <v>Baden Badener Top 2013</v>
      </c>
      <c r="I103" s="57" t="str">
        <f t="shared" si="4"/>
        <v>Basler UnfallProtect - Max</v>
      </c>
      <c r="J103" s="57" t="str">
        <f t="shared" si="4"/>
        <v>Condor Comfort</v>
      </c>
      <c r="K103" s="57" t="str">
        <f t="shared" si="4"/>
        <v>Condor Premium</v>
      </c>
      <c r="L103" s="57" t="str">
        <f t="shared" si="4"/>
        <v>Cosmos Comfort-Schutz</v>
      </c>
      <c r="M103" s="57" t="str">
        <f t="shared" si="4"/>
        <v>Cosmos Comfort-Schutz Plus</v>
      </c>
      <c r="N103" s="57" t="str">
        <f t="shared" si="4"/>
        <v>Debeka</v>
      </c>
      <c r="O103" s="57" t="str">
        <f t="shared" si="4"/>
        <v>DEVK Komplett</v>
      </c>
      <c r="P103" s="57" t="str">
        <f>P1</f>
        <v>die Bayerische Komfort</v>
      </c>
      <c r="Q103" s="57" t="str">
        <f>Q1</f>
        <v>die Bayerische Standard</v>
      </c>
      <c r="R103" s="57" t="str">
        <f t="shared" si="4"/>
        <v>ERGO Unfallschutz Familie</v>
      </c>
      <c r="S103" s="57" t="str">
        <f t="shared" si="4"/>
        <v>GDV Musterbedingungen</v>
      </c>
      <c r="T103" s="57" t="str">
        <f t="shared" si="4"/>
        <v>Generali Komfort Plus</v>
      </c>
      <c r="U103" s="57" t="str">
        <f t="shared" si="4"/>
        <v>Gothaer Unfall 2014</v>
      </c>
      <c r="V103" s="57" t="str">
        <f t="shared" si="4"/>
        <v>Gothaer UnfallTop 2014</v>
      </c>
      <c r="W103" s="57" t="str">
        <f t="shared" si="4"/>
        <v>Gothaer UnfallTop 2014 Plus</v>
      </c>
      <c r="X103" s="57" t="str">
        <f>X1</f>
        <v>Häger Top</v>
      </c>
      <c r="Y103" s="57" t="str">
        <f>Y1</f>
        <v>HanseMerkur Grund-Schutz</v>
      </c>
      <c r="Z103" s="57" t="str">
        <f>Z1</f>
        <v>HanseMerkur Kompakt-Schutz</v>
      </c>
      <c r="AA103" s="57" t="str">
        <f>AA1</f>
        <v>HanseMerkur Top-Schutz</v>
      </c>
      <c r="AB103" s="57" t="s">
        <v>4170</v>
      </c>
      <c r="AC103" s="57" t="str">
        <f>AC1</f>
        <v>Helvetia Komfort</v>
      </c>
      <c r="AD103" s="57" t="str">
        <f t="shared" si="4"/>
        <v>HKD Basisschutz</v>
      </c>
      <c r="AE103" s="57" t="str">
        <f t="shared" si="4"/>
        <v>HKD Komfortschutz</v>
      </c>
      <c r="AF103" s="57" t="str">
        <f t="shared" si="4"/>
        <v>HKD Komfortschutz Plus</v>
      </c>
      <c r="AG103" s="57" t="str">
        <f t="shared" si="4"/>
        <v>HKD Vollschutz</v>
      </c>
      <c r="AH103" s="57" t="str">
        <f t="shared" si="4"/>
        <v>Ideal Unfall Rente Exklusiv</v>
      </c>
      <c r="AI103" s="57" t="str">
        <f t="shared" si="4"/>
        <v>Interlloyd AUB 2000</v>
      </c>
      <c r="AJ103" s="57" t="str">
        <f t="shared" si="4"/>
        <v>Interlloyd Premium</v>
      </c>
      <c r="AK103" s="57" t="str">
        <f t="shared" si="4"/>
        <v>Interlloyd Premium Plus</v>
      </c>
      <c r="AL103" s="57" t="str">
        <f t="shared" si="4"/>
        <v>Interlloyd Protect</v>
      </c>
      <c r="AM103" s="57" t="str">
        <f t="shared" si="4"/>
        <v>Interrisk XL (Plus-Taxe)</v>
      </c>
      <c r="AN103" s="57" t="str">
        <f t="shared" si="4"/>
        <v>Interrisk XXL (Maxi-Taxe)</v>
      </c>
      <c r="AO103" s="57" t="str">
        <f t="shared" si="4"/>
        <v>Janitos Balance</v>
      </c>
      <c r="AP103" s="57" t="str">
        <f>AP1</f>
        <v>Janitos Balance Plus</v>
      </c>
      <c r="AQ103" s="57" t="str">
        <f>AQ1</f>
        <v>Janitos Best Selection</v>
      </c>
      <c r="AR103" s="57" t="str">
        <f>AR1</f>
        <v>Janitos Best Selection Plus</v>
      </c>
      <c r="AS103" s="57" t="str">
        <f t="shared" si="4"/>
        <v>Keine</v>
      </c>
      <c r="AT103" s="57" t="str">
        <f t="shared" si="4"/>
        <v>KRAVAG Familien-UV 2011</v>
      </c>
      <c r="AU103" s="57" t="str">
        <f t="shared" si="4"/>
        <v>KRAVAG Gruppen-UV 2011</v>
      </c>
      <c r="AV103" s="136" t="str">
        <f t="shared" si="4"/>
        <v>nationale suisse Komfort</v>
      </c>
      <c r="AW103" s="136" t="str">
        <f t="shared" si="4"/>
        <v>nationale suisse Premium</v>
      </c>
      <c r="AX103" s="57" t="str">
        <f t="shared" si="4"/>
        <v>Nürnberger</v>
      </c>
      <c r="AY103" s="57"/>
      <c r="AZ103" s="57" t="str">
        <f>AZ1</f>
        <v>Prokundo Unfall</v>
      </c>
      <c r="BA103" s="57" t="str">
        <f t="shared" ref="BA103:BL103" si="5">BA1</f>
        <v>Provinzial Rundumschutz</v>
      </c>
      <c r="BB103" s="57" t="str">
        <f t="shared" si="5"/>
        <v>R+V PrivatPolice Comfort</v>
      </c>
      <c r="BC103" s="57" t="str">
        <f t="shared" si="5"/>
        <v>Signal Iduna Exklusiv</v>
      </c>
      <c r="BD103" s="57" t="str">
        <f t="shared" si="5"/>
        <v>Signal Iduna Exklusiv (ÖD)
z.B. PVAG, VÖDAG</v>
      </c>
      <c r="BE103" s="57" t="str">
        <f t="shared" si="5"/>
        <v>SLP Primus</v>
      </c>
      <c r="BF103" s="57" t="str">
        <f t="shared" si="5"/>
        <v>SLP Primus Plus</v>
      </c>
      <c r="BG103" s="57" t="str">
        <f>BG1</f>
        <v>Stuttgarter 1000Plus</v>
      </c>
      <c r="BH103" s="57" t="str">
        <f t="shared" si="5"/>
        <v>VdVA Classic</v>
      </c>
      <c r="BI103" s="57" t="str">
        <f t="shared" si="5"/>
        <v>VdVA Exclusiv</v>
      </c>
      <c r="BJ103" s="57" t="str">
        <f>BJ1</f>
        <v>VHV Klassik Garant</v>
      </c>
      <c r="BK103" s="57" t="str">
        <f t="shared" si="5"/>
        <v>VHV Klassik Garant Exklusiv</v>
      </c>
      <c r="BL103" s="57" t="str">
        <f t="shared" si="5"/>
        <v>WÜBA Unfall AKTIV Premium</v>
      </c>
      <c r="BM103" s="57" t="str">
        <f>BM1</f>
        <v>Württembergische Platinum</v>
      </c>
      <c r="BN103" s="57" t="str">
        <f>BN1</f>
        <v>Württembergische Premium</v>
      </c>
      <c r="BO103" s="57" t="str">
        <f>BO1</f>
        <v>Zurich Makler Top-Schutz</v>
      </c>
    </row>
    <row r="104" spans="1:75" s="14" customFormat="1" ht="22.5" customHeight="1">
      <c r="A104" s="53" t="s">
        <v>59</v>
      </c>
      <c r="B104" s="54" t="s">
        <v>281</v>
      </c>
      <c r="C104" s="54" t="s">
        <v>39</v>
      </c>
      <c r="D104" s="54" t="s">
        <v>39</v>
      </c>
      <c r="E104" s="54" t="s">
        <v>39</v>
      </c>
      <c r="F104" s="54" t="s">
        <v>39</v>
      </c>
      <c r="G104" s="54" t="s">
        <v>651</v>
      </c>
      <c r="H104" s="123" t="s">
        <v>2660</v>
      </c>
      <c r="I104" s="54" t="s">
        <v>39</v>
      </c>
      <c r="J104" s="54" t="s">
        <v>2789</v>
      </c>
      <c r="K104" s="54" t="s">
        <v>2789</v>
      </c>
      <c r="L104" s="54" t="s">
        <v>39</v>
      </c>
      <c r="M104" s="54" t="s">
        <v>39</v>
      </c>
      <c r="N104" s="54" t="s">
        <v>39</v>
      </c>
      <c r="O104" s="54" t="s">
        <v>667</v>
      </c>
      <c r="P104" s="54" t="s">
        <v>3839</v>
      </c>
      <c r="Q104" s="54" t="s">
        <v>3847</v>
      </c>
      <c r="R104" s="54" t="s">
        <v>1654</v>
      </c>
      <c r="S104" s="54" t="s">
        <v>39</v>
      </c>
      <c r="T104" s="54" t="s">
        <v>3719</v>
      </c>
      <c r="U104" s="123" t="s">
        <v>39</v>
      </c>
      <c r="V104" s="123" t="s">
        <v>39</v>
      </c>
      <c r="W104" s="123" t="s">
        <v>39</v>
      </c>
      <c r="X104" s="54" t="s">
        <v>39</v>
      </c>
      <c r="Y104" s="54" t="s">
        <v>39</v>
      </c>
      <c r="Z104" s="54" t="s">
        <v>39</v>
      </c>
      <c r="AA104" s="54" t="s">
        <v>39</v>
      </c>
      <c r="AB104" s="54" t="s">
        <v>4223</v>
      </c>
      <c r="AC104" s="54" t="s">
        <v>3654</v>
      </c>
      <c r="AD104" s="54" t="s">
        <v>39</v>
      </c>
      <c r="AE104" s="54" t="s">
        <v>39</v>
      </c>
      <c r="AF104" s="54" t="s">
        <v>39</v>
      </c>
      <c r="AG104" s="54" t="s">
        <v>39</v>
      </c>
      <c r="AH104" s="54" t="s">
        <v>1152</v>
      </c>
      <c r="AI104" s="54" t="s">
        <v>167</v>
      </c>
      <c r="AJ104" s="54" t="s">
        <v>2571</v>
      </c>
      <c r="AK104" s="54" t="s">
        <v>2571</v>
      </c>
      <c r="AL104" s="54" t="s">
        <v>2571</v>
      </c>
      <c r="AM104" s="54" t="s">
        <v>39</v>
      </c>
      <c r="AN104" s="54" t="s">
        <v>39</v>
      </c>
      <c r="AO104" s="54" t="s">
        <v>39</v>
      </c>
      <c r="AP104" s="54" t="s">
        <v>39</v>
      </c>
      <c r="AQ104" s="54" t="s">
        <v>39</v>
      </c>
      <c r="AR104" s="54" t="s">
        <v>39</v>
      </c>
      <c r="AS104" s="54" t="s">
        <v>39</v>
      </c>
      <c r="AT104" s="54" t="s">
        <v>240</v>
      </c>
      <c r="AU104" s="54" t="s">
        <v>240</v>
      </c>
      <c r="AV104" s="54" t="s">
        <v>39</v>
      </c>
      <c r="AW104" s="54" t="s">
        <v>39</v>
      </c>
      <c r="AX104" s="54" t="s">
        <v>39</v>
      </c>
      <c r="AY104" s="54" t="s">
        <v>1092</v>
      </c>
      <c r="AZ104" s="54" t="s">
        <v>39</v>
      </c>
      <c r="BA104" s="54" t="s">
        <v>2626</v>
      </c>
      <c r="BB104" s="54" t="s">
        <v>2872</v>
      </c>
      <c r="BC104" s="54" t="s">
        <v>39</v>
      </c>
      <c r="BD104" s="54" t="s">
        <v>39</v>
      </c>
      <c r="BE104" s="54" t="s">
        <v>39</v>
      </c>
      <c r="BF104" s="54" t="s">
        <v>39</v>
      </c>
      <c r="BG104" s="54" t="s">
        <v>2977</v>
      </c>
      <c r="BH104" s="54" t="s">
        <v>3201</v>
      </c>
      <c r="BI104" s="54" t="s">
        <v>3201</v>
      </c>
      <c r="BJ104" s="54" t="s">
        <v>39</v>
      </c>
      <c r="BK104" s="54" t="s">
        <v>39</v>
      </c>
      <c r="BL104" s="54" t="s">
        <v>2222</v>
      </c>
      <c r="BM104" s="54" t="s">
        <v>1613</v>
      </c>
      <c r="BN104" s="54" t="s">
        <v>1613</v>
      </c>
      <c r="BO104" s="54" t="s">
        <v>433</v>
      </c>
    </row>
    <row r="105" spans="1:75" s="2" customFormat="1" ht="11.25" customHeight="1">
      <c r="A105" s="95" t="s">
        <v>688</v>
      </c>
      <c r="B105" s="94"/>
      <c r="C105" s="94" t="s">
        <v>39</v>
      </c>
      <c r="D105" s="94" t="s">
        <v>39</v>
      </c>
      <c r="E105" s="94" t="s">
        <v>39</v>
      </c>
      <c r="F105" s="94" t="s">
        <v>39</v>
      </c>
      <c r="G105" s="94"/>
      <c r="H105" s="94" t="s">
        <v>2659</v>
      </c>
      <c r="I105" s="94" t="s">
        <v>3034</v>
      </c>
      <c r="J105" s="94" t="s">
        <v>2788</v>
      </c>
      <c r="K105" s="94" t="s">
        <v>2788</v>
      </c>
      <c r="L105" s="94" t="s">
        <v>39</v>
      </c>
      <c r="M105" s="94" t="s">
        <v>39</v>
      </c>
      <c r="N105" s="94" t="s">
        <v>39</v>
      </c>
      <c r="O105" s="94" t="s">
        <v>2791</v>
      </c>
      <c r="P105" s="94" t="s">
        <v>3838</v>
      </c>
      <c r="Q105" s="94" t="s">
        <v>2501</v>
      </c>
      <c r="R105" s="94" t="s">
        <v>1655</v>
      </c>
      <c r="S105" s="94" t="s">
        <v>39</v>
      </c>
      <c r="T105" s="94" t="s">
        <v>3700</v>
      </c>
      <c r="U105" s="94" t="s">
        <v>39</v>
      </c>
      <c r="V105" s="94" t="s">
        <v>39</v>
      </c>
      <c r="W105" s="94" t="s">
        <v>39</v>
      </c>
      <c r="X105" s="94" t="s">
        <v>39</v>
      </c>
      <c r="Y105" s="94" t="s">
        <v>39</v>
      </c>
      <c r="Z105" s="94" t="s">
        <v>39</v>
      </c>
      <c r="AA105" s="94" t="s">
        <v>39</v>
      </c>
      <c r="AB105" s="94" t="s">
        <v>4224</v>
      </c>
      <c r="AC105" s="94" t="s">
        <v>1215</v>
      </c>
      <c r="AD105" s="94" t="s">
        <v>39</v>
      </c>
      <c r="AE105" s="94" t="s">
        <v>39</v>
      </c>
      <c r="AF105" s="94" t="s">
        <v>39</v>
      </c>
      <c r="AG105" s="94" t="s">
        <v>39</v>
      </c>
      <c r="AH105" s="94" t="s">
        <v>1151</v>
      </c>
      <c r="AI105" s="94"/>
      <c r="AJ105" s="94" t="s">
        <v>2570</v>
      </c>
      <c r="AK105" s="94" t="s">
        <v>2570</v>
      </c>
      <c r="AL105" s="94" t="s">
        <v>2569</v>
      </c>
      <c r="AM105" s="94" t="s">
        <v>39</v>
      </c>
      <c r="AN105" s="94" t="s">
        <v>39</v>
      </c>
      <c r="AO105" s="94" t="s">
        <v>39</v>
      </c>
      <c r="AP105" s="94" t="s">
        <v>39</v>
      </c>
      <c r="AQ105" s="94" t="s">
        <v>39</v>
      </c>
      <c r="AR105" s="94" t="s">
        <v>39</v>
      </c>
      <c r="AS105" s="94"/>
      <c r="AT105" s="94"/>
      <c r="AU105" s="94"/>
      <c r="AV105" s="94" t="s">
        <v>39</v>
      </c>
      <c r="AW105" s="94" t="s">
        <v>39</v>
      </c>
      <c r="AX105" s="94"/>
      <c r="AY105" s="94" t="s">
        <v>2875</v>
      </c>
      <c r="AZ105" s="94" t="s">
        <v>39</v>
      </c>
      <c r="BA105" s="94" t="s">
        <v>2625</v>
      </c>
      <c r="BB105" s="94" t="s">
        <v>1742</v>
      </c>
      <c r="BC105" s="94" t="s">
        <v>39</v>
      </c>
      <c r="BD105" s="94" t="s">
        <v>39</v>
      </c>
      <c r="BE105" s="94" t="s">
        <v>39</v>
      </c>
      <c r="BF105" s="94" t="s">
        <v>39</v>
      </c>
      <c r="BG105" s="94" t="s">
        <v>2976</v>
      </c>
      <c r="BH105" s="94" t="s">
        <v>3200</v>
      </c>
      <c r="BI105" s="94" t="s">
        <v>3200</v>
      </c>
      <c r="BJ105" s="94" t="s">
        <v>39</v>
      </c>
      <c r="BK105" s="94" t="s">
        <v>39</v>
      </c>
      <c r="BL105" s="94" t="s">
        <v>2221</v>
      </c>
      <c r="BM105" s="94" t="s">
        <v>1614</v>
      </c>
      <c r="BN105" s="94" t="s">
        <v>1614</v>
      </c>
      <c r="BO105" s="94"/>
      <c r="BR105" s="19"/>
      <c r="BS105" s="20"/>
      <c r="BT105" s="11"/>
      <c r="BU105" s="19"/>
      <c r="BV105" s="19"/>
      <c r="BW105" s="19"/>
    </row>
    <row r="106" spans="1:75" s="14" customFormat="1" ht="21" customHeight="1">
      <c r="A106" s="53" t="s">
        <v>82</v>
      </c>
      <c r="B106" s="54" t="s">
        <v>41</v>
      </c>
      <c r="C106" s="54" t="s">
        <v>41</v>
      </c>
      <c r="D106" s="54" t="s">
        <v>41</v>
      </c>
      <c r="E106" s="54" t="s">
        <v>41</v>
      </c>
      <c r="F106" s="54" t="s">
        <v>41</v>
      </c>
      <c r="G106" s="54" t="s">
        <v>41</v>
      </c>
      <c r="H106" s="123" t="s">
        <v>41</v>
      </c>
      <c r="I106" s="54" t="s">
        <v>41</v>
      </c>
      <c r="J106" s="54" t="s">
        <v>41</v>
      </c>
      <c r="K106" s="54" t="s">
        <v>41</v>
      </c>
      <c r="L106" s="54" t="s">
        <v>41</v>
      </c>
      <c r="M106" s="54" t="s">
        <v>41</v>
      </c>
      <c r="N106" s="54" t="s">
        <v>41</v>
      </c>
      <c r="O106" s="54" t="s">
        <v>41</v>
      </c>
      <c r="P106" s="54" t="s">
        <v>41</v>
      </c>
      <c r="Q106" s="54" t="s">
        <v>41</v>
      </c>
      <c r="R106" s="54" t="s">
        <v>41</v>
      </c>
      <c r="S106" s="54" t="s">
        <v>41</v>
      </c>
      <c r="T106" s="54" t="s">
        <v>41</v>
      </c>
      <c r="U106" s="123" t="s">
        <v>41</v>
      </c>
      <c r="V106" s="123" t="s">
        <v>41</v>
      </c>
      <c r="W106" s="123" t="s">
        <v>41</v>
      </c>
      <c r="X106" s="54" t="s">
        <v>41</v>
      </c>
      <c r="Y106" s="54" t="s">
        <v>41</v>
      </c>
      <c r="Z106" s="54" t="s">
        <v>41</v>
      </c>
      <c r="AA106" s="54" t="s">
        <v>41</v>
      </c>
      <c r="AB106" s="54" t="s">
        <v>41</v>
      </c>
      <c r="AC106" s="54" t="s">
        <v>41</v>
      </c>
      <c r="AD106" s="54" t="s">
        <v>41</v>
      </c>
      <c r="AE106" s="54" t="s">
        <v>41</v>
      </c>
      <c r="AF106" s="54" t="s">
        <v>41</v>
      </c>
      <c r="AG106" s="54" t="s">
        <v>41</v>
      </c>
      <c r="AH106" s="54" t="s">
        <v>1149</v>
      </c>
      <c r="AI106" s="54" t="s">
        <v>41</v>
      </c>
      <c r="AJ106" s="54" t="s">
        <v>2568</v>
      </c>
      <c r="AK106" s="54" t="s">
        <v>2568</v>
      </c>
      <c r="AL106" s="54" t="s">
        <v>41</v>
      </c>
      <c r="AM106" s="54" t="s">
        <v>41</v>
      </c>
      <c r="AN106" s="54" t="s">
        <v>41</v>
      </c>
      <c r="AO106" s="54" t="s">
        <v>41</v>
      </c>
      <c r="AP106" s="54" t="s">
        <v>41</v>
      </c>
      <c r="AQ106" s="54" t="s">
        <v>41</v>
      </c>
      <c r="AR106" s="54" t="s">
        <v>41</v>
      </c>
      <c r="AS106" s="54" t="s">
        <v>39</v>
      </c>
      <c r="AT106" s="54" t="s">
        <v>41</v>
      </c>
      <c r="AU106" s="54" t="s">
        <v>41</v>
      </c>
      <c r="AV106" s="54" t="s">
        <v>41</v>
      </c>
      <c r="AW106" s="54" t="s">
        <v>41</v>
      </c>
      <c r="AX106" s="54" t="s">
        <v>41</v>
      </c>
      <c r="AY106" s="54" t="s">
        <v>41</v>
      </c>
      <c r="AZ106" s="54" t="s">
        <v>41</v>
      </c>
      <c r="BA106" s="54" t="s">
        <v>41</v>
      </c>
      <c r="BB106" s="54" t="s">
        <v>41</v>
      </c>
      <c r="BC106" s="54" t="s">
        <v>41</v>
      </c>
      <c r="BD106" s="54" t="s">
        <v>41</v>
      </c>
      <c r="BE106" s="54" t="s">
        <v>41</v>
      </c>
      <c r="BF106" s="54" t="s">
        <v>41</v>
      </c>
      <c r="BG106" s="54" t="s">
        <v>41</v>
      </c>
      <c r="BH106" s="54" t="s">
        <v>41</v>
      </c>
      <c r="BI106" s="54" t="s">
        <v>41</v>
      </c>
      <c r="BJ106" s="54" t="s">
        <v>41</v>
      </c>
      <c r="BK106" s="54" t="s">
        <v>41</v>
      </c>
      <c r="BL106" s="54" t="s">
        <v>41</v>
      </c>
      <c r="BM106" s="54" t="s">
        <v>41</v>
      </c>
      <c r="BN106" s="54" t="s">
        <v>41</v>
      </c>
      <c r="BO106" s="54" t="s">
        <v>41</v>
      </c>
    </row>
    <row r="107" spans="1:75" s="2" customFormat="1" ht="11.25" customHeight="1">
      <c r="A107" s="95" t="s">
        <v>688</v>
      </c>
      <c r="B107" s="94"/>
      <c r="C107" s="94" t="s">
        <v>1252</v>
      </c>
      <c r="D107" s="94" t="s">
        <v>1252</v>
      </c>
      <c r="E107" s="94" t="s">
        <v>2008</v>
      </c>
      <c r="F107" s="94" t="s">
        <v>2008</v>
      </c>
      <c r="G107" s="94"/>
      <c r="H107" s="94" t="s">
        <v>2081</v>
      </c>
      <c r="I107" s="94" t="s">
        <v>1252</v>
      </c>
      <c r="J107" s="94" t="s">
        <v>1252</v>
      </c>
      <c r="K107" s="94" t="s">
        <v>1252</v>
      </c>
      <c r="L107" s="94" t="s">
        <v>1252</v>
      </c>
      <c r="M107" s="94" t="s">
        <v>1252</v>
      </c>
      <c r="N107" s="94" t="s">
        <v>1252</v>
      </c>
      <c r="O107" s="94" t="s">
        <v>2841</v>
      </c>
      <c r="P107" s="94" t="s">
        <v>1252</v>
      </c>
      <c r="Q107" s="94" t="s">
        <v>1252</v>
      </c>
      <c r="R107" s="94" t="s">
        <v>1660</v>
      </c>
      <c r="S107" s="94" t="s">
        <v>1252</v>
      </c>
      <c r="T107" s="94" t="s">
        <v>1252</v>
      </c>
      <c r="U107" s="94" t="s">
        <v>4106</v>
      </c>
      <c r="V107" s="94" t="s">
        <v>4106</v>
      </c>
      <c r="W107" s="94" t="s">
        <v>4106</v>
      </c>
      <c r="X107" s="94" t="s">
        <v>831</v>
      </c>
      <c r="Y107" s="94" t="s">
        <v>3951</v>
      </c>
      <c r="Z107" s="94" t="s">
        <v>3951</v>
      </c>
      <c r="AA107" s="94" t="s">
        <v>3951</v>
      </c>
      <c r="AB107" s="94"/>
      <c r="AC107" s="94" t="s">
        <v>1252</v>
      </c>
      <c r="AD107" s="94" t="s">
        <v>1252</v>
      </c>
      <c r="AE107" s="94" t="s">
        <v>1252</v>
      </c>
      <c r="AF107" s="94" t="s">
        <v>1252</v>
      </c>
      <c r="AG107" s="94" t="s">
        <v>1252</v>
      </c>
      <c r="AH107" s="94" t="s">
        <v>1150</v>
      </c>
      <c r="AI107" s="94"/>
      <c r="AJ107" s="94" t="s">
        <v>2168</v>
      </c>
      <c r="AK107" s="94" t="s">
        <v>2168</v>
      </c>
      <c r="AL107" s="94" t="s">
        <v>1252</v>
      </c>
      <c r="AM107" s="94" t="s">
        <v>3366</v>
      </c>
      <c r="AN107" s="94" t="s">
        <v>3320</v>
      </c>
      <c r="AO107" s="94" t="s">
        <v>3497</v>
      </c>
      <c r="AP107" s="94" t="s">
        <v>3497</v>
      </c>
      <c r="AQ107" s="94" t="s">
        <v>3497</v>
      </c>
      <c r="AR107" s="94" t="s">
        <v>3497</v>
      </c>
      <c r="AS107" s="94"/>
      <c r="AT107" s="94"/>
      <c r="AU107" s="94"/>
      <c r="AV107" s="94" t="s">
        <v>1494</v>
      </c>
      <c r="AW107" s="94" t="s">
        <v>1430</v>
      </c>
      <c r="AX107" s="94"/>
      <c r="AY107" s="94" t="s">
        <v>1252</v>
      </c>
      <c r="AZ107" s="94" t="s">
        <v>1252</v>
      </c>
      <c r="BA107" s="94" t="s">
        <v>1252</v>
      </c>
      <c r="BB107" s="94" t="s">
        <v>1740</v>
      </c>
      <c r="BC107" s="94" t="s">
        <v>874</v>
      </c>
      <c r="BD107" s="94" t="s">
        <v>874</v>
      </c>
      <c r="BE107" s="94" t="s">
        <v>1252</v>
      </c>
      <c r="BF107" s="94" t="s">
        <v>1252</v>
      </c>
      <c r="BG107" s="94" t="s">
        <v>784</v>
      </c>
      <c r="BH107" s="94" t="s">
        <v>3221</v>
      </c>
      <c r="BI107" s="94" t="s">
        <v>3221</v>
      </c>
      <c r="BJ107" s="94" t="s">
        <v>1252</v>
      </c>
      <c r="BK107" s="94" t="s">
        <v>1252</v>
      </c>
      <c r="BL107" s="94" t="s">
        <v>2183</v>
      </c>
      <c r="BM107" s="94" t="s">
        <v>1640</v>
      </c>
      <c r="BN107" s="94" t="s">
        <v>1640</v>
      </c>
      <c r="BO107" s="94"/>
      <c r="BR107" s="19"/>
      <c r="BS107" s="20"/>
      <c r="BT107" s="11"/>
      <c r="BU107" s="19"/>
      <c r="BV107" s="19"/>
      <c r="BW107" s="19"/>
    </row>
    <row r="108" spans="1:75" s="14" customFormat="1" ht="22.5" customHeight="1">
      <c r="A108" s="58" t="s">
        <v>49</v>
      </c>
      <c r="B108" s="54" t="s">
        <v>47</v>
      </c>
      <c r="C108" s="54" t="s">
        <v>2163</v>
      </c>
      <c r="D108" s="54" t="s">
        <v>607</v>
      </c>
      <c r="E108" s="54" t="s">
        <v>2163</v>
      </c>
      <c r="F108" s="54" t="s">
        <v>587</v>
      </c>
      <c r="G108" s="54" t="s">
        <v>2843</v>
      </c>
      <c r="H108" s="123" t="s">
        <v>4157</v>
      </c>
      <c r="I108" s="54" t="s">
        <v>2843</v>
      </c>
      <c r="J108" s="54" t="s">
        <v>607</v>
      </c>
      <c r="K108" s="54" t="s">
        <v>2163</v>
      </c>
      <c r="L108" s="54" t="s">
        <v>3046</v>
      </c>
      <c r="M108" s="54" t="s">
        <v>3046</v>
      </c>
      <c r="N108" s="54" t="s">
        <v>2843</v>
      </c>
      <c r="O108" s="54" t="s">
        <v>892</v>
      </c>
      <c r="P108" s="54" t="s">
        <v>3831</v>
      </c>
      <c r="Q108" s="54" t="s">
        <v>3845</v>
      </c>
      <c r="R108" s="54" t="s">
        <v>2844</v>
      </c>
      <c r="S108" s="54" t="s">
        <v>892</v>
      </c>
      <c r="T108" s="54" t="s">
        <v>2163</v>
      </c>
      <c r="U108" s="123" t="s">
        <v>1760</v>
      </c>
      <c r="V108" s="123" t="s">
        <v>2163</v>
      </c>
      <c r="W108" s="123" t="s">
        <v>4029</v>
      </c>
      <c r="X108" s="54" t="s">
        <v>2853</v>
      </c>
      <c r="Y108" s="54" t="s">
        <v>2601</v>
      </c>
      <c r="Z108" s="54" t="s">
        <v>3046</v>
      </c>
      <c r="AA108" s="54" t="s">
        <v>587</v>
      </c>
      <c r="AB108" s="54" t="s">
        <v>4225</v>
      </c>
      <c r="AC108" s="54" t="s">
        <v>3691</v>
      </c>
      <c r="AD108" s="54" t="s">
        <v>2845</v>
      </c>
      <c r="AE108" s="54" t="s">
        <v>2845</v>
      </c>
      <c r="AF108" s="54" t="s">
        <v>2846</v>
      </c>
      <c r="AG108" s="54" t="s">
        <v>587</v>
      </c>
      <c r="AH108" s="54" t="s">
        <v>2842</v>
      </c>
      <c r="AI108" s="54" t="s">
        <v>47</v>
      </c>
      <c r="AJ108" s="54" t="s">
        <v>2847</v>
      </c>
      <c r="AK108" s="54" t="s">
        <v>2847</v>
      </c>
      <c r="AL108" s="54" t="s">
        <v>2848</v>
      </c>
      <c r="AM108" s="54" t="s">
        <v>2849</v>
      </c>
      <c r="AN108" s="54" t="s">
        <v>2850</v>
      </c>
      <c r="AO108" s="54" t="s">
        <v>1251</v>
      </c>
      <c r="AP108" s="54" t="s">
        <v>1251</v>
      </c>
      <c r="AQ108" s="54" t="s">
        <v>587</v>
      </c>
      <c r="AR108" s="54" t="s">
        <v>587</v>
      </c>
      <c r="AS108" s="54" t="s">
        <v>39</v>
      </c>
      <c r="AT108" s="54" t="s">
        <v>48</v>
      </c>
      <c r="AU108" s="54" t="s">
        <v>48</v>
      </c>
      <c r="AV108" s="54" t="s">
        <v>892</v>
      </c>
      <c r="AW108" s="54" t="s">
        <v>1447</v>
      </c>
      <c r="AX108" s="54" t="s">
        <v>371</v>
      </c>
      <c r="AY108" s="54" t="s">
        <v>2842</v>
      </c>
      <c r="AZ108" s="54" t="s">
        <v>1251</v>
      </c>
      <c r="BA108" s="54" t="s">
        <v>2601</v>
      </c>
      <c r="BB108" s="54" t="s">
        <v>382</v>
      </c>
      <c r="BC108" s="54" t="s">
        <v>892</v>
      </c>
      <c r="BD108" s="54" t="s">
        <v>892</v>
      </c>
      <c r="BE108" s="54" t="s">
        <v>2851</v>
      </c>
      <c r="BF108" s="54" t="s">
        <v>587</v>
      </c>
      <c r="BG108" s="54" t="s">
        <v>587</v>
      </c>
      <c r="BH108" s="54" t="s">
        <v>3254</v>
      </c>
      <c r="BI108" s="54" t="s">
        <v>3254</v>
      </c>
      <c r="BJ108" s="54" t="s">
        <v>2163</v>
      </c>
      <c r="BK108" s="54" t="s">
        <v>587</v>
      </c>
      <c r="BL108" s="54" t="s">
        <v>2163</v>
      </c>
      <c r="BM108" s="54" t="s">
        <v>2843</v>
      </c>
      <c r="BN108" s="54" t="s">
        <v>2852</v>
      </c>
      <c r="BO108" s="54" t="s">
        <v>47</v>
      </c>
    </row>
    <row r="109" spans="1:75" s="2" customFormat="1" ht="11.25" customHeight="1">
      <c r="A109" s="95" t="s">
        <v>688</v>
      </c>
      <c r="B109" s="94"/>
      <c r="C109" s="94" t="s">
        <v>3120</v>
      </c>
      <c r="D109" s="94" t="s">
        <v>3121</v>
      </c>
      <c r="E109" s="94" t="s">
        <v>1948</v>
      </c>
      <c r="F109" s="94" t="s">
        <v>1976</v>
      </c>
      <c r="G109" s="94" t="s">
        <v>3635</v>
      </c>
      <c r="H109" s="94" t="s">
        <v>2082</v>
      </c>
      <c r="I109" s="94" t="s">
        <v>2692</v>
      </c>
      <c r="J109" s="94" t="s">
        <v>2740</v>
      </c>
      <c r="K109" s="94" t="s">
        <v>2744</v>
      </c>
      <c r="L109" s="94" t="s">
        <v>2738</v>
      </c>
      <c r="M109" s="94" t="s">
        <v>2738</v>
      </c>
      <c r="N109" s="94" t="s">
        <v>1250</v>
      </c>
      <c r="O109" s="94" t="s">
        <v>2841</v>
      </c>
      <c r="P109" s="94" t="s">
        <v>3830</v>
      </c>
      <c r="Q109" s="94" t="s">
        <v>1326</v>
      </c>
      <c r="R109" s="94" t="s">
        <v>1657</v>
      </c>
      <c r="S109" s="94" t="s">
        <v>1250</v>
      </c>
      <c r="T109" s="94" t="s">
        <v>3701</v>
      </c>
      <c r="U109" s="94" t="s">
        <v>4045</v>
      </c>
      <c r="V109" s="94" t="s">
        <v>4044</v>
      </c>
      <c r="W109" s="94" t="s">
        <v>4084</v>
      </c>
      <c r="X109" s="94" t="s">
        <v>807</v>
      </c>
      <c r="Y109" s="94" t="s">
        <v>3952</v>
      </c>
      <c r="Z109" s="94" t="s">
        <v>3953</v>
      </c>
      <c r="AA109" s="94" t="s">
        <v>3954</v>
      </c>
      <c r="AB109" s="94" t="s">
        <v>4226</v>
      </c>
      <c r="AC109" s="94" t="s">
        <v>3690</v>
      </c>
      <c r="AD109" s="94" t="s">
        <v>2431</v>
      </c>
      <c r="AE109" s="94" t="s">
        <v>2432</v>
      </c>
      <c r="AF109" s="94" t="s">
        <v>2433</v>
      </c>
      <c r="AG109" s="94" t="s">
        <v>2309</v>
      </c>
      <c r="AH109" s="94" t="s">
        <v>1130</v>
      </c>
      <c r="AI109" s="94"/>
      <c r="AJ109" s="94" t="s">
        <v>2463</v>
      </c>
      <c r="AK109" s="94" t="s">
        <v>2463</v>
      </c>
      <c r="AL109" s="94" t="s">
        <v>1250</v>
      </c>
      <c r="AM109" s="94" t="s">
        <v>3321</v>
      </c>
      <c r="AN109" s="94" t="s">
        <v>3321</v>
      </c>
      <c r="AO109" s="94" t="s">
        <v>3496</v>
      </c>
      <c r="AP109" s="94" t="s">
        <v>3496</v>
      </c>
      <c r="AQ109" s="94" t="s">
        <v>3496</v>
      </c>
      <c r="AR109" s="94" t="s">
        <v>3495</v>
      </c>
      <c r="AS109" s="94"/>
      <c r="AT109" s="94"/>
      <c r="AU109" s="94"/>
      <c r="AV109" s="94" t="s">
        <v>1446</v>
      </c>
      <c r="AW109" s="94" t="s">
        <v>1446</v>
      </c>
      <c r="AX109" s="94"/>
      <c r="AY109" s="94" t="s">
        <v>1250</v>
      </c>
      <c r="AZ109" s="94" t="s">
        <v>1250</v>
      </c>
      <c r="BA109" s="94" t="s">
        <v>1250</v>
      </c>
      <c r="BB109" s="94" t="s">
        <v>1720</v>
      </c>
      <c r="BC109" s="94" t="s">
        <v>893</v>
      </c>
      <c r="BD109" s="94" t="s">
        <v>893</v>
      </c>
      <c r="BE109" s="94" t="s">
        <v>1336</v>
      </c>
      <c r="BF109" s="94" t="s">
        <v>1336</v>
      </c>
      <c r="BG109" s="94" t="s">
        <v>785</v>
      </c>
      <c r="BH109" s="94" t="s">
        <v>3221</v>
      </c>
      <c r="BI109" s="94" t="s">
        <v>3221</v>
      </c>
      <c r="BJ109" s="94" t="s">
        <v>3405</v>
      </c>
      <c r="BK109" s="94" t="s">
        <v>2117</v>
      </c>
      <c r="BL109" s="94" t="s">
        <v>2182</v>
      </c>
      <c r="BM109" s="94" t="s">
        <v>1585</v>
      </c>
      <c r="BN109" s="94" t="s">
        <v>1609</v>
      </c>
      <c r="BO109" s="94"/>
      <c r="BR109" s="19"/>
      <c r="BS109" s="20"/>
      <c r="BT109" s="11"/>
      <c r="BU109" s="19"/>
      <c r="BV109" s="19"/>
      <c r="BW109" s="19"/>
    </row>
    <row r="110" spans="1:75" s="14" customFormat="1" ht="22.5" customHeight="1">
      <c r="A110" s="53" t="s">
        <v>156</v>
      </c>
      <c r="B110" s="54" t="s">
        <v>41</v>
      </c>
      <c r="C110" s="54" t="s">
        <v>41</v>
      </c>
      <c r="D110" s="54" t="s">
        <v>41</v>
      </c>
      <c r="E110" s="54" t="s">
        <v>41</v>
      </c>
      <c r="F110" s="54" t="s">
        <v>41</v>
      </c>
      <c r="G110" s="54" t="s">
        <v>39</v>
      </c>
      <c r="H110" s="123" t="s">
        <v>41</v>
      </c>
      <c r="I110" s="54" t="s">
        <v>41</v>
      </c>
      <c r="J110" s="54" t="s">
        <v>41</v>
      </c>
      <c r="K110" s="54" t="s">
        <v>41</v>
      </c>
      <c r="L110" s="54" t="s">
        <v>39</v>
      </c>
      <c r="M110" s="54" t="s">
        <v>39</v>
      </c>
      <c r="N110" s="54" t="s">
        <v>41</v>
      </c>
      <c r="O110" s="54" t="s">
        <v>39</v>
      </c>
      <c r="P110" s="54" t="s">
        <v>41</v>
      </c>
      <c r="Q110" s="54" t="s">
        <v>41</v>
      </c>
      <c r="R110" s="54" t="s">
        <v>39</v>
      </c>
      <c r="S110" s="54" t="s">
        <v>39</v>
      </c>
      <c r="T110" s="54" t="s">
        <v>41</v>
      </c>
      <c r="U110" s="123" t="s">
        <v>41</v>
      </c>
      <c r="V110" s="123" t="s">
        <v>41</v>
      </c>
      <c r="W110" s="123" t="s">
        <v>41</v>
      </c>
      <c r="X110" s="54" t="s">
        <v>41</v>
      </c>
      <c r="Y110" s="54" t="s">
        <v>41</v>
      </c>
      <c r="Z110" s="54" t="s">
        <v>41</v>
      </c>
      <c r="AA110" s="54" t="s">
        <v>41</v>
      </c>
      <c r="AB110" s="54" t="s">
        <v>4209</v>
      </c>
      <c r="AC110" s="54" t="s">
        <v>3673</v>
      </c>
      <c r="AD110" s="54" t="s">
        <v>41</v>
      </c>
      <c r="AE110" s="54" t="s">
        <v>41</v>
      </c>
      <c r="AF110" s="54" t="s">
        <v>41</v>
      </c>
      <c r="AG110" s="54" t="s">
        <v>41</v>
      </c>
      <c r="AH110" s="54" t="s">
        <v>39</v>
      </c>
      <c r="AI110" s="54" t="s">
        <v>41</v>
      </c>
      <c r="AJ110" s="54" t="s">
        <v>41</v>
      </c>
      <c r="AK110" s="54" t="s">
        <v>41</v>
      </c>
      <c r="AL110" s="54" t="s">
        <v>41</v>
      </c>
      <c r="AM110" s="54" t="s">
        <v>3367</v>
      </c>
      <c r="AN110" s="54" t="s">
        <v>3367</v>
      </c>
      <c r="AO110" s="54" t="s">
        <v>41</v>
      </c>
      <c r="AP110" s="54" t="s">
        <v>41</v>
      </c>
      <c r="AQ110" s="54" t="s">
        <v>41</v>
      </c>
      <c r="AR110" s="54" t="s">
        <v>41</v>
      </c>
      <c r="AS110" s="54" t="s">
        <v>39</v>
      </c>
      <c r="AT110" s="54" t="s">
        <v>41</v>
      </c>
      <c r="AU110" s="54" t="s">
        <v>41</v>
      </c>
      <c r="AV110" s="54" t="s">
        <v>41</v>
      </c>
      <c r="AW110" s="54" t="s">
        <v>41</v>
      </c>
      <c r="AX110" s="54" t="s">
        <v>41</v>
      </c>
      <c r="AY110" s="54" t="s">
        <v>39</v>
      </c>
      <c r="AZ110" s="54" t="s">
        <v>41</v>
      </c>
      <c r="BA110" s="48" t="s">
        <v>39</v>
      </c>
      <c r="BB110" s="54" t="s">
        <v>41</v>
      </c>
      <c r="BC110" s="54" t="s">
        <v>39</v>
      </c>
      <c r="BD110" s="54" t="s">
        <v>39</v>
      </c>
      <c r="BE110" s="54" t="s">
        <v>41</v>
      </c>
      <c r="BF110" s="54" t="s">
        <v>41</v>
      </c>
      <c r="BG110" s="54" t="s">
        <v>41</v>
      </c>
      <c r="BH110" s="54" t="s">
        <v>41</v>
      </c>
      <c r="BI110" s="54" t="s">
        <v>41</v>
      </c>
      <c r="BJ110" s="54" t="s">
        <v>41</v>
      </c>
      <c r="BK110" s="54" t="s">
        <v>41</v>
      </c>
      <c r="BL110" s="54" t="s">
        <v>41</v>
      </c>
      <c r="BM110" s="54" t="s">
        <v>41</v>
      </c>
      <c r="BN110" s="54" t="s">
        <v>41</v>
      </c>
      <c r="BO110" s="54" t="s">
        <v>41</v>
      </c>
    </row>
    <row r="111" spans="1:75" s="2" customFormat="1" ht="11.25" customHeight="1">
      <c r="A111" s="95" t="s">
        <v>688</v>
      </c>
      <c r="B111" s="94"/>
      <c r="C111" s="94" t="s">
        <v>3124</v>
      </c>
      <c r="D111" s="94" t="s">
        <v>3123</v>
      </c>
      <c r="E111" s="94" t="s">
        <v>2009</v>
      </c>
      <c r="F111" s="94" t="s">
        <v>2009</v>
      </c>
      <c r="G111" s="94"/>
      <c r="H111" s="94" t="s">
        <v>2080</v>
      </c>
      <c r="I111" s="94" t="s">
        <v>2214</v>
      </c>
      <c r="J111" s="94" t="s">
        <v>1235</v>
      </c>
      <c r="K111" s="94" t="s">
        <v>1246</v>
      </c>
      <c r="L111" s="94" t="s">
        <v>39</v>
      </c>
      <c r="M111" s="94" t="s">
        <v>39</v>
      </c>
      <c r="N111" s="94" t="s">
        <v>1419</v>
      </c>
      <c r="O111" s="94" t="s">
        <v>39</v>
      </c>
      <c r="P111" s="94" t="s">
        <v>3832</v>
      </c>
      <c r="Q111" s="94" t="s">
        <v>2495</v>
      </c>
      <c r="R111" s="94" t="s">
        <v>39</v>
      </c>
      <c r="S111" s="94" t="s">
        <v>39</v>
      </c>
      <c r="T111" s="94" t="s">
        <v>1411</v>
      </c>
      <c r="U111" s="94" t="s">
        <v>4124</v>
      </c>
      <c r="V111" s="94" t="s">
        <v>4124</v>
      </c>
      <c r="W111" s="94" t="s">
        <v>4124</v>
      </c>
      <c r="X111" s="94" t="s">
        <v>816</v>
      </c>
      <c r="Y111" s="94" t="s">
        <v>3955</v>
      </c>
      <c r="Z111" s="94" t="s">
        <v>3956</v>
      </c>
      <c r="AA111" s="94" t="s">
        <v>3957</v>
      </c>
      <c r="AB111" s="94"/>
      <c r="AC111" s="94" t="s">
        <v>3672</v>
      </c>
      <c r="AD111" s="94" t="s">
        <v>2424</v>
      </c>
      <c r="AE111" s="94" t="s">
        <v>2392</v>
      </c>
      <c r="AF111" s="94" t="s">
        <v>2349</v>
      </c>
      <c r="AG111" s="94" t="s">
        <v>2297</v>
      </c>
      <c r="AH111" s="94" t="s">
        <v>1163</v>
      </c>
      <c r="AI111" s="94"/>
      <c r="AJ111" s="94" t="s">
        <v>2502</v>
      </c>
      <c r="AK111" s="94" t="s">
        <v>2519</v>
      </c>
      <c r="AL111" s="94" t="s">
        <v>1419</v>
      </c>
      <c r="AM111" s="94" t="s">
        <v>3368</v>
      </c>
      <c r="AN111" s="94" t="s">
        <v>3369</v>
      </c>
      <c r="AO111" s="94" t="s">
        <v>3629</v>
      </c>
      <c r="AP111" s="94" t="s">
        <v>3629</v>
      </c>
      <c r="AQ111" s="94" t="s">
        <v>3540</v>
      </c>
      <c r="AR111" s="94" t="s">
        <v>3540</v>
      </c>
      <c r="AS111" s="94"/>
      <c r="AT111" s="94"/>
      <c r="AU111" s="94"/>
      <c r="AV111" s="94" t="s">
        <v>1441</v>
      </c>
      <c r="AW111" s="94" t="s">
        <v>1441</v>
      </c>
      <c r="AX111" s="94"/>
      <c r="AY111" s="94" t="s">
        <v>39</v>
      </c>
      <c r="AZ111" s="94" t="s">
        <v>1226</v>
      </c>
      <c r="BA111" s="94" t="s">
        <v>39</v>
      </c>
      <c r="BB111" s="94" t="s">
        <v>2870</v>
      </c>
      <c r="BC111" s="94" t="s">
        <v>39</v>
      </c>
      <c r="BD111" s="94" t="s">
        <v>39</v>
      </c>
      <c r="BE111" s="94" t="s">
        <v>1331</v>
      </c>
      <c r="BF111" s="94" t="s">
        <v>1331</v>
      </c>
      <c r="BG111" s="94" t="s">
        <v>786</v>
      </c>
      <c r="BH111" s="94" t="s">
        <v>3248</v>
      </c>
      <c r="BI111" s="94" t="s">
        <v>3248</v>
      </c>
      <c r="BJ111" s="94" t="s">
        <v>2156</v>
      </c>
      <c r="BK111" s="94" t="s">
        <v>2156</v>
      </c>
      <c r="BL111" s="94" t="s">
        <v>2215</v>
      </c>
      <c r="BM111" s="94" t="s">
        <v>1612</v>
      </c>
      <c r="BN111" s="94" t="s">
        <v>1612</v>
      </c>
      <c r="BO111" s="94"/>
      <c r="BR111" s="19"/>
      <c r="BS111" s="20"/>
      <c r="BT111" s="11"/>
      <c r="BU111" s="19"/>
      <c r="BV111" s="19"/>
      <c r="BW111" s="19"/>
    </row>
    <row r="112" spans="1:75" s="14" customFormat="1" ht="75" customHeight="1">
      <c r="A112" s="53" t="s">
        <v>4321</v>
      </c>
      <c r="B112" s="54" t="s">
        <v>4323</v>
      </c>
      <c r="C112" s="54" t="s">
        <v>4338</v>
      </c>
      <c r="D112" s="54" t="s">
        <v>4341</v>
      </c>
      <c r="E112" s="54" t="s">
        <v>4323</v>
      </c>
      <c r="F112" s="54" t="s">
        <v>4323</v>
      </c>
      <c r="G112" s="54" t="s">
        <v>4323</v>
      </c>
      <c r="H112" s="123" t="s">
        <v>4344</v>
      </c>
      <c r="I112" s="54" t="s">
        <v>4346</v>
      </c>
      <c r="J112" s="54" t="s">
        <v>4323</v>
      </c>
      <c r="K112" s="54" t="s">
        <v>4323</v>
      </c>
      <c r="L112" s="54" t="s">
        <v>4323</v>
      </c>
      <c r="M112" s="54" t="s">
        <v>4323</v>
      </c>
      <c r="N112" s="54" t="s">
        <v>4323</v>
      </c>
      <c r="O112" s="54" t="s">
        <v>4323</v>
      </c>
      <c r="P112" s="54" t="s">
        <v>4323</v>
      </c>
      <c r="Q112" s="54" t="s">
        <v>4323</v>
      </c>
      <c r="R112" s="54" t="s">
        <v>4323</v>
      </c>
      <c r="S112" s="54" t="s">
        <v>4323</v>
      </c>
      <c r="T112" s="54" t="s">
        <v>4209</v>
      </c>
      <c r="U112" s="123" t="s">
        <v>4325</v>
      </c>
      <c r="V112" s="123" t="s">
        <v>4327</v>
      </c>
      <c r="W112" s="123" t="s">
        <v>4329</v>
      </c>
      <c r="X112" s="54" t="s">
        <v>4332</v>
      </c>
      <c r="Y112" s="54" t="s">
        <v>4209</v>
      </c>
      <c r="Z112" s="54" t="s">
        <v>4335</v>
      </c>
      <c r="AA112" s="54" t="s">
        <v>4335</v>
      </c>
      <c r="AB112" s="54" t="s">
        <v>4323</v>
      </c>
      <c r="AC112" s="54" t="s">
        <v>4355</v>
      </c>
      <c r="AD112" s="54" t="s">
        <v>4209</v>
      </c>
      <c r="AE112" s="54" t="s">
        <v>4358</v>
      </c>
      <c r="AF112" s="54" t="s">
        <v>4363</v>
      </c>
      <c r="AG112" s="54" t="s">
        <v>4361</v>
      </c>
      <c r="AH112" s="54" t="s">
        <v>4209</v>
      </c>
      <c r="AI112" s="54" t="s">
        <v>4209</v>
      </c>
      <c r="AJ112" s="54" t="s">
        <v>4364</v>
      </c>
      <c r="AK112" s="54" t="s">
        <v>4368</v>
      </c>
      <c r="AL112" s="54" t="s">
        <v>4209</v>
      </c>
      <c r="AM112" s="54" t="s">
        <v>4370</v>
      </c>
      <c r="AN112" s="54" t="s">
        <v>4323</v>
      </c>
      <c r="AO112" s="54" t="s">
        <v>4323</v>
      </c>
      <c r="AP112" s="54" t="s">
        <v>4323</v>
      </c>
      <c r="AQ112" s="54" t="s">
        <v>4323</v>
      </c>
      <c r="AR112" s="54" t="s">
        <v>4323</v>
      </c>
      <c r="AS112" s="54" t="s">
        <v>4209</v>
      </c>
      <c r="AT112" s="54" t="s">
        <v>4209</v>
      </c>
      <c r="AU112" s="54" t="s">
        <v>4209</v>
      </c>
      <c r="AV112" s="54" t="s">
        <v>4323</v>
      </c>
      <c r="AW112" s="54" t="s">
        <v>4323</v>
      </c>
      <c r="AX112" s="54" t="s">
        <v>4323</v>
      </c>
      <c r="AY112" s="54" t="s">
        <v>4323</v>
      </c>
      <c r="AZ112" s="54" t="s">
        <v>4323</v>
      </c>
      <c r="BA112" s="54" t="s">
        <v>4323</v>
      </c>
      <c r="BB112" s="54" t="s">
        <v>4323</v>
      </c>
      <c r="BC112" s="54" t="s">
        <v>4323</v>
      </c>
      <c r="BD112" s="54" t="s">
        <v>4323</v>
      </c>
      <c r="BE112" s="54" t="s">
        <v>4379</v>
      </c>
      <c r="BF112" s="54" t="s">
        <v>4381</v>
      </c>
      <c r="BG112" s="54" t="s">
        <v>4323</v>
      </c>
      <c r="BH112" s="54" t="s">
        <v>4323</v>
      </c>
      <c r="BI112" s="54" t="s">
        <v>4323</v>
      </c>
      <c r="BJ112" s="54" t="s">
        <v>4323</v>
      </c>
      <c r="BK112" s="54" t="s">
        <v>4323</v>
      </c>
      <c r="BL112" s="54" t="s">
        <v>4385</v>
      </c>
      <c r="BM112" s="54" t="s">
        <v>4323</v>
      </c>
      <c r="BN112" s="54" t="s">
        <v>4323</v>
      </c>
      <c r="BO112" s="54" t="s">
        <v>4323</v>
      </c>
    </row>
    <row r="113" spans="1:75" s="2" customFormat="1" ht="11.25" customHeight="1">
      <c r="A113" s="95" t="s">
        <v>688</v>
      </c>
      <c r="B113" s="94" t="s">
        <v>4322</v>
      </c>
      <c r="C113" s="94" t="s">
        <v>4339</v>
      </c>
      <c r="D113" s="94" t="s">
        <v>1246</v>
      </c>
      <c r="E113" s="94" t="s">
        <v>4342</v>
      </c>
      <c r="F113" s="94" t="s">
        <v>4342</v>
      </c>
      <c r="G113" s="94" t="s">
        <v>4343</v>
      </c>
      <c r="H113" s="94" t="s">
        <v>4345</v>
      </c>
      <c r="I113" s="94" t="s">
        <v>4347</v>
      </c>
      <c r="J113" s="94" t="s">
        <v>4322</v>
      </c>
      <c r="K113" s="94" t="s">
        <v>4322</v>
      </c>
      <c r="L113" s="94" t="s">
        <v>4348</v>
      </c>
      <c r="M113" s="94" t="s">
        <v>4348</v>
      </c>
      <c r="N113" s="94" t="s">
        <v>4349</v>
      </c>
      <c r="O113" s="94" t="s">
        <v>4350</v>
      </c>
      <c r="P113" s="94" t="s">
        <v>4351</v>
      </c>
      <c r="Q113" s="94" t="s">
        <v>4352</v>
      </c>
      <c r="R113" s="94" t="s">
        <v>4353</v>
      </c>
      <c r="S113" s="94" t="s">
        <v>4322</v>
      </c>
      <c r="T113" s="94"/>
      <c r="U113" s="94" t="s">
        <v>4330</v>
      </c>
      <c r="V113" s="94" t="s">
        <v>4330</v>
      </c>
      <c r="W113" s="94" t="s">
        <v>4330</v>
      </c>
      <c r="X113" s="94" t="s">
        <v>4333</v>
      </c>
      <c r="Y113" s="94"/>
      <c r="Z113" s="94" t="s">
        <v>4336</v>
      </c>
      <c r="AA113" s="94" t="s">
        <v>4336</v>
      </c>
      <c r="AB113" s="94" t="s">
        <v>4322</v>
      </c>
      <c r="AC113" s="94" t="s">
        <v>4356</v>
      </c>
      <c r="AD113" s="94"/>
      <c r="AE113" s="94"/>
      <c r="AF113" s="94"/>
      <c r="AG113" s="94" t="s">
        <v>4359</v>
      </c>
      <c r="AH113" s="94"/>
      <c r="AI113" s="94"/>
      <c r="AJ113" s="94" t="s">
        <v>4365</v>
      </c>
      <c r="AK113" s="94" t="s">
        <v>4366</v>
      </c>
      <c r="AL113" s="94"/>
      <c r="AM113" s="94" t="s">
        <v>4371</v>
      </c>
      <c r="AN113" s="94" t="s">
        <v>4372</v>
      </c>
      <c r="AO113" s="94" t="s">
        <v>4373</v>
      </c>
      <c r="AP113" s="94" t="s">
        <v>4373</v>
      </c>
      <c r="AQ113" s="94" t="s">
        <v>4374</v>
      </c>
      <c r="AR113" s="94" t="s">
        <v>4375</v>
      </c>
      <c r="AS113" s="94"/>
      <c r="AT113" s="94"/>
      <c r="AU113" s="94"/>
      <c r="AV113" s="94" t="s">
        <v>4377</v>
      </c>
      <c r="AW113" s="94" t="s">
        <v>4322</v>
      </c>
      <c r="AX113" s="94" t="s">
        <v>4376</v>
      </c>
      <c r="AY113" s="94" t="s">
        <v>4376</v>
      </c>
      <c r="AZ113" s="94" t="s">
        <v>4376</v>
      </c>
      <c r="BA113" s="94" t="s">
        <v>4322</v>
      </c>
      <c r="BB113" s="94" t="s">
        <v>4378</v>
      </c>
      <c r="BC113" s="94" t="s">
        <v>4322</v>
      </c>
      <c r="BD113" s="94" t="s">
        <v>4322</v>
      </c>
      <c r="BE113" s="94" t="s">
        <v>4380</v>
      </c>
      <c r="BF113" s="94" t="s">
        <v>4382</v>
      </c>
      <c r="BG113" s="94" t="s">
        <v>4322</v>
      </c>
      <c r="BH113" s="94" t="s">
        <v>4383</v>
      </c>
      <c r="BI113" s="94" t="s">
        <v>4383</v>
      </c>
      <c r="BJ113" s="94" t="s">
        <v>4322</v>
      </c>
      <c r="BK113" s="94" t="s">
        <v>4322</v>
      </c>
      <c r="BL113" s="94" t="s">
        <v>4386</v>
      </c>
      <c r="BM113" s="94" t="s">
        <v>4387</v>
      </c>
      <c r="BN113" s="94" t="s">
        <v>4388</v>
      </c>
      <c r="BO113" s="94" t="s">
        <v>4322</v>
      </c>
      <c r="BR113" s="19"/>
      <c r="BS113" s="20"/>
      <c r="BT113" s="11"/>
      <c r="BU113" s="19"/>
      <c r="BV113" s="19"/>
      <c r="BW113" s="19"/>
    </row>
    <row r="114" spans="1:75" s="2" customFormat="1" ht="22.5" customHeight="1">
      <c r="A114" s="50" t="s">
        <v>71</v>
      </c>
      <c r="B114" s="57" t="str">
        <f t="shared" ref="B114:AX114" si="6">B1</f>
        <v>Alte Leipziger XXL</v>
      </c>
      <c r="C114" s="57" t="str">
        <f t="shared" si="6"/>
        <v>Ammerländer Excellent</v>
      </c>
      <c r="D114" s="57" t="str">
        <f t="shared" si="6"/>
        <v>Ammerländer Exclusiv</v>
      </c>
      <c r="E114" s="57" t="str">
        <f t="shared" si="6"/>
        <v>ARAG Komfort</v>
      </c>
      <c r="F114" s="57" t="str">
        <f t="shared" si="6"/>
        <v>ARAG Premium</v>
      </c>
      <c r="G114" s="57" t="str">
        <f t="shared" si="6"/>
        <v>AXA Komfort ohne BR</v>
      </c>
      <c r="H114" s="57" t="str">
        <f t="shared" si="6"/>
        <v>Baden Badener Top 2013</v>
      </c>
      <c r="I114" s="57" t="str">
        <f t="shared" si="6"/>
        <v>Basler UnfallProtect - Max</v>
      </c>
      <c r="J114" s="57" t="str">
        <f t="shared" si="6"/>
        <v>Condor Comfort</v>
      </c>
      <c r="K114" s="57" t="str">
        <f t="shared" si="6"/>
        <v>Condor Premium</v>
      </c>
      <c r="L114" s="57" t="str">
        <f t="shared" si="6"/>
        <v>Cosmos Comfort-Schutz</v>
      </c>
      <c r="M114" s="57" t="str">
        <f t="shared" si="6"/>
        <v>Cosmos Comfort-Schutz Plus</v>
      </c>
      <c r="N114" s="57" t="str">
        <f t="shared" si="6"/>
        <v>Debeka</v>
      </c>
      <c r="O114" s="57" t="str">
        <f t="shared" si="6"/>
        <v>DEVK Komplett</v>
      </c>
      <c r="P114" s="57" t="str">
        <f>P1</f>
        <v>die Bayerische Komfort</v>
      </c>
      <c r="Q114" s="57" t="str">
        <f>Q1</f>
        <v>die Bayerische Standard</v>
      </c>
      <c r="R114" s="57" t="str">
        <f t="shared" si="6"/>
        <v>ERGO Unfallschutz Familie</v>
      </c>
      <c r="S114" s="57" t="str">
        <f t="shared" si="6"/>
        <v>GDV Musterbedingungen</v>
      </c>
      <c r="T114" s="57" t="str">
        <f t="shared" si="6"/>
        <v>Generali Komfort Plus</v>
      </c>
      <c r="U114" s="57" t="str">
        <f t="shared" si="6"/>
        <v>Gothaer Unfall 2014</v>
      </c>
      <c r="V114" s="57" t="str">
        <f t="shared" si="6"/>
        <v>Gothaer UnfallTop 2014</v>
      </c>
      <c r="W114" s="57" t="str">
        <f t="shared" si="6"/>
        <v>Gothaer UnfallTop 2014 Plus</v>
      </c>
      <c r="X114" s="57" t="str">
        <f>X1</f>
        <v>Häger Top</v>
      </c>
      <c r="Y114" s="57" t="str">
        <f>Y1</f>
        <v>HanseMerkur Grund-Schutz</v>
      </c>
      <c r="Z114" s="57" t="str">
        <f>Z1</f>
        <v>HanseMerkur Kompakt-Schutz</v>
      </c>
      <c r="AA114" s="57" t="str">
        <f>AA1</f>
        <v>HanseMerkur Top-Schutz</v>
      </c>
      <c r="AB114" s="57" t="s">
        <v>4170</v>
      </c>
      <c r="AC114" s="57" t="str">
        <f>AC1</f>
        <v>Helvetia Komfort</v>
      </c>
      <c r="AD114" s="57" t="str">
        <f t="shared" si="6"/>
        <v>HKD Basisschutz</v>
      </c>
      <c r="AE114" s="57" t="str">
        <f t="shared" si="6"/>
        <v>HKD Komfortschutz</v>
      </c>
      <c r="AF114" s="57" t="str">
        <f t="shared" si="6"/>
        <v>HKD Komfortschutz Plus</v>
      </c>
      <c r="AG114" s="57" t="str">
        <f t="shared" si="6"/>
        <v>HKD Vollschutz</v>
      </c>
      <c r="AH114" s="57" t="str">
        <f t="shared" si="6"/>
        <v>Ideal Unfall Rente Exklusiv</v>
      </c>
      <c r="AI114" s="57" t="str">
        <f t="shared" si="6"/>
        <v>Interlloyd AUB 2000</v>
      </c>
      <c r="AJ114" s="57" t="str">
        <f t="shared" si="6"/>
        <v>Interlloyd Premium</v>
      </c>
      <c r="AK114" s="57" t="str">
        <f t="shared" si="6"/>
        <v>Interlloyd Premium Plus</v>
      </c>
      <c r="AL114" s="57" t="str">
        <f t="shared" si="6"/>
        <v>Interlloyd Protect</v>
      </c>
      <c r="AM114" s="57" t="str">
        <f t="shared" si="6"/>
        <v>Interrisk XL (Plus-Taxe)</v>
      </c>
      <c r="AN114" s="57" t="str">
        <f t="shared" si="6"/>
        <v>Interrisk XXL (Maxi-Taxe)</v>
      </c>
      <c r="AO114" s="57" t="str">
        <f t="shared" si="6"/>
        <v>Janitos Balance</v>
      </c>
      <c r="AP114" s="57" t="str">
        <f>AP1</f>
        <v>Janitos Balance Plus</v>
      </c>
      <c r="AQ114" s="57" t="str">
        <f>AQ1</f>
        <v>Janitos Best Selection</v>
      </c>
      <c r="AR114" s="57" t="str">
        <f>AR1</f>
        <v>Janitos Best Selection Plus</v>
      </c>
      <c r="AS114" s="57" t="str">
        <f t="shared" si="6"/>
        <v>Keine</v>
      </c>
      <c r="AT114" s="57" t="str">
        <f t="shared" si="6"/>
        <v>KRAVAG Familien-UV 2011</v>
      </c>
      <c r="AU114" s="57" t="str">
        <f t="shared" si="6"/>
        <v>KRAVAG Gruppen-UV 2011</v>
      </c>
      <c r="AV114" s="136" t="str">
        <f t="shared" si="6"/>
        <v>nationale suisse Komfort</v>
      </c>
      <c r="AW114" s="136" t="str">
        <f t="shared" si="6"/>
        <v>nationale suisse Premium</v>
      </c>
      <c r="AX114" s="57" t="str">
        <f t="shared" si="6"/>
        <v>Nürnberger</v>
      </c>
      <c r="AY114" s="57"/>
      <c r="AZ114" s="57" t="str">
        <f>AZ1</f>
        <v>Prokundo Unfall</v>
      </c>
      <c r="BA114" s="57" t="str">
        <f t="shared" ref="BA114:BL114" si="7">BA1</f>
        <v>Provinzial Rundumschutz</v>
      </c>
      <c r="BB114" s="57" t="str">
        <f t="shared" si="7"/>
        <v>R+V PrivatPolice Comfort</v>
      </c>
      <c r="BC114" s="57" t="str">
        <f t="shared" si="7"/>
        <v>Signal Iduna Exklusiv</v>
      </c>
      <c r="BD114" s="57" t="str">
        <f t="shared" si="7"/>
        <v>Signal Iduna Exklusiv (ÖD)
z.B. PVAG, VÖDAG</v>
      </c>
      <c r="BE114" s="57" t="str">
        <f t="shared" si="7"/>
        <v>SLP Primus</v>
      </c>
      <c r="BF114" s="57" t="str">
        <f t="shared" si="7"/>
        <v>SLP Primus Plus</v>
      </c>
      <c r="BG114" s="57" t="str">
        <f>BG1</f>
        <v>Stuttgarter 1000Plus</v>
      </c>
      <c r="BH114" s="57" t="str">
        <f t="shared" si="7"/>
        <v>VdVA Classic</v>
      </c>
      <c r="BI114" s="57" t="str">
        <f t="shared" si="7"/>
        <v>VdVA Exclusiv</v>
      </c>
      <c r="BJ114" s="57" t="str">
        <f>BJ1</f>
        <v>VHV Klassik Garant</v>
      </c>
      <c r="BK114" s="57" t="str">
        <f t="shared" si="7"/>
        <v>VHV Klassik Garant Exklusiv</v>
      </c>
      <c r="BL114" s="57" t="str">
        <f t="shared" si="7"/>
        <v>WÜBA Unfall AKTIV Premium</v>
      </c>
      <c r="BM114" s="57" t="str">
        <f>BM1</f>
        <v>Württembergische Platinum</v>
      </c>
      <c r="BN114" s="57" t="str">
        <f>BN1</f>
        <v>Württembergische Premium</v>
      </c>
      <c r="BO114" s="57" t="str">
        <f>BO1</f>
        <v>Zurich Makler Top-Schutz</v>
      </c>
    </row>
    <row r="115" spans="1:75" s="14" customFormat="1" ht="22.5" customHeight="1">
      <c r="A115" s="53" t="s">
        <v>76</v>
      </c>
      <c r="B115" s="54" t="s">
        <v>264</v>
      </c>
      <c r="C115" s="54" t="s">
        <v>2164</v>
      </c>
      <c r="D115" s="54" t="s">
        <v>2164</v>
      </c>
      <c r="E115" s="54" t="s">
        <v>2005</v>
      </c>
      <c r="F115" s="54" t="s">
        <v>2005</v>
      </c>
      <c r="G115" s="54" t="s">
        <v>652</v>
      </c>
      <c r="H115" s="123" t="s">
        <v>2640</v>
      </c>
      <c r="I115" s="54" t="s">
        <v>3031</v>
      </c>
      <c r="J115" s="54" t="s">
        <v>242</v>
      </c>
      <c r="K115" s="54" t="s">
        <v>242</v>
      </c>
      <c r="L115" s="54" t="s">
        <v>242</v>
      </c>
      <c r="M115" s="54" t="s">
        <v>242</v>
      </c>
      <c r="N115" s="54" t="s">
        <v>242</v>
      </c>
      <c r="O115" s="54" t="s">
        <v>242</v>
      </c>
      <c r="P115" s="54" t="s">
        <v>3834</v>
      </c>
      <c r="Q115" s="54" t="s">
        <v>242</v>
      </c>
      <c r="R115" s="54" t="s">
        <v>242</v>
      </c>
      <c r="S115" s="54" t="s">
        <v>242</v>
      </c>
      <c r="T115" s="54" t="s">
        <v>1334</v>
      </c>
      <c r="U115" s="123" t="s">
        <v>4108</v>
      </c>
      <c r="V115" s="123" t="s">
        <v>4108</v>
      </c>
      <c r="W115" s="123" t="s">
        <v>4108</v>
      </c>
      <c r="X115" s="54" t="s">
        <v>817</v>
      </c>
      <c r="Y115" s="54" t="s">
        <v>242</v>
      </c>
      <c r="Z115" s="54" t="s">
        <v>3958</v>
      </c>
      <c r="AA115" s="54" t="s">
        <v>3958</v>
      </c>
      <c r="AB115" s="54" t="s">
        <v>4229</v>
      </c>
      <c r="AC115" s="54" t="s">
        <v>3689</v>
      </c>
      <c r="AD115" s="54" t="s">
        <v>2376</v>
      </c>
      <c r="AE115" s="54" t="s">
        <v>2376</v>
      </c>
      <c r="AF115" s="54" t="s">
        <v>2240</v>
      </c>
      <c r="AG115" s="54" t="s">
        <v>2240</v>
      </c>
      <c r="AH115" s="54" t="s">
        <v>1123</v>
      </c>
      <c r="AI115" s="54" t="s">
        <v>41</v>
      </c>
      <c r="AJ115" s="54" t="s">
        <v>2531</v>
      </c>
      <c r="AK115" s="54" t="s">
        <v>2240</v>
      </c>
      <c r="AL115" s="54" t="s">
        <v>2588</v>
      </c>
      <c r="AM115" s="54" t="s">
        <v>2376</v>
      </c>
      <c r="AN115" s="54" t="s">
        <v>2240</v>
      </c>
      <c r="AO115" s="54" t="s">
        <v>3559</v>
      </c>
      <c r="AP115" s="54" t="s">
        <v>3559</v>
      </c>
      <c r="AQ115" s="54" t="s">
        <v>3559</v>
      </c>
      <c r="AR115" s="54" t="s">
        <v>3559</v>
      </c>
      <c r="AS115" s="54" t="s">
        <v>39</v>
      </c>
      <c r="AT115" s="54" t="s">
        <v>243</v>
      </c>
      <c r="AU115" s="54" t="s">
        <v>243</v>
      </c>
      <c r="AV115" s="54" t="s">
        <v>242</v>
      </c>
      <c r="AW115" s="54" t="s">
        <v>1452</v>
      </c>
      <c r="AX115" s="54" t="s">
        <v>378</v>
      </c>
      <c r="AY115" s="54" t="s">
        <v>2902</v>
      </c>
      <c r="AZ115" s="54" t="s">
        <v>3389</v>
      </c>
      <c r="BA115" s="54" t="s">
        <v>242</v>
      </c>
      <c r="BB115" s="54" t="s">
        <v>242</v>
      </c>
      <c r="BC115" s="54" t="s">
        <v>242</v>
      </c>
      <c r="BD115" s="54" t="s">
        <v>242</v>
      </c>
      <c r="BE115" s="54" t="s">
        <v>1333</v>
      </c>
      <c r="BF115" s="54" t="s">
        <v>1333</v>
      </c>
      <c r="BG115" s="54" t="s">
        <v>1334</v>
      </c>
      <c r="BH115" s="54" t="s">
        <v>2588</v>
      </c>
      <c r="BI115" s="54" t="s">
        <v>2588</v>
      </c>
      <c r="BJ115" s="54" t="s">
        <v>1333</v>
      </c>
      <c r="BK115" s="54" t="s">
        <v>1333</v>
      </c>
      <c r="BL115" s="54" t="s">
        <v>2164</v>
      </c>
      <c r="BM115" s="54" t="s">
        <v>41</v>
      </c>
      <c r="BN115" s="54" t="s">
        <v>41</v>
      </c>
      <c r="BO115" s="54" t="s">
        <v>2165</v>
      </c>
    </row>
    <row r="116" spans="1:75" s="2" customFormat="1" ht="11.25" customHeight="1">
      <c r="A116" s="95" t="s">
        <v>688</v>
      </c>
      <c r="B116" s="94"/>
      <c r="C116" s="94" t="s">
        <v>3112</v>
      </c>
      <c r="D116" s="94" t="s">
        <v>3111</v>
      </c>
      <c r="E116" s="94" t="s">
        <v>2004</v>
      </c>
      <c r="F116" s="94" t="s">
        <v>2004</v>
      </c>
      <c r="G116" s="94"/>
      <c r="H116" s="94" t="s">
        <v>2639</v>
      </c>
      <c r="I116" s="94" t="s">
        <v>3030</v>
      </c>
      <c r="J116" s="94" t="s">
        <v>1395</v>
      </c>
      <c r="K116" s="94" t="s">
        <v>1395</v>
      </c>
      <c r="L116" s="94" t="s">
        <v>3066</v>
      </c>
      <c r="M116" s="94" t="s">
        <v>3066</v>
      </c>
      <c r="N116" s="94" t="s">
        <v>1395</v>
      </c>
      <c r="O116" s="94" t="s">
        <v>2840</v>
      </c>
      <c r="P116" s="94" t="s">
        <v>3833</v>
      </c>
      <c r="Q116" s="94" t="s">
        <v>1395</v>
      </c>
      <c r="R116" s="94" t="s">
        <v>1690</v>
      </c>
      <c r="S116" s="94" t="s">
        <v>1395</v>
      </c>
      <c r="T116" s="94" t="s">
        <v>3066</v>
      </c>
      <c r="U116" s="94" t="s">
        <v>4107</v>
      </c>
      <c r="V116" s="94" t="s">
        <v>4107</v>
      </c>
      <c r="W116" s="94" t="s">
        <v>4107</v>
      </c>
      <c r="X116" s="94" t="s">
        <v>818</v>
      </c>
      <c r="Y116" s="94" t="s">
        <v>3959</v>
      </c>
      <c r="Z116" s="94" t="s">
        <v>3960</v>
      </c>
      <c r="AA116" s="94" t="s">
        <v>3961</v>
      </c>
      <c r="AB116" s="94" t="s">
        <v>4230</v>
      </c>
      <c r="AC116" s="94" t="s">
        <v>3688</v>
      </c>
      <c r="AD116" s="94" t="s">
        <v>2414</v>
      </c>
      <c r="AE116" s="94" t="s">
        <v>2375</v>
      </c>
      <c r="AF116" s="94" t="s">
        <v>2326</v>
      </c>
      <c r="AG116" s="94" t="s">
        <v>2262</v>
      </c>
      <c r="AH116" s="94" t="s">
        <v>1162</v>
      </c>
      <c r="AI116" s="94"/>
      <c r="AJ116" s="94" t="s">
        <v>2530</v>
      </c>
      <c r="AK116" s="94" t="s">
        <v>2471</v>
      </c>
      <c r="AL116" s="94" t="s">
        <v>1395</v>
      </c>
      <c r="AM116" s="94" t="s">
        <v>3322</v>
      </c>
      <c r="AN116" s="94" t="s">
        <v>3322</v>
      </c>
      <c r="AO116" s="94" t="s">
        <v>3504</v>
      </c>
      <c r="AP116" s="94" t="s">
        <v>3504</v>
      </c>
      <c r="AQ116" s="94" t="s">
        <v>3504</v>
      </c>
      <c r="AR116" s="94" t="s">
        <v>3504</v>
      </c>
      <c r="AS116" s="94"/>
      <c r="AT116" s="94"/>
      <c r="AU116" s="94"/>
      <c r="AV116" s="94" t="s">
        <v>1506</v>
      </c>
      <c r="AW116" s="94" t="s">
        <v>1453</v>
      </c>
      <c r="AX116" s="94"/>
      <c r="AY116" s="94" t="s">
        <v>1395</v>
      </c>
      <c r="AZ116" s="94" t="s">
        <v>1259</v>
      </c>
      <c r="BA116" s="94" t="s">
        <v>1395</v>
      </c>
      <c r="BB116" s="94" t="s">
        <v>1732</v>
      </c>
      <c r="BC116" s="94" t="s">
        <v>894</v>
      </c>
      <c r="BD116" s="94" t="s">
        <v>894</v>
      </c>
      <c r="BE116" s="94" t="s">
        <v>1335</v>
      </c>
      <c r="BF116" s="94" t="s">
        <v>1335</v>
      </c>
      <c r="BG116" s="94" t="s">
        <v>787</v>
      </c>
      <c r="BH116" s="94" t="s">
        <v>3249</v>
      </c>
      <c r="BI116" s="94" t="s">
        <v>3249</v>
      </c>
      <c r="BJ116" s="94" t="s">
        <v>2150</v>
      </c>
      <c r="BK116" s="94" t="s">
        <v>2150</v>
      </c>
      <c r="BL116" s="94" t="s">
        <v>2188</v>
      </c>
      <c r="BM116" s="94" t="s">
        <v>1641</v>
      </c>
      <c r="BN116" s="94" t="s">
        <v>1641</v>
      </c>
      <c r="BO116" s="94"/>
      <c r="BR116" s="19"/>
      <c r="BS116" s="20"/>
      <c r="BT116" s="11"/>
      <c r="BU116" s="19"/>
      <c r="BV116" s="19"/>
      <c r="BW116" s="19"/>
    </row>
    <row r="117" spans="1:75" s="14" customFormat="1" ht="22.5" customHeight="1">
      <c r="A117" s="53" t="s">
        <v>134</v>
      </c>
      <c r="B117" s="54" t="s">
        <v>269</v>
      </c>
      <c r="C117" s="54" t="s">
        <v>3108</v>
      </c>
      <c r="D117" s="54" t="s">
        <v>3108</v>
      </c>
      <c r="E117" s="54" t="s">
        <v>2007</v>
      </c>
      <c r="F117" s="54" t="s">
        <v>2007</v>
      </c>
      <c r="G117" s="54" t="s">
        <v>39</v>
      </c>
      <c r="H117" s="123" t="s">
        <v>322</v>
      </c>
      <c r="I117" s="54" t="s">
        <v>41</v>
      </c>
      <c r="J117" s="54" t="s">
        <v>39</v>
      </c>
      <c r="K117" s="54" t="s">
        <v>39</v>
      </c>
      <c r="L117" s="54" t="s">
        <v>39</v>
      </c>
      <c r="M117" s="54" t="s">
        <v>39</v>
      </c>
      <c r="N117" s="54" t="s">
        <v>39</v>
      </c>
      <c r="O117" s="54" t="s">
        <v>668</v>
      </c>
      <c r="P117" s="54" t="s">
        <v>3428</v>
      </c>
      <c r="Q117" s="54" t="s">
        <v>39</v>
      </c>
      <c r="R117" s="54" t="s">
        <v>39</v>
      </c>
      <c r="S117" s="54" t="s">
        <v>39</v>
      </c>
      <c r="T117" s="54" t="s">
        <v>3721</v>
      </c>
      <c r="U117" s="123" t="s">
        <v>4116</v>
      </c>
      <c r="V117" s="123" t="s">
        <v>4116</v>
      </c>
      <c r="W117" s="123" t="s">
        <v>4116</v>
      </c>
      <c r="X117" s="54" t="s">
        <v>2951</v>
      </c>
      <c r="Y117" s="54" t="s">
        <v>39</v>
      </c>
      <c r="Z117" s="54" t="s">
        <v>39</v>
      </c>
      <c r="AA117" s="54" t="s">
        <v>39</v>
      </c>
      <c r="AB117" s="54" t="s">
        <v>4227</v>
      </c>
      <c r="AC117" s="54" t="s">
        <v>3658</v>
      </c>
      <c r="AD117" s="54" t="s">
        <v>39</v>
      </c>
      <c r="AE117" s="54" t="s">
        <v>39</v>
      </c>
      <c r="AF117" s="54" t="s">
        <v>742</v>
      </c>
      <c r="AG117" s="54" t="s">
        <v>742</v>
      </c>
      <c r="AH117" s="54" t="s">
        <v>1137</v>
      </c>
      <c r="AI117" s="54" t="s">
        <v>168</v>
      </c>
      <c r="AJ117" s="54" t="s">
        <v>321</v>
      </c>
      <c r="AK117" s="54" t="s">
        <v>742</v>
      </c>
      <c r="AL117" s="54" t="s">
        <v>321</v>
      </c>
      <c r="AM117" s="54" t="s">
        <v>3363</v>
      </c>
      <c r="AN117" s="54" t="s">
        <v>3364</v>
      </c>
      <c r="AO117" s="54" t="s">
        <v>3564</v>
      </c>
      <c r="AP117" s="54" t="s">
        <v>3609</v>
      </c>
      <c r="AQ117" s="54" t="s">
        <v>3433</v>
      </c>
      <c r="AR117" s="54" t="s">
        <v>3441</v>
      </c>
      <c r="AS117" s="54" t="s">
        <v>39</v>
      </c>
      <c r="AT117" s="54" t="s">
        <v>39</v>
      </c>
      <c r="AU117" s="54" t="s">
        <v>39</v>
      </c>
      <c r="AV117" s="54" t="s">
        <v>39</v>
      </c>
      <c r="AW117" s="54" t="s">
        <v>1454</v>
      </c>
      <c r="AX117" s="54" t="s">
        <v>39</v>
      </c>
      <c r="AY117" s="54" t="s">
        <v>195</v>
      </c>
      <c r="AZ117" s="54" t="s">
        <v>39</v>
      </c>
      <c r="BA117" s="54" t="s">
        <v>548</v>
      </c>
      <c r="BB117" s="54" t="s">
        <v>39</v>
      </c>
      <c r="BC117" s="54" t="s">
        <v>453</v>
      </c>
      <c r="BD117" s="54" t="s">
        <v>453</v>
      </c>
      <c r="BE117" s="54" t="s">
        <v>1371</v>
      </c>
      <c r="BF117" s="54" t="s">
        <v>1372</v>
      </c>
      <c r="BG117" s="54" t="s">
        <v>788</v>
      </c>
      <c r="BH117" s="54" t="s">
        <v>39</v>
      </c>
      <c r="BI117" s="54" t="s">
        <v>39</v>
      </c>
      <c r="BJ117" s="54" t="s">
        <v>195</v>
      </c>
      <c r="BK117" s="54" t="s">
        <v>195</v>
      </c>
      <c r="BL117" s="54" t="s">
        <v>39</v>
      </c>
      <c r="BM117" s="54" t="s">
        <v>39</v>
      </c>
      <c r="BN117" s="54" t="s">
        <v>39</v>
      </c>
      <c r="BO117" s="54" t="s">
        <v>439</v>
      </c>
    </row>
    <row r="118" spans="1:75" s="2" customFormat="1" ht="11.25" customHeight="1">
      <c r="A118" s="95" t="s">
        <v>688</v>
      </c>
      <c r="B118" s="94"/>
      <c r="C118" s="94" t="s">
        <v>3110</v>
      </c>
      <c r="D118" s="94" t="s">
        <v>3109</v>
      </c>
      <c r="E118" s="94" t="s">
        <v>2006</v>
      </c>
      <c r="F118" s="94" t="s">
        <v>2006</v>
      </c>
      <c r="G118" s="94"/>
      <c r="H118" s="94" t="s">
        <v>2036</v>
      </c>
      <c r="I118" s="94" t="s">
        <v>2693</v>
      </c>
      <c r="J118" s="94" t="s">
        <v>39</v>
      </c>
      <c r="K118" s="94" t="s">
        <v>39</v>
      </c>
      <c r="L118" s="94" t="s">
        <v>39</v>
      </c>
      <c r="M118" s="94" t="s">
        <v>39</v>
      </c>
      <c r="N118" s="94" t="s">
        <v>39</v>
      </c>
      <c r="O118" s="94" t="s">
        <v>2839</v>
      </c>
      <c r="P118" s="94" t="s">
        <v>3812</v>
      </c>
      <c r="Q118" s="94" t="s">
        <v>39</v>
      </c>
      <c r="R118" s="94" t="s">
        <v>39</v>
      </c>
      <c r="S118" s="94" t="s">
        <v>39</v>
      </c>
      <c r="T118" s="94" t="s">
        <v>3704</v>
      </c>
      <c r="U118" s="94" t="s">
        <v>4115</v>
      </c>
      <c r="V118" s="94" t="s">
        <v>4115</v>
      </c>
      <c r="W118" s="94" t="s">
        <v>4115</v>
      </c>
      <c r="X118" s="94" t="s">
        <v>829</v>
      </c>
      <c r="Y118" s="94" t="s">
        <v>39</v>
      </c>
      <c r="Z118" s="94" t="s">
        <v>39</v>
      </c>
      <c r="AA118" s="94" t="s">
        <v>39</v>
      </c>
      <c r="AB118" s="94" t="s">
        <v>4228</v>
      </c>
      <c r="AC118" s="94" t="s">
        <v>2778</v>
      </c>
      <c r="AD118" s="94" t="s">
        <v>39</v>
      </c>
      <c r="AE118" s="94" t="s">
        <v>39</v>
      </c>
      <c r="AF118" s="94" t="s">
        <v>2327</v>
      </c>
      <c r="AG118" s="94" t="s">
        <v>2263</v>
      </c>
      <c r="AH118" s="94" t="s">
        <v>1136</v>
      </c>
      <c r="AI118" s="94"/>
      <c r="AJ118" s="94" t="s">
        <v>2472</v>
      </c>
      <c r="AK118" s="94" t="s">
        <v>2472</v>
      </c>
      <c r="AL118" s="94" t="s">
        <v>2575</v>
      </c>
      <c r="AM118" s="94" t="s">
        <v>3362</v>
      </c>
      <c r="AN118" s="94" t="s">
        <v>3307</v>
      </c>
      <c r="AO118" s="94" t="s">
        <v>3563</v>
      </c>
      <c r="AP118" s="94" t="s">
        <v>3610</v>
      </c>
      <c r="AQ118" s="94" t="s">
        <v>3514</v>
      </c>
      <c r="AR118" s="94" t="s">
        <v>3555</v>
      </c>
      <c r="AS118" s="94"/>
      <c r="AT118" s="94"/>
      <c r="AU118" s="94"/>
      <c r="AV118" s="94" t="s">
        <v>39</v>
      </c>
      <c r="AW118" s="94" t="s">
        <v>1455</v>
      </c>
      <c r="AX118" s="94"/>
      <c r="AY118" s="94" t="s">
        <v>2889</v>
      </c>
      <c r="AZ118" s="94" t="s">
        <v>39</v>
      </c>
      <c r="BA118" s="94" t="s">
        <v>2605</v>
      </c>
      <c r="BB118" s="94" t="s">
        <v>39</v>
      </c>
      <c r="BC118" s="94" t="s">
        <v>2933</v>
      </c>
      <c r="BD118" s="94" t="s">
        <v>2933</v>
      </c>
      <c r="BE118" s="94" t="s">
        <v>1370</v>
      </c>
      <c r="BF118" s="94" t="s">
        <v>1337</v>
      </c>
      <c r="BG118" s="94" t="s">
        <v>2984</v>
      </c>
      <c r="BH118" s="94" t="s">
        <v>39</v>
      </c>
      <c r="BI118" s="94" t="s">
        <v>39</v>
      </c>
      <c r="BJ118" s="94" t="s">
        <v>2135</v>
      </c>
      <c r="BK118" s="94" t="s">
        <v>2135</v>
      </c>
      <c r="BL118" s="94" t="s">
        <v>39</v>
      </c>
      <c r="BM118" s="94" t="s">
        <v>39</v>
      </c>
      <c r="BN118" s="94" t="s">
        <v>39</v>
      </c>
      <c r="BO118" s="94"/>
      <c r="BR118" s="19"/>
      <c r="BS118" s="20"/>
      <c r="BT118" s="11"/>
      <c r="BU118" s="19"/>
      <c r="BV118" s="19"/>
      <c r="BW118" s="19"/>
    </row>
    <row r="119" spans="1:75" s="14" customFormat="1" ht="22.5" customHeight="1">
      <c r="A119" s="53" t="s">
        <v>135</v>
      </c>
      <c r="B119" s="54" t="s">
        <v>39</v>
      </c>
      <c r="C119" s="54" t="s">
        <v>39</v>
      </c>
      <c r="D119" s="54" t="s">
        <v>39</v>
      </c>
      <c r="E119" s="54" t="s">
        <v>39</v>
      </c>
      <c r="F119" s="54" t="s">
        <v>39</v>
      </c>
      <c r="G119" s="54" t="s">
        <v>39</v>
      </c>
      <c r="H119" s="123" t="s">
        <v>323</v>
      </c>
      <c r="I119" s="54" t="s">
        <v>41</v>
      </c>
      <c r="J119" s="54" t="s">
        <v>39</v>
      </c>
      <c r="K119" s="54" t="s">
        <v>39</v>
      </c>
      <c r="L119" s="54" t="s">
        <v>39</v>
      </c>
      <c r="M119" s="54" t="s">
        <v>39</v>
      </c>
      <c r="N119" s="54" t="s">
        <v>39</v>
      </c>
      <c r="O119" s="54" t="s">
        <v>41</v>
      </c>
      <c r="P119" s="54" t="s">
        <v>39</v>
      </c>
      <c r="Q119" s="54" t="s">
        <v>39</v>
      </c>
      <c r="R119" s="54" t="s">
        <v>39</v>
      </c>
      <c r="S119" s="54" t="s">
        <v>39</v>
      </c>
      <c r="T119" s="54" t="s">
        <v>39</v>
      </c>
      <c r="U119" s="123" t="s">
        <v>39</v>
      </c>
      <c r="V119" s="123" t="s">
        <v>39</v>
      </c>
      <c r="W119" s="123" t="s">
        <v>39</v>
      </c>
      <c r="X119" s="54" t="s">
        <v>39</v>
      </c>
      <c r="Y119" s="54" t="s">
        <v>39</v>
      </c>
      <c r="Z119" s="54" t="s">
        <v>39</v>
      </c>
      <c r="AA119" s="54" t="s">
        <v>3962</v>
      </c>
      <c r="AB119" s="54" t="s">
        <v>4209</v>
      </c>
      <c r="AC119" s="54" t="s">
        <v>39</v>
      </c>
      <c r="AD119" s="54" t="s">
        <v>39</v>
      </c>
      <c r="AE119" s="54" t="s">
        <v>39</v>
      </c>
      <c r="AF119" s="54" t="s">
        <v>744</v>
      </c>
      <c r="AG119" s="54" t="s">
        <v>744</v>
      </c>
      <c r="AH119" s="54" t="s">
        <v>39</v>
      </c>
      <c r="AI119" s="54" t="s">
        <v>39</v>
      </c>
      <c r="AJ119" s="54" t="s">
        <v>39</v>
      </c>
      <c r="AK119" s="54" t="s">
        <v>744</v>
      </c>
      <c r="AL119" s="73" t="s">
        <v>39</v>
      </c>
      <c r="AM119" s="54" t="s">
        <v>39</v>
      </c>
      <c r="AN119" s="54" t="s">
        <v>39</v>
      </c>
      <c r="AO119" s="54" t="s">
        <v>39</v>
      </c>
      <c r="AP119" s="54" t="s">
        <v>39</v>
      </c>
      <c r="AQ119" s="54" t="s">
        <v>39</v>
      </c>
      <c r="AR119" s="54" t="s">
        <v>39</v>
      </c>
      <c r="AS119" s="54" t="s">
        <v>39</v>
      </c>
      <c r="AT119" s="54" t="s">
        <v>441</v>
      </c>
      <c r="AU119" s="54" t="s">
        <v>441</v>
      </c>
      <c r="AV119" s="54" t="s">
        <v>39</v>
      </c>
      <c r="AW119" s="54" t="s">
        <v>39</v>
      </c>
      <c r="AX119" s="54" t="s">
        <v>39</v>
      </c>
      <c r="AY119" s="54" t="s">
        <v>39</v>
      </c>
      <c r="AZ119" s="54" t="s">
        <v>39</v>
      </c>
      <c r="BA119" s="54" t="s">
        <v>219</v>
      </c>
      <c r="BB119" s="54" t="s">
        <v>39</v>
      </c>
      <c r="BC119" s="54" t="s">
        <v>39</v>
      </c>
      <c r="BD119" s="54" t="s">
        <v>39</v>
      </c>
      <c r="BE119" s="54" t="s">
        <v>39</v>
      </c>
      <c r="BF119" s="54" t="s">
        <v>1339</v>
      </c>
      <c r="BG119" s="54" t="s">
        <v>39</v>
      </c>
      <c r="BH119" s="54" t="s">
        <v>39</v>
      </c>
      <c r="BI119" s="54" t="s">
        <v>39</v>
      </c>
      <c r="BJ119" s="54" t="s">
        <v>39</v>
      </c>
      <c r="BK119" s="54" t="s">
        <v>39</v>
      </c>
      <c r="BL119" s="54" t="s">
        <v>39</v>
      </c>
      <c r="BM119" s="54" t="s">
        <v>39</v>
      </c>
      <c r="BN119" s="54" t="s">
        <v>39</v>
      </c>
      <c r="BO119" s="54" t="s">
        <v>422</v>
      </c>
    </row>
    <row r="120" spans="1:75" s="2" customFormat="1" ht="11.25" customHeight="1">
      <c r="A120" s="95" t="s">
        <v>688</v>
      </c>
      <c r="B120" s="94"/>
      <c r="C120" s="94" t="s">
        <v>39</v>
      </c>
      <c r="D120" s="94" t="s">
        <v>39</v>
      </c>
      <c r="E120" s="94" t="s">
        <v>39</v>
      </c>
      <c r="F120" s="94" t="s">
        <v>39</v>
      </c>
      <c r="G120" s="94"/>
      <c r="H120" s="94" t="s">
        <v>2037</v>
      </c>
      <c r="I120" s="94" t="s">
        <v>2694</v>
      </c>
      <c r="J120" s="94" t="s">
        <v>39</v>
      </c>
      <c r="K120" s="94" t="s">
        <v>39</v>
      </c>
      <c r="L120" s="94" t="s">
        <v>39</v>
      </c>
      <c r="M120" s="94" t="s">
        <v>39</v>
      </c>
      <c r="N120" s="94" t="s">
        <v>39</v>
      </c>
      <c r="O120" s="94" t="s">
        <v>2808</v>
      </c>
      <c r="P120" s="94" t="s">
        <v>39</v>
      </c>
      <c r="Q120" s="94" t="s">
        <v>39</v>
      </c>
      <c r="R120" s="94" t="s">
        <v>39</v>
      </c>
      <c r="S120" s="94" t="s">
        <v>39</v>
      </c>
      <c r="T120" s="94" t="s">
        <v>39</v>
      </c>
      <c r="U120" s="94" t="s">
        <v>39</v>
      </c>
      <c r="V120" s="94" t="s">
        <v>39</v>
      </c>
      <c r="W120" s="94" t="s">
        <v>39</v>
      </c>
      <c r="X120" s="94" t="s">
        <v>39</v>
      </c>
      <c r="Y120" s="94" t="s">
        <v>39</v>
      </c>
      <c r="Z120" s="94" t="s">
        <v>39</v>
      </c>
      <c r="AA120" s="94" t="s">
        <v>3963</v>
      </c>
      <c r="AB120" s="94"/>
      <c r="AC120" s="94" t="s">
        <v>39</v>
      </c>
      <c r="AD120" s="94" t="s">
        <v>39</v>
      </c>
      <c r="AE120" s="94" t="s">
        <v>39</v>
      </c>
      <c r="AF120" s="94" t="s">
        <v>2328</v>
      </c>
      <c r="AG120" s="94" t="s">
        <v>2264</v>
      </c>
      <c r="AH120" s="94" t="s">
        <v>39</v>
      </c>
      <c r="AI120" s="94"/>
      <c r="AJ120" s="94" t="s">
        <v>39</v>
      </c>
      <c r="AK120" s="94" t="s">
        <v>2473</v>
      </c>
      <c r="AL120" s="94" t="s">
        <v>39</v>
      </c>
      <c r="AM120" s="94" t="s">
        <v>39</v>
      </c>
      <c r="AN120" s="94" t="s">
        <v>39</v>
      </c>
      <c r="AO120" s="94" t="s">
        <v>39</v>
      </c>
      <c r="AP120" s="94" t="s">
        <v>39</v>
      </c>
      <c r="AQ120" s="94" t="s">
        <v>39</v>
      </c>
      <c r="AR120" s="94" t="s">
        <v>39</v>
      </c>
      <c r="AS120" s="94"/>
      <c r="AT120" s="94"/>
      <c r="AU120" s="94"/>
      <c r="AV120" s="94" t="s">
        <v>39</v>
      </c>
      <c r="AW120" s="94" t="s">
        <v>39</v>
      </c>
      <c r="AX120" s="94"/>
      <c r="AY120" s="94" t="s">
        <v>39</v>
      </c>
      <c r="AZ120" s="94" t="s">
        <v>39</v>
      </c>
      <c r="BA120" s="94" t="s">
        <v>2606</v>
      </c>
      <c r="BB120" s="94" t="s">
        <v>39</v>
      </c>
      <c r="BC120" s="94" t="s">
        <v>39</v>
      </c>
      <c r="BD120" s="94" t="s">
        <v>39</v>
      </c>
      <c r="BE120" s="94" t="s">
        <v>39</v>
      </c>
      <c r="BF120" s="94" t="s">
        <v>1338</v>
      </c>
      <c r="BG120" s="94" t="s">
        <v>39</v>
      </c>
      <c r="BH120" s="94" t="s">
        <v>39</v>
      </c>
      <c r="BI120" s="94" t="s">
        <v>39</v>
      </c>
      <c r="BJ120" s="94" t="s">
        <v>39</v>
      </c>
      <c r="BK120" s="94" t="s">
        <v>39</v>
      </c>
      <c r="BL120" s="94" t="s">
        <v>39</v>
      </c>
      <c r="BM120" s="94" t="s">
        <v>39</v>
      </c>
      <c r="BN120" s="94" t="s">
        <v>39</v>
      </c>
      <c r="BO120" s="94"/>
      <c r="BR120" s="19"/>
      <c r="BS120" s="20"/>
      <c r="BT120" s="11"/>
      <c r="BU120" s="19"/>
      <c r="BV120" s="19"/>
      <c r="BW120" s="19"/>
    </row>
    <row r="121" spans="1:75" s="14" customFormat="1" ht="27">
      <c r="A121" s="53" t="s">
        <v>5</v>
      </c>
      <c r="B121" s="54" t="s">
        <v>39</v>
      </c>
      <c r="C121" s="54" t="s">
        <v>619</v>
      </c>
      <c r="D121" s="54" t="s">
        <v>653</v>
      </c>
      <c r="E121" s="54" t="s">
        <v>1923</v>
      </c>
      <c r="F121" s="54" t="s">
        <v>1924</v>
      </c>
      <c r="G121" s="54" t="s">
        <v>653</v>
      </c>
      <c r="H121" s="123" t="s">
        <v>619</v>
      </c>
      <c r="I121" s="54" t="s">
        <v>639</v>
      </c>
      <c r="J121" s="54" t="s">
        <v>640</v>
      </c>
      <c r="K121" s="54" t="s">
        <v>640</v>
      </c>
      <c r="L121" s="54" t="s">
        <v>619</v>
      </c>
      <c r="M121" s="54" t="s">
        <v>619</v>
      </c>
      <c r="N121" s="54" t="s">
        <v>39</v>
      </c>
      <c r="O121" s="54" t="s">
        <v>619</v>
      </c>
      <c r="P121" s="54" t="s">
        <v>619</v>
      </c>
      <c r="Q121" s="54" t="s">
        <v>619</v>
      </c>
      <c r="R121" s="54" t="s">
        <v>619</v>
      </c>
      <c r="S121" s="54" t="s">
        <v>1397</v>
      </c>
      <c r="T121" s="54" t="s">
        <v>619</v>
      </c>
      <c r="U121" s="123" t="s">
        <v>619</v>
      </c>
      <c r="V121" s="123" t="s">
        <v>619</v>
      </c>
      <c r="W121" s="123" t="s">
        <v>619</v>
      </c>
      <c r="X121" s="54" t="s">
        <v>619</v>
      </c>
      <c r="Y121" s="54" t="s">
        <v>619</v>
      </c>
      <c r="Z121" s="54" t="s">
        <v>619</v>
      </c>
      <c r="AA121" s="54" t="s">
        <v>640</v>
      </c>
      <c r="AB121" s="54" t="s">
        <v>619</v>
      </c>
      <c r="AC121" s="54" t="s">
        <v>619</v>
      </c>
      <c r="AD121" s="54" t="s">
        <v>619</v>
      </c>
      <c r="AE121" s="54" t="s">
        <v>619</v>
      </c>
      <c r="AF121" s="54" t="s">
        <v>619</v>
      </c>
      <c r="AG121" s="54" t="s">
        <v>642</v>
      </c>
      <c r="AH121" s="54" t="s">
        <v>1137</v>
      </c>
      <c r="AI121" s="54" t="s">
        <v>619</v>
      </c>
      <c r="AJ121" s="54" t="s">
        <v>639</v>
      </c>
      <c r="AK121" s="54" t="s">
        <v>639</v>
      </c>
      <c r="AL121" s="54" t="s">
        <v>639</v>
      </c>
      <c r="AM121" s="54" t="s">
        <v>619</v>
      </c>
      <c r="AN121" s="54" t="s">
        <v>619</v>
      </c>
      <c r="AO121" s="54" t="s">
        <v>640</v>
      </c>
      <c r="AP121" s="54" t="s">
        <v>640</v>
      </c>
      <c r="AQ121" s="54" t="s">
        <v>640</v>
      </c>
      <c r="AR121" s="54" t="s">
        <v>640</v>
      </c>
      <c r="AS121" s="54" t="s">
        <v>39</v>
      </c>
      <c r="AT121" s="54" t="s">
        <v>640</v>
      </c>
      <c r="AU121" s="54" t="s">
        <v>39</v>
      </c>
      <c r="AV121" s="54" t="s">
        <v>640</v>
      </c>
      <c r="AW121" s="54" t="s">
        <v>640</v>
      </c>
      <c r="AX121" s="54" t="s">
        <v>619</v>
      </c>
      <c r="AY121" s="54" t="s">
        <v>619</v>
      </c>
      <c r="AZ121" s="54" t="s">
        <v>619</v>
      </c>
      <c r="BA121" s="54" t="s">
        <v>641</v>
      </c>
      <c r="BB121" s="54" t="s">
        <v>640</v>
      </c>
      <c r="BC121" s="54" t="s">
        <v>619</v>
      </c>
      <c r="BD121" s="54" t="s">
        <v>619</v>
      </c>
      <c r="BE121" s="54" t="s">
        <v>640</v>
      </c>
      <c r="BF121" s="54" t="s">
        <v>640</v>
      </c>
      <c r="BG121" s="54" t="s">
        <v>619</v>
      </c>
      <c r="BH121" s="54" t="s">
        <v>619</v>
      </c>
      <c r="BI121" s="54" t="s">
        <v>619</v>
      </c>
      <c r="BJ121" s="54" t="s">
        <v>640</v>
      </c>
      <c r="BK121" s="54" t="s">
        <v>640</v>
      </c>
      <c r="BL121" s="54" t="s">
        <v>619</v>
      </c>
      <c r="BM121" s="54" t="s">
        <v>619</v>
      </c>
      <c r="BN121" s="54" t="s">
        <v>619</v>
      </c>
      <c r="BO121" s="54" t="s">
        <v>642</v>
      </c>
    </row>
    <row r="122" spans="1:75" s="2" customFormat="1" ht="11.25" customHeight="1">
      <c r="A122" s="95" t="s">
        <v>688</v>
      </c>
      <c r="B122" s="94"/>
      <c r="C122" s="94" t="s">
        <v>3183</v>
      </c>
      <c r="D122" s="94" t="s">
        <v>3175</v>
      </c>
      <c r="E122" s="94" t="s">
        <v>1954</v>
      </c>
      <c r="F122" s="94" t="s">
        <v>1985</v>
      </c>
      <c r="G122" s="94"/>
      <c r="H122" s="94" t="s">
        <v>2658</v>
      </c>
      <c r="I122" s="94" t="s">
        <v>3032</v>
      </c>
      <c r="J122" s="94" t="s">
        <v>1874</v>
      </c>
      <c r="K122" s="94" t="s">
        <v>1874</v>
      </c>
      <c r="L122" s="94" t="s">
        <v>3065</v>
      </c>
      <c r="M122" s="94" t="s">
        <v>3065</v>
      </c>
      <c r="N122" s="94" t="s">
        <v>39</v>
      </c>
      <c r="O122" s="94" t="s">
        <v>2825</v>
      </c>
      <c r="P122" s="94" t="s">
        <v>3848</v>
      </c>
      <c r="Q122" s="94" t="s">
        <v>1222</v>
      </c>
      <c r="R122" s="94" t="s">
        <v>1691</v>
      </c>
      <c r="S122" s="94" t="s">
        <v>1396</v>
      </c>
      <c r="T122" s="94" t="s">
        <v>3065</v>
      </c>
      <c r="U122" s="94" t="s">
        <v>4114</v>
      </c>
      <c r="V122" s="94" t="s">
        <v>4114</v>
      </c>
      <c r="W122" s="94" t="s">
        <v>4114</v>
      </c>
      <c r="X122" s="94" t="s">
        <v>2956</v>
      </c>
      <c r="Y122" s="94" t="s">
        <v>3964</v>
      </c>
      <c r="Z122" s="94" t="s">
        <v>3965</v>
      </c>
      <c r="AA122" s="94" t="s">
        <v>3966</v>
      </c>
      <c r="AB122" s="94" t="s">
        <v>4213</v>
      </c>
      <c r="AC122" s="94" t="s">
        <v>1396</v>
      </c>
      <c r="AD122" s="94" t="s">
        <v>2440</v>
      </c>
      <c r="AE122" s="94" t="s">
        <v>2440</v>
      </c>
      <c r="AF122" s="94" t="s">
        <v>2440</v>
      </c>
      <c r="AG122" s="94" t="s">
        <v>2293</v>
      </c>
      <c r="AH122" s="94" t="s">
        <v>1136</v>
      </c>
      <c r="AI122" s="94"/>
      <c r="AJ122" s="94" t="s">
        <v>2518</v>
      </c>
      <c r="AK122" s="94" t="s">
        <v>2522</v>
      </c>
      <c r="AL122" s="94" t="s">
        <v>1874</v>
      </c>
      <c r="AM122" s="94" t="s">
        <v>3365</v>
      </c>
      <c r="AN122" s="94" t="s">
        <v>3311</v>
      </c>
      <c r="AO122" s="94" t="s">
        <v>3588</v>
      </c>
      <c r="AP122" s="94" t="s">
        <v>3588</v>
      </c>
      <c r="AQ122" s="94" t="s">
        <v>3534</v>
      </c>
      <c r="AR122" s="94" t="s">
        <v>3534</v>
      </c>
      <c r="AS122" s="94"/>
      <c r="AT122" s="94"/>
      <c r="AU122" s="94"/>
      <c r="AV122" s="94" t="s">
        <v>1481</v>
      </c>
      <c r="AW122" s="94" t="s">
        <v>1481</v>
      </c>
      <c r="AX122" s="94"/>
      <c r="AY122" s="94" t="s">
        <v>2621</v>
      </c>
      <c r="AZ122" s="94" t="s">
        <v>1874</v>
      </c>
      <c r="BA122" s="94" t="s">
        <v>2621</v>
      </c>
      <c r="BB122" s="94" t="s">
        <v>1741</v>
      </c>
      <c r="BC122" s="94" t="s">
        <v>887</v>
      </c>
      <c r="BD122" s="94" t="s">
        <v>887</v>
      </c>
      <c r="BE122" s="94" t="s">
        <v>1323</v>
      </c>
      <c r="BF122" s="94" t="s">
        <v>1325</v>
      </c>
      <c r="BG122" s="94" t="s">
        <v>2983</v>
      </c>
      <c r="BH122" s="94" t="s">
        <v>3239</v>
      </c>
      <c r="BI122" s="94" t="s">
        <v>3241</v>
      </c>
      <c r="BJ122" s="94" t="s">
        <v>1874</v>
      </c>
      <c r="BK122" s="94" t="s">
        <v>1874</v>
      </c>
      <c r="BL122" s="94" t="s">
        <v>2219</v>
      </c>
      <c r="BM122" s="94" t="s">
        <v>1621</v>
      </c>
      <c r="BN122" s="94" t="s">
        <v>1621</v>
      </c>
      <c r="BO122" s="94"/>
      <c r="BR122" s="19"/>
      <c r="BS122" s="20"/>
      <c r="BT122" s="11"/>
      <c r="BU122" s="19"/>
      <c r="BV122" s="19"/>
      <c r="BW122" s="19"/>
    </row>
    <row r="123" spans="1:75" s="2" customFormat="1" ht="15" customHeight="1">
      <c r="A123" s="56"/>
      <c r="B123" s="55"/>
      <c r="C123" s="55"/>
      <c r="D123" s="55"/>
      <c r="E123" s="55"/>
      <c r="F123" s="55"/>
      <c r="G123" s="55"/>
      <c r="H123" s="3"/>
      <c r="I123" s="55"/>
      <c r="J123" s="3"/>
      <c r="K123" s="3"/>
      <c r="L123" s="3"/>
      <c r="M123" s="3"/>
      <c r="N123" s="3"/>
      <c r="O123" s="3"/>
      <c r="P123" s="56"/>
      <c r="Q123" s="56"/>
      <c r="R123" s="3"/>
      <c r="S123" s="55"/>
      <c r="T123" s="120"/>
      <c r="U123" s="120"/>
      <c r="V123" s="120"/>
      <c r="W123" s="55"/>
      <c r="X123" s="56"/>
      <c r="Y123" s="56"/>
      <c r="Z123" s="56"/>
      <c r="AA123" s="56"/>
      <c r="AB123" s="56"/>
      <c r="AC123" s="56"/>
      <c r="AD123" s="55"/>
      <c r="AE123" s="55"/>
      <c r="AF123" s="56"/>
      <c r="AG123" s="56"/>
      <c r="AH123" s="3"/>
      <c r="AI123" s="3"/>
      <c r="AJ123" s="121"/>
      <c r="AK123" s="121"/>
      <c r="AL123" s="4"/>
      <c r="AM123" s="4"/>
      <c r="AN123" s="121"/>
      <c r="AO123" s="4"/>
      <c r="AP123" s="4"/>
      <c r="AQ123" s="4"/>
      <c r="AR123" s="4"/>
      <c r="AS123" s="4"/>
      <c r="AT123" s="4"/>
      <c r="AU123" s="4"/>
      <c r="AV123" s="4"/>
      <c r="AW123" s="4"/>
      <c r="AX123" s="55"/>
      <c r="AY123" s="55"/>
      <c r="AZ123" s="4"/>
      <c r="BA123" s="4"/>
      <c r="BB123" s="55"/>
      <c r="BC123" s="55"/>
      <c r="BD123" s="55"/>
      <c r="BE123" s="4"/>
      <c r="BF123" s="4"/>
      <c r="BG123" s="55"/>
      <c r="BH123" s="55"/>
      <c r="BI123" s="55"/>
      <c r="BJ123" s="121"/>
      <c r="BK123" s="121"/>
      <c r="BL123" s="121"/>
      <c r="BM123" s="4"/>
      <c r="BN123" s="4"/>
      <c r="BO123" s="55"/>
    </row>
    <row r="124" spans="1:75" s="2" customFormat="1" ht="22.5" customHeight="1">
      <c r="A124" s="50" t="s">
        <v>72</v>
      </c>
      <c r="B124" s="57" t="str">
        <f t="shared" ref="B124:AX124" si="8">B1</f>
        <v>Alte Leipziger XXL</v>
      </c>
      <c r="C124" s="57" t="str">
        <f t="shared" si="8"/>
        <v>Ammerländer Excellent</v>
      </c>
      <c r="D124" s="57" t="str">
        <f t="shared" si="8"/>
        <v>Ammerländer Exclusiv</v>
      </c>
      <c r="E124" s="57" t="str">
        <f t="shared" si="8"/>
        <v>ARAG Komfort</v>
      </c>
      <c r="F124" s="57" t="str">
        <f t="shared" si="8"/>
        <v>ARAG Premium</v>
      </c>
      <c r="G124" s="57" t="str">
        <f t="shared" si="8"/>
        <v>AXA Komfort ohne BR</v>
      </c>
      <c r="H124" s="57" t="str">
        <f t="shared" si="8"/>
        <v>Baden Badener Top 2013</v>
      </c>
      <c r="I124" s="57" t="str">
        <f t="shared" si="8"/>
        <v>Basler UnfallProtect - Max</v>
      </c>
      <c r="J124" s="57" t="str">
        <f t="shared" si="8"/>
        <v>Condor Comfort</v>
      </c>
      <c r="K124" s="57" t="str">
        <f t="shared" si="8"/>
        <v>Condor Premium</v>
      </c>
      <c r="L124" s="57" t="str">
        <f t="shared" si="8"/>
        <v>Cosmos Comfort-Schutz</v>
      </c>
      <c r="M124" s="57" t="str">
        <f t="shared" si="8"/>
        <v>Cosmos Comfort-Schutz Plus</v>
      </c>
      <c r="N124" s="57" t="str">
        <f t="shared" si="8"/>
        <v>Debeka</v>
      </c>
      <c r="O124" s="57" t="str">
        <f t="shared" si="8"/>
        <v>DEVK Komplett</v>
      </c>
      <c r="P124" s="57" t="str">
        <f>P1</f>
        <v>die Bayerische Komfort</v>
      </c>
      <c r="Q124" s="57" t="str">
        <f>Q1</f>
        <v>die Bayerische Standard</v>
      </c>
      <c r="R124" s="57" t="str">
        <f t="shared" si="8"/>
        <v>ERGO Unfallschutz Familie</v>
      </c>
      <c r="S124" s="57" t="str">
        <f t="shared" si="8"/>
        <v>GDV Musterbedingungen</v>
      </c>
      <c r="T124" s="57" t="str">
        <f t="shared" si="8"/>
        <v>Generali Komfort Plus</v>
      </c>
      <c r="U124" s="57" t="str">
        <f t="shared" si="8"/>
        <v>Gothaer Unfall 2014</v>
      </c>
      <c r="V124" s="57" t="str">
        <f t="shared" si="8"/>
        <v>Gothaer UnfallTop 2014</v>
      </c>
      <c r="W124" s="57" t="str">
        <f t="shared" si="8"/>
        <v>Gothaer UnfallTop 2014 Plus</v>
      </c>
      <c r="X124" s="57" t="str">
        <f>X1</f>
        <v>Häger Top</v>
      </c>
      <c r="Y124" s="57" t="str">
        <f>Y1</f>
        <v>HanseMerkur Grund-Schutz</v>
      </c>
      <c r="Z124" s="57" t="str">
        <f>Z1</f>
        <v>HanseMerkur Kompakt-Schutz</v>
      </c>
      <c r="AA124" s="57" t="str">
        <f>AA1</f>
        <v>HanseMerkur Top-Schutz</v>
      </c>
      <c r="AB124" s="57" t="s">
        <v>4170</v>
      </c>
      <c r="AC124" s="57" t="str">
        <f>AC1</f>
        <v>Helvetia Komfort</v>
      </c>
      <c r="AD124" s="57" t="str">
        <f t="shared" si="8"/>
        <v>HKD Basisschutz</v>
      </c>
      <c r="AE124" s="57" t="str">
        <f t="shared" si="8"/>
        <v>HKD Komfortschutz</v>
      </c>
      <c r="AF124" s="57" t="str">
        <f t="shared" si="8"/>
        <v>HKD Komfortschutz Plus</v>
      </c>
      <c r="AG124" s="57" t="str">
        <f t="shared" si="8"/>
        <v>HKD Vollschutz</v>
      </c>
      <c r="AH124" s="57" t="str">
        <f t="shared" si="8"/>
        <v>Ideal Unfall Rente Exklusiv</v>
      </c>
      <c r="AI124" s="57" t="str">
        <f t="shared" si="8"/>
        <v>Interlloyd AUB 2000</v>
      </c>
      <c r="AJ124" s="57" t="str">
        <f t="shared" si="8"/>
        <v>Interlloyd Premium</v>
      </c>
      <c r="AK124" s="57" t="str">
        <f t="shared" si="8"/>
        <v>Interlloyd Premium Plus</v>
      </c>
      <c r="AL124" s="57" t="str">
        <f t="shared" si="8"/>
        <v>Interlloyd Protect</v>
      </c>
      <c r="AM124" s="57" t="str">
        <f t="shared" si="8"/>
        <v>Interrisk XL (Plus-Taxe)</v>
      </c>
      <c r="AN124" s="57" t="str">
        <f t="shared" si="8"/>
        <v>Interrisk XXL (Maxi-Taxe)</v>
      </c>
      <c r="AO124" s="57" t="str">
        <f t="shared" si="8"/>
        <v>Janitos Balance</v>
      </c>
      <c r="AP124" s="57" t="str">
        <f>AP1</f>
        <v>Janitos Balance Plus</v>
      </c>
      <c r="AQ124" s="57" t="str">
        <f>AQ1</f>
        <v>Janitos Best Selection</v>
      </c>
      <c r="AR124" s="57" t="str">
        <f>AR1</f>
        <v>Janitos Best Selection Plus</v>
      </c>
      <c r="AS124" s="57" t="str">
        <f t="shared" si="8"/>
        <v>Keine</v>
      </c>
      <c r="AT124" s="57" t="str">
        <f t="shared" si="8"/>
        <v>KRAVAG Familien-UV 2011</v>
      </c>
      <c r="AU124" s="57" t="str">
        <f t="shared" si="8"/>
        <v>KRAVAG Gruppen-UV 2011</v>
      </c>
      <c r="AV124" s="136" t="str">
        <f t="shared" si="8"/>
        <v>nationale suisse Komfort</v>
      </c>
      <c r="AW124" s="136" t="str">
        <f t="shared" si="8"/>
        <v>nationale suisse Premium</v>
      </c>
      <c r="AX124" s="57" t="str">
        <f t="shared" si="8"/>
        <v>Nürnberger</v>
      </c>
      <c r="AY124" s="57"/>
      <c r="AZ124" s="57" t="str">
        <f>AZ1</f>
        <v>Prokundo Unfall</v>
      </c>
      <c r="BA124" s="57" t="str">
        <f t="shared" ref="BA124:BL124" si="9">BA1</f>
        <v>Provinzial Rundumschutz</v>
      </c>
      <c r="BB124" s="57" t="str">
        <f t="shared" si="9"/>
        <v>R+V PrivatPolice Comfort</v>
      </c>
      <c r="BC124" s="57" t="str">
        <f t="shared" si="9"/>
        <v>Signal Iduna Exklusiv</v>
      </c>
      <c r="BD124" s="57" t="str">
        <f t="shared" si="9"/>
        <v>Signal Iduna Exklusiv (ÖD)
z.B. PVAG, VÖDAG</v>
      </c>
      <c r="BE124" s="57" t="str">
        <f t="shared" si="9"/>
        <v>SLP Primus</v>
      </c>
      <c r="BF124" s="57" t="str">
        <f t="shared" si="9"/>
        <v>SLP Primus Plus</v>
      </c>
      <c r="BG124" s="57" t="str">
        <f>BG1</f>
        <v>Stuttgarter 1000Plus</v>
      </c>
      <c r="BH124" s="57" t="str">
        <f t="shared" si="9"/>
        <v>VdVA Classic</v>
      </c>
      <c r="BI124" s="57" t="str">
        <f t="shared" si="9"/>
        <v>VdVA Exclusiv</v>
      </c>
      <c r="BJ124" s="57" t="str">
        <f>BJ1</f>
        <v>VHV Klassik Garant</v>
      </c>
      <c r="BK124" s="57" t="str">
        <f t="shared" si="9"/>
        <v>VHV Klassik Garant Exklusiv</v>
      </c>
      <c r="BL124" s="57" t="str">
        <f t="shared" si="9"/>
        <v>WÜBA Unfall AKTIV Premium</v>
      </c>
      <c r="BM124" s="57" t="str">
        <f>BM1</f>
        <v>Württembergische Platinum</v>
      </c>
      <c r="BN124" s="57" t="str">
        <f>BN1</f>
        <v>Württembergische Premium</v>
      </c>
      <c r="BO124" s="57" t="str">
        <f>BO1</f>
        <v>Zurich Makler Top-Schutz</v>
      </c>
    </row>
    <row r="125" spans="1:75" s="14" customFormat="1" ht="22.5" customHeight="1">
      <c r="A125" s="53" t="s">
        <v>4</v>
      </c>
      <c r="B125" s="54" t="s">
        <v>58</v>
      </c>
      <c r="C125" s="54" t="s">
        <v>1777</v>
      </c>
      <c r="D125" s="54" t="s">
        <v>1777</v>
      </c>
      <c r="E125" s="54" t="s">
        <v>89</v>
      </c>
      <c r="F125" s="54" t="s">
        <v>89</v>
      </c>
      <c r="G125" s="54" t="s">
        <v>89</v>
      </c>
      <c r="H125" s="123" t="s">
        <v>2634</v>
      </c>
      <c r="I125" s="54" t="s">
        <v>89</v>
      </c>
      <c r="J125" s="54" t="s">
        <v>23</v>
      </c>
      <c r="K125" s="54" t="s">
        <v>23</v>
      </c>
      <c r="L125" s="54" t="s">
        <v>23</v>
      </c>
      <c r="M125" s="54" t="s">
        <v>23</v>
      </c>
      <c r="N125" s="54" t="s">
        <v>58</v>
      </c>
      <c r="O125" s="54" t="s">
        <v>23</v>
      </c>
      <c r="P125" s="54" t="s">
        <v>58</v>
      </c>
      <c r="Q125" s="54" t="s">
        <v>23</v>
      </c>
      <c r="R125" s="54" t="s">
        <v>1662</v>
      </c>
      <c r="S125" s="54" t="s">
        <v>1386</v>
      </c>
      <c r="T125" s="54" t="s">
        <v>1761</v>
      </c>
      <c r="U125" s="123" t="s">
        <v>23</v>
      </c>
      <c r="V125" s="123" t="s">
        <v>58</v>
      </c>
      <c r="W125" s="123" t="s">
        <v>58</v>
      </c>
      <c r="X125" s="54" t="s">
        <v>811</v>
      </c>
      <c r="Y125" s="54" t="s">
        <v>3967</v>
      </c>
      <c r="Z125" s="54" t="s">
        <v>3967</v>
      </c>
      <c r="AA125" s="54" t="s">
        <v>3967</v>
      </c>
      <c r="AB125" s="54" t="s">
        <v>4233</v>
      </c>
      <c r="AC125" s="54" t="s">
        <v>747</v>
      </c>
      <c r="AD125" s="54" t="s">
        <v>2435</v>
      </c>
      <c r="AE125" s="54" t="s">
        <v>811</v>
      </c>
      <c r="AF125" s="54" t="s">
        <v>811</v>
      </c>
      <c r="AG125" s="54" t="s">
        <v>747</v>
      </c>
      <c r="AH125" s="54" t="s">
        <v>1139</v>
      </c>
      <c r="AI125" s="54" t="s">
        <v>23</v>
      </c>
      <c r="AJ125" s="54" t="s">
        <v>89</v>
      </c>
      <c r="AK125" s="54" t="s">
        <v>89</v>
      </c>
      <c r="AL125" s="54" t="s">
        <v>23</v>
      </c>
      <c r="AM125" s="54" t="s">
        <v>3336</v>
      </c>
      <c r="AN125" s="54" t="s">
        <v>89</v>
      </c>
      <c r="AO125" s="54" t="s">
        <v>89</v>
      </c>
      <c r="AP125" s="54" t="s">
        <v>89</v>
      </c>
      <c r="AQ125" s="54" t="s">
        <v>89</v>
      </c>
      <c r="AR125" s="54" t="s">
        <v>89</v>
      </c>
      <c r="AS125" s="54" t="s">
        <v>39</v>
      </c>
      <c r="AT125" s="54" t="s">
        <v>58</v>
      </c>
      <c r="AU125" s="54" t="s">
        <v>58</v>
      </c>
      <c r="AV125" s="54" t="s">
        <v>23</v>
      </c>
      <c r="AW125" s="54" t="s">
        <v>23</v>
      </c>
      <c r="AX125" s="54" t="s">
        <v>89</v>
      </c>
      <c r="AY125" s="54" t="s">
        <v>58</v>
      </c>
      <c r="AZ125" s="54" t="s">
        <v>58</v>
      </c>
      <c r="BA125" s="54" t="s">
        <v>89</v>
      </c>
      <c r="BB125" s="54" t="s">
        <v>23</v>
      </c>
      <c r="BC125" s="54" t="s">
        <v>397</v>
      </c>
      <c r="BD125" s="54" t="s">
        <v>397</v>
      </c>
      <c r="BE125" s="54" t="s">
        <v>58</v>
      </c>
      <c r="BF125" s="54" t="s">
        <v>89</v>
      </c>
      <c r="BG125" s="54" t="s">
        <v>89</v>
      </c>
      <c r="BH125" s="54" t="s">
        <v>23</v>
      </c>
      <c r="BI125" s="54" t="s">
        <v>23</v>
      </c>
      <c r="BJ125" s="54" t="s">
        <v>1777</v>
      </c>
      <c r="BK125" s="54" t="s">
        <v>89</v>
      </c>
      <c r="BL125" s="54" t="s">
        <v>23</v>
      </c>
      <c r="BM125" s="54" t="s">
        <v>1649</v>
      </c>
      <c r="BN125" s="54" t="s">
        <v>1646</v>
      </c>
      <c r="BO125" s="54" t="s">
        <v>444</v>
      </c>
    </row>
    <row r="126" spans="1:75" s="2" customFormat="1" ht="11.25" customHeight="1">
      <c r="A126" s="95" t="s">
        <v>688</v>
      </c>
      <c r="B126" s="94"/>
      <c r="C126" s="94" t="s">
        <v>3148</v>
      </c>
      <c r="D126" s="94" t="s">
        <v>3149</v>
      </c>
      <c r="E126" s="94" t="s">
        <v>2012</v>
      </c>
      <c r="F126" s="94" t="s">
        <v>2012</v>
      </c>
      <c r="G126" s="94"/>
      <c r="H126" s="94" t="s">
        <v>2053</v>
      </c>
      <c r="I126" s="94" t="s">
        <v>2695</v>
      </c>
      <c r="J126" s="94" t="s">
        <v>1218</v>
      </c>
      <c r="K126" s="94" t="s">
        <v>1219</v>
      </c>
      <c r="L126" s="94" t="s">
        <v>1406</v>
      </c>
      <c r="M126" s="94" t="s">
        <v>1406</v>
      </c>
      <c r="N126" s="94" t="s">
        <v>1406</v>
      </c>
      <c r="O126" s="94" t="s">
        <v>2833</v>
      </c>
      <c r="P126" s="94" t="s">
        <v>1295</v>
      </c>
      <c r="Q126" s="94" t="s">
        <v>1384</v>
      </c>
      <c r="R126" s="94" t="s">
        <v>1663</v>
      </c>
      <c r="S126" s="94" t="s">
        <v>1384</v>
      </c>
      <c r="T126" s="94" t="s">
        <v>3729</v>
      </c>
      <c r="U126" s="94" t="s">
        <v>4057</v>
      </c>
      <c r="V126" s="94" t="s">
        <v>4056</v>
      </c>
      <c r="W126" s="94" t="s">
        <v>4056</v>
      </c>
      <c r="X126" s="94" t="s">
        <v>2945</v>
      </c>
      <c r="Y126" s="94" t="s">
        <v>2605</v>
      </c>
      <c r="Z126" s="94" t="s">
        <v>2605</v>
      </c>
      <c r="AA126" s="94" t="s">
        <v>2605</v>
      </c>
      <c r="AB126" s="94" t="s">
        <v>4234</v>
      </c>
      <c r="AC126" s="94" t="s">
        <v>1885</v>
      </c>
      <c r="AD126" s="94" t="s">
        <v>1384</v>
      </c>
      <c r="AE126" s="94" t="s">
        <v>2371</v>
      </c>
      <c r="AF126" s="94" t="s">
        <v>2313</v>
      </c>
      <c r="AG126" s="94" t="s">
        <v>2256</v>
      </c>
      <c r="AH126" s="94" t="s">
        <v>1140</v>
      </c>
      <c r="AI126" s="94"/>
      <c r="AJ126" s="94" t="s">
        <v>1274</v>
      </c>
      <c r="AK126" s="94" t="s">
        <v>1274</v>
      </c>
      <c r="AL126" s="94" t="s">
        <v>1384</v>
      </c>
      <c r="AM126" s="94" t="s">
        <v>3325</v>
      </c>
      <c r="AN126" s="94" t="s">
        <v>3325</v>
      </c>
      <c r="AO126" s="94" t="s">
        <v>3502</v>
      </c>
      <c r="AP126" s="94" t="s">
        <v>3502</v>
      </c>
      <c r="AQ126" s="94" t="s">
        <v>3502</v>
      </c>
      <c r="AR126" s="94" t="s">
        <v>3502</v>
      </c>
      <c r="AS126" s="94"/>
      <c r="AT126" s="94"/>
      <c r="AU126" s="94"/>
      <c r="AV126" s="94" t="s">
        <v>1448</v>
      </c>
      <c r="AW126" s="94" t="s">
        <v>1448</v>
      </c>
      <c r="AX126" s="94"/>
      <c r="AY126" s="94" t="s">
        <v>2893</v>
      </c>
      <c r="AZ126" s="94" t="s">
        <v>1216</v>
      </c>
      <c r="BA126" s="94" t="s">
        <v>1385</v>
      </c>
      <c r="BB126" s="94" t="s">
        <v>1721</v>
      </c>
      <c r="BC126" s="94" t="s">
        <v>851</v>
      </c>
      <c r="BD126" s="94" t="s">
        <v>851</v>
      </c>
      <c r="BE126" s="94" t="s">
        <v>1274</v>
      </c>
      <c r="BF126" s="94" t="s">
        <v>1274</v>
      </c>
      <c r="BG126" s="94" t="s">
        <v>2985</v>
      </c>
      <c r="BH126" s="94" t="s">
        <v>3226</v>
      </c>
      <c r="BI126" s="94" t="s">
        <v>3226</v>
      </c>
      <c r="BJ126" s="94" t="s">
        <v>3404</v>
      </c>
      <c r="BK126" s="94" t="s">
        <v>2112</v>
      </c>
      <c r="BL126" s="94" t="s">
        <v>2184</v>
      </c>
      <c r="BM126" s="94" t="s">
        <v>1648</v>
      </c>
      <c r="BN126" s="94" t="s">
        <v>1647</v>
      </c>
      <c r="BO126" s="94"/>
      <c r="BR126" s="19"/>
      <c r="BS126" s="20"/>
      <c r="BT126" s="11"/>
      <c r="BU126" s="19"/>
      <c r="BV126" s="19"/>
      <c r="BW126" s="19"/>
    </row>
    <row r="127" spans="1:75" s="14" customFormat="1" ht="22.5" customHeight="1">
      <c r="A127" s="53" t="s">
        <v>3</v>
      </c>
      <c r="B127" s="54" t="s">
        <v>39</v>
      </c>
      <c r="C127" s="54" t="s">
        <v>534</v>
      </c>
      <c r="D127" s="54" t="s">
        <v>534</v>
      </c>
      <c r="E127" s="54" t="s">
        <v>39</v>
      </c>
      <c r="F127" s="54" t="s">
        <v>39</v>
      </c>
      <c r="G127" s="54" t="s">
        <v>39</v>
      </c>
      <c r="H127" s="123" t="s">
        <v>41</v>
      </c>
      <c r="I127" s="54" t="s">
        <v>39</v>
      </c>
      <c r="J127" s="54" t="s">
        <v>534</v>
      </c>
      <c r="K127" s="54" t="s">
        <v>534</v>
      </c>
      <c r="L127" s="54" t="s">
        <v>39</v>
      </c>
      <c r="M127" s="54" t="s">
        <v>39</v>
      </c>
      <c r="N127" s="54" t="s">
        <v>39</v>
      </c>
      <c r="O127" s="54" t="s">
        <v>39</v>
      </c>
      <c r="P127" s="54" t="s">
        <v>534</v>
      </c>
      <c r="Q127" s="54" t="s">
        <v>39</v>
      </c>
      <c r="R127" s="54" t="s">
        <v>39</v>
      </c>
      <c r="S127" s="54" t="s">
        <v>39</v>
      </c>
      <c r="T127" s="54" t="s">
        <v>534</v>
      </c>
      <c r="U127" s="123" t="s">
        <v>534</v>
      </c>
      <c r="V127" s="123" t="s">
        <v>534</v>
      </c>
      <c r="W127" s="123" t="s">
        <v>534</v>
      </c>
      <c r="X127" s="54" t="s">
        <v>534</v>
      </c>
      <c r="Y127" s="54" t="s">
        <v>39</v>
      </c>
      <c r="Z127" s="54" t="s">
        <v>41</v>
      </c>
      <c r="AA127" s="54" t="s">
        <v>41</v>
      </c>
      <c r="AB127" s="54" t="s">
        <v>384</v>
      </c>
      <c r="AC127" s="54" t="s">
        <v>534</v>
      </c>
      <c r="AD127" s="54" t="s">
        <v>2252</v>
      </c>
      <c r="AE127" s="54" t="s">
        <v>2252</v>
      </c>
      <c r="AF127" s="54" t="s">
        <v>2252</v>
      </c>
      <c r="AG127" s="54" t="s">
        <v>2252</v>
      </c>
      <c r="AH127" s="54" t="s">
        <v>39</v>
      </c>
      <c r="AI127" s="54" t="s">
        <v>41</v>
      </c>
      <c r="AJ127" s="54" t="s">
        <v>534</v>
      </c>
      <c r="AK127" s="54" t="s">
        <v>534</v>
      </c>
      <c r="AL127" s="54" t="s">
        <v>534</v>
      </c>
      <c r="AM127" s="54" t="s">
        <v>41</v>
      </c>
      <c r="AN127" s="54" t="s">
        <v>41</v>
      </c>
      <c r="AO127" s="54" t="s">
        <v>39</v>
      </c>
      <c r="AP127" s="54" t="s">
        <v>39</v>
      </c>
      <c r="AQ127" s="54" t="s">
        <v>41</v>
      </c>
      <c r="AR127" s="54" t="s">
        <v>41</v>
      </c>
      <c r="AS127" s="54" t="s">
        <v>39</v>
      </c>
      <c r="AT127" s="54" t="s">
        <v>39</v>
      </c>
      <c r="AU127" s="54" t="s">
        <v>39</v>
      </c>
      <c r="AV127" s="54" t="s">
        <v>534</v>
      </c>
      <c r="AW127" s="54" t="s">
        <v>534</v>
      </c>
      <c r="AX127" s="54" t="s">
        <v>39</v>
      </c>
      <c r="AY127" s="54" t="s">
        <v>39</v>
      </c>
      <c r="AZ127" s="54" t="s">
        <v>41</v>
      </c>
      <c r="BA127" s="54" t="s">
        <v>39</v>
      </c>
      <c r="BB127" s="54" t="s">
        <v>534</v>
      </c>
      <c r="BC127" s="54" t="s">
        <v>41</v>
      </c>
      <c r="BD127" s="54" t="s">
        <v>41</v>
      </c>
      <c r="BE127" s="54" t="s">
        <v>41</v>
      </c>
      <c r="BF127" s="54" t="s">
        <v>41</v>
      </c>
      <c r="BG127" s="54" t="s">
        <v>41</v>
      </c>
      <c r="BH127" s="54" t="s">
        <v>3227</v>
      </c>
      <c r="BI127" s="54" t="s">
        <v>3227</v>
      </c>
      <c r="BJ127" s="54" t="s">
        <v>41</v>
      </c>
      <c r="BK127" s="54" t="s">
        <v>41</v>
      </c>
      <c r="BL127" s="54" t="s">
        <v>2185</v>
      </c>
      <c r="BM127" s="73" t="s">
        <v>39</v>
      </c>
      <c r="BN127" s="73" t="s">
        <v>39</v>
      </c>
      <c r="BO127" s="54" t="s">
        <v>425</v>
      </c>
    </row>
    <row r="128" spans="1:75" s="2" customFormat="1" ht="11.25" customHeight="1">
      <c r="A128" s="95" t="s">
        <v>688</v>
      </c>
      <c r="B128" s="94"/>
      <c r="C128" s="94" t="s">
        <v>3155</v>
      </c>
      <c r="D128" s="94" t="s">
        <v>3154</v>
      </c>
      <c r="E128" s="94" t="s">
        <v>2019</v>
      </c>
      <c r="F128" s="94" t="s">
        <v>2019</v>
      </c>
      <c r="G128" s="94"/>
      <c r="H128" s="94" t="s">
        <v>2054</v>
      </c>
      <c r="I128" s="94" t="s">
        <v>2734</v>
      </c>
      <c r="J128" s="94" t="s">
        <v>1219</v>
      </c>
      <c r="K128" s="94" t="s">
        <v>1224</v>
      </c>
      <c r="L128" s="94" t="s">
        <v>1405</v>
      </c>
      <c r="M128" s="94" t="s">
        <v>1405</v>
      </c>
      <c r="N128" s="94" t="s">
        <v>1405</v>
      </c>
      <c r="O128" s="94" t="s">
        <v>2834</v>
      </c>
      <c r="P128" s="94" t="s">
        <v>1295</v>
      </c>
      <c r="Q128" s="94" t="s">
        <v>1383</v>
      </c>
      <c r="R128" s="94" t="s">
        <v>39</v>
      </c>
      <c r="S128" s="94" t="s">
        <v>1383</v>
      </c>
      <c r="T128" s="94" t="s">
        <v>3705</v>
      </c>
      <c r="U128" s="94" t="s">
        <v>4055</v>
      </c>
      <c r="V128" s="94" t="s">
        <v>4055</v>
      </c>
      <c r="W128" s="94" t="s">
        <v>4055</v>
      </c>
      <c r="X128" s="94" t="s">
        <v>2946</v>
      </c>
      <c r="Y128" s="94" t="s">
        <v>3968</v>
      </c>
      <c r="Z128" s="94" t="s">
        <v>3969</v>
      </c>
      <c r="AA128" s="94" t="s">
        <v>3970</v>
      </c>
      <c r="AB128" s="94" t="s">
        <v>4235</v>
      </c>
      <c r="AC128" s="94" t="s">
        <v>1228</v>
      </c>
      <c r="AD128" s="94" t="s">
        <v>2412</v>
      </c>
      <c r="AE128" s="94" t="s">
        <v>2372</v>
      </c>
      <c r="AF128" s="94" t="s">
        <v>2314</v>
      </c>
      <c r="AG128" s="94" t="s">
        <v>2251</v>
      </c>
      <c r="AH128" s="94" t="s">
        <v>1140</v>
      </c>
      <c r="AI128" s="94"/>
      <c r="AJ128" s="94" t="s">
        <v>2465</v>
      </c>
      <c r="AK128" s="94" t="s">
        <v>2465</v>
      </c>
      <c r="AL128" s="94" t="s">
        <v>2574</v>
      </c>
      <c r="AM128" s="94" t="s">
        <v>3329</v>
      </c>
      <c r="AN128" s="94" t="s">
        <v>3329</v>
      </c>
      <c r="AO128" s="94" t="s">
        <v>3562</v>
      </c>
      <c r="AP128" s="94" t="s">
        <v>3562</v>
      </c>
      <c r="AQ128" s="94" t="s">
        <v>3500</v>
      </c>
      <c r="AR128" s="94" t="s">
        <v>3500</v>
      </c>
      <c r="AS128" s="94"/>
      <c r="AT128" s="94"/>
      <c r="AU128" s="94"/>
      <c r="AV128" s="94" t="s">
        <v>1448</v>
      </c>
      <c r="AW128" s="94" t="s">
        <v>1450</v>
      </c>
      <c r="AX128" s="94"/>
      <c r="AY128" s="94" t="s">
        <v>2603</v>
      </c>
      <c r="AZ128" s="94" t="s">
        <v>1228</v>
      </c>
      <c r="BA128" s="94" t="s">
        <v>2603</v>
      </c>
      <c r="BB128" s="94" t="s">
        <v>2859</v>
      </c>
      <c r="BC128" s="94" t="s">
        <v>849</v>
      </c>
      <c r="BD128" s="94" t="s">
        <v>849</v>
      </c>
      <c r="BE128" s="94" t="s">
        <v>1330</v>
      </c>
      <c r="BF128" s="94" t="s">
        <v>1330</v>
      </c>
      <c r="BG128" s="94" t="s">
        <v>2986</v>
      </c>
      <c r="BH128" s="94" t="s">
        <v>3228</v>
      </c>
      <c r="BI128" s="94" t="s">
        <v>3228</v>
      </c>
      <c r="BJ128" s="94" t="s">
        <v>2155</v>
      </c>
      <c r="BK128" s="94" t="s">
        <v>2155</v>
      </c>
      <c r="BL128" s="94" t="s">
        <v>2184</v>
      </c>
      <c r="BM128" s="94" t="s">
        <v>1645</v>
      </c>
      <c r="BN128" s="94" t="s">
        <v>1645</v>
      </c>
      <c r="BO128" s="94"/>
      <c r="BR128" s="19"/>
      <c r="BS128" s="20"/>
      <c r="BT128" s="11"/>
      <c r="BU128" s="19"/>
      <c r="BV128" s="19"/>
      <c r="BW128" s="19"/>
    </row>
    <row r="129" spans="1:75" s="14" customFormat="1" ht="22.5" customHeight="1">
      <c r="A129" s="58" t="s">
        <v>2836</v>
      </c>
      <c r="B129" s="54" t="s">
        <v>118</v>
      </c>
      <c r="C129" s="54" t="s">
        <v>2572</v>
      </c>
      <c r="D129" s="54" t="s">
        <v>2572</v>
      </c>
      <c r="E129" s="54" t="s">
        <v>1914</v>
      </c>
      <c r="F129" s="54" t="s">
        <v>1914</v>
      </c>
      <c r="G129" s="54" t="s">
        <v>654</v>
      </c>
      <c r="H129" s="123" t="s">
        <v>750</v>
      </c>
      <c r="I129" s="54" t="s">
        <v>2686</v>
      </c>
      <c r="J129" s="54" t="s">
        <v>396</v>
      </c>
      <c r="K129" s="54" t="s">
        <v>396</v>
      </c>
      <c r="L129" s="54" t="s">
        <v>39</v>
      </c>
      <c r="M129" s="54" t="s">
        <v>750</v>
      </c>
      <c r="N129" s="54" t="s">
        <v>39</v>
      </c>
      <c r="O129" s="54" t="s">
        <v>396</v>
      </c>
      <c r="P129" s="54" t="s">
        <v>750</v>
      </c>
      <c r="Q129" s="54" t="s">
        <v>39</v>
      </c>
      <c r="R129" s="54" t="s">
        <v>396</v>
      </c>
      <c r="S129" s="54" t="s">
        <v>2837</v>
      </c>
      <c r="T129" s="54" t="s">
        <v>750</v>
      </c>
      <c r="U129" s="123" t="s">
        <v>750</v>
      </c>
      <c r="V129" s="123" t="s">
        <v>750</v>
      </c>
      <c r="W129" s="123" t="s">
        <v>750</v>
      </c>
      <c r="X129" s="54" t="s">
        <v>750</v>
      </c>
      <c r="Y129" s="54" t="s">
        <v>3971</v>
      </c>
      <c r="Z129" s="54" t="s">
        <v>3971</v>
      </c>
      <c r="AA129" s="54" t="s">
        <v>3971</v>
      </c>
      <c r="AB129" s="54" t="s">
        <v>750</v>
      </c>
      <c r="AC129" s="54" t="s">
        <v>3655</v>
      </c>
      <c r="AD129" s="54" t="s">
        <v>750</v>
      </c>
      <c r="AE129" s="54" t="s">
        <v>750</v>
      </c>
      <c r="AF129" s="54" t="s">
        <v>750</v>
      </c>
      <c r="AG129" s="54" t="s">
        <v>750</v>
      </c>
      <c r="AH129" s="54" t="s">
        <v>39</v>
      </c>
      <c r="AI129" s="54" t="s">
        <v>91</v>
      </c>
      <c r="AJ129" s="54" t="s">
        <v>750</v>
      </c>
      <c r="AK129" s="54" t="s">
        <v>750</v>
      </c>
      <c r="AL129" s="54" t="s">
        <v>2572</v>
      </c>
      <c r="AM129" s="54" t="s">
        <v>750</v>
      </c>
      <c r="AN129" s="54" t="s">
        <v>750</v>
      </c>
      <c r="AO129" s="54" t="s">
        <v>750</v>
      </c>
      <c r="AP129" s="54" t="s">
        <v>396</v>
      </c>
      <c r="AQ129" s="54" t="s">
        <v>750</v>
      </c>
      <c r="AR129" s="54" t="s">
        <v>396</v>
      </c>
      <c r="AS129" s="54" t="s">
        <v>39</v>
      </c>
      <c r="AT129" s="54" t="s">
        <v>244</v>
      </c>
      <c r="AU129" s="54" t="s">
        <v>244</v>
      </c>
      <c r="AV129" s="54" t="s">
        <v>194</v>
      </c>
      <c r="AW129" s="54" t="s">
        <v>194</v>
      </c>
      <c r="AX129" s="54" t="s">
        <v>367</v>
      </c>
      <c r="AY129" s="54" t="s">
        <v>2686</v>
      </c>
      <c r="AZ129" s="54" t="s">
        <v>39</v>
      </c>
      <c r="BA129" s="116" t="s">
        <v>2604</v>
      </c>
      <c r="BB129" s="54" t="s">
        <v>396</v>
      </c>
      <c r="BC129" s="54" t="s">
        <v>396</v>
      </c>
      <c r="BD129" s="54" t="s">
        <v>396</v>
      </c>
      <c r="BE129" s="54" t="s">
        <v>226</v>
      </c>
      <c r="BF129" s="54" t="s">
        <v>226</v>
      </c>
      <c r="BG129" s="54" t="s">
        <v>2686</v>
      </c>
      <c r="BH129" s="54" t="s">
        <v>39</v>
      </c>
      <c r="BI129" s="54" t="s">
        <v>39</v>
      </c>
      <c r="BJ129" s="54" t="s">
        <v>750</v>
      </c>
      <c r="BK129" s="54" t="s">
        <v>750</v>
      </c>
      <c r="BL129" s="54" t="s">
        <v>750</v>
      </c>
      <c r="BM129" s="54" t="s">
        <v>750</v>
      </c>
      <c r="BN129" s="54" t="s">
        <v>750</v>
      </c>
      <c r="BO129" s="54" t="s">
        <v>2838</v>
      </c>
    </row>
    <row r="130" spans="1:75" s="2" customFormat="1" ht="11.25" customHeight="1">
      <c r="A130" s="95" t="s">
        <v>688</v>
      </c>
      <c r="B130" s="94"/>
      <c r="C130" s="94" t="s">
        <v>3156</v>
      </c>
      <c r="D130" s="94" t="s">
        <v>3143</v>
      </c>
      <c r="E130" s="94" t="s">
        <v>2014</v>
      </c>
      <c r="F130" s="94" t="s">
        <v>2014</v>
      </c>
      <c r="G130" s="94"/>
      <c r="H130" s="94" t="s">
        <v>2056</v>
      </c>
      <c r="I130" s="94" t="s">
        <v>2696</v>
      </c>
      <c r="J130" s="94" t="s">
        <v>2745</v>
      </c>
      <c r="K130" s="94" t="s">
        <v>1223</v>
      </c>
      <c r="L130" s="94" t="s">
        <v>39</v>
      </c>
      <c r="M130" s="94" t="s">
        <v>1218</v>
      </c>
      <c r="N130" s="94" t="s">
        <v>39</v>
      </c>
      <c r="O130" s="94" t="s">
        <v>2835</v>
      </c>
      <c r="P130" s="94" t="s">
        <v>1295</v>
      </c>
      <c r="Q130" s="94" t="s">
        <v>39</v>
      </c>
      <c r="R130" s="94" t="s">
        <v>1665</v>
      </c>
      <c r="S130" s="94" t="s">
        <v>1384</v>
      </c>
      <c r="T130" s="94" t="s">
        <v>3742</v>
      </c>
      <c r="U130" s="94" t="s">
        <v>4057</v>
      </c>
      <c r="V130" s="94" t="s">
        <v>4057</v>
      </c>
      <c r="W130" s="94" t="s">
        <v>4057</v>
      </c>
      <c r="X130" s="94" t="s">
        <v>834</v>
      </c>
      <c r="Y130" s="94" t="s">
        <v>2605</v>
      </c>
      <c r="Z130" s="94" t="s">
        <v>2605</v>
      </c>
      <c r="AA130" s="94" t="s">
        <v>2605</v>
      </c>
      <c r="AB130" s="94" t="s">
        <v>4236</v>
      </c>
      <c r="AC130" s="94" t="s">
        <v>1223</v>
      </c>
      <c r="AD130" s="94" t="s">
        <v>2413</v>
      </c>
      <c r="AE130" s="94" t="s">
        <v>2373</v>
      </c>
      <c r="AF130" s="94" t="s">
        <v>2315</v>
      </c>
      <c r="AG130" s="94" t="s">
        <v>2253</v>
      </c>
      <c r="AH130" s="94" t="s">
        <v>39</v>
      </c>
      <c r="AI130" s="94"/>
      <c r="AJ130" s="94" t="s">
        <v>1275</v>
      </c>
      <c r="AK130" s="94" t="s">
        <v>2466</v>
      </c>
      <c r="AL130" s="94" t="s">
        <v>2573</v>
      </c>
      <c r="AM130" s="94" t="s">
        <v>3328</v>
      </c>
      <c r="AN130" s="94" t="s">
        <v>3328</v>
      </c>
      <c r="AO130" s="94" t="s">
        <v>3500</v>
      </c>
      <c r="AP130" s="94" t="s">
        <v>3592</v>
      </c>
      <c r="AQ130" s="94" t="s">
        <v>3499</v>
      </c>
      <c r="AR130" s="94" t="s">
        <v>3543</v>
      </c>
      <c r="AS130" s="94"/>
      <c r="AT130" s="94"/>
      <c r="AU130" s="94"/>
      <c r="AV130" s="94" t="s">
        <v>1448</v>
      </c>
      <c r="AW130" s="94" t="s">
        <v>1448</v>
      </c>
      <c r="AX130" s="94"/>
      <c r="AY130" s="94" t="s">
        <v>2883</v>
      </c>
      <c r="AZ130" s="94" t="s">
        <v>39</v>
      </c>
      <c r="BA130" s="94" t="s">
        <v>1896</v>
      </c>
      <c r="BB130" s="94" t="s">
        <v>1723</v>
      </c>
      <c r="BC130" s="94" t="s">
        <v>848</v>
      </c>
      <c r="BD130" s="94" t="s">
        <v>848</v>
      </c>
      <c r="BE130" s="94" t="s">
        <v>1275</v>
      </c>
      <c r="BF130" s="94" t="s">
        <v>1275</v>
      </c>
      <c r="BG130" s="94" t="s">
        <v>2987</v>
      </c>
      <c r="BH130" s="94" t="s">
        <v>39</v>
      </c>
      <c r="BI130" s="94" t="s">
        <v>39</v>
      </c>
      <c r="BJ130" s="94" t="s">
        <v>1384</v>
      </c>
      <c r="BK130" s="94" t="s">
        <v>1384</v>
      </c>
      <c r="BL130" s="94" t="s">
        <v>1405</v>
      </c>
      <c r="BM130" s="94" t="s">
        <v>1611</v>
      </c>
      <c r="BN130" s="94" t="s">
        <v>1611</v>
      </c>
      <c r="BO130" s="94"/>
      <c r="BR130" s="19"/>
      <c r="BS130" s="20"/>
      <c r="BT130" s="11"/>
      <c r="BU130" s="19"/>
      <c r="BV130" s="19"/>
      <c r="BW130" s="19"/>
    </row>
    <row r="131" spans="1:75" s="14" customFormat="1" ht="22.5" customHeight="1">
      <c r="A131" s="58" t="s">
        <v>22</v>
      </c>
      <c r="B131" s="54" t="s">
        <v>39</v>
      </c>
      <c r="C131" s="54" t="s">
        <v>533</v>
      </c>
      <c r="D131" s="54" t="s">
        <v>533</v>
      </c>
      <c r="E131" s="54" t="s">
        <v>81</v>
      </c>
      <c r="F131" s="54" t="s">
        <v>81</v>
      </c>
      <c r="G131" s="54" t="s">
        <v>41</v>
      </c>
      <c r="H131" s="123" t="s">
        <v>126</v>
      </c>
      <c r="I131" s="54" t="s">
        <v>41</v>
      </c>
      <c r="J131" s="54" t="s">
        <v>41</v>
      </c>
      <c r="K131" s="54" t="s">
        <v>41</v>
      </c>
      <c r="L131" s="54" t="s">
        <v>39</v>
      </c>
      <c r="M131" s="54" t="s">
        <v>39</v>
      </c>
      <c r="N131" s="54" t="s">
        <v>39</v>
      </c>
      <c r="O131" s="54" t="s">
        <v>39</v>
      </c>
      <c r="P131" s="54" t="s">
        <v>1080</v>
      </c>
      <c r="Q131" s="54" t="s">
        <v>39</v>
      </c>
      <c r="R131" s="54" t="s">
        <v>41</v>
      </c>
      <c r="S131" s="54" t="s">
        <v>39</v>
      </c>
      <c r="T131" s="54" t="s">
        <v>39</v>
      </c>
      <c r="U131" s="123" t="s">
        <v>39</v>
      </c>
      <c r="V131" s="123" t="s">
        <v>81</v>
      </c>
      <c r="W131" s="123" t="s">
        <v>81</v>
      </c>
      <c r="X131" s="54" t="s">
        <v>2955</v>
      </c>
      <c r="Y131" s="54" t="s">
        <v>39</v>
      </c>
      <c r="Z131" s="54" t="s">
        <v>81</v>
      </c>
      <c r="AA131" s="54" t="s">
        <v>41</v>
      </c>
      <c r="AB131" s="54" t="s">
        <v>533</v>
      </c>
      <c r="AC131" s="54" t="s">
        <v>126</v>
      </c>
      <c r="AD131" s="54" t="s">
        <v>39</v>
      </c>
      <c r="AE131" s="54" t="s">
        <v>41</v>
      </c>
      <c r="AF131" s="54" t="s">
        <v>41</v>
      </c>
      <c r="AG131" s="54" t="s">
        <v>41</v>
      </c>
      <c r="AH131" s="54" t="s">
        <v>39</v>
      </c>
      <c r="AI131" s="54" t="s">
        <v>39</v>
      </c>
      <c r="AJ131" s="54" t="s">
        <v>81</v>
      </c>
      <c r="AK131" s="54" t="s">
        <v>41</v>
      </c>
      <c r="AL131" s="73" t="s">
        <v>39</v>
      </c>
      <c r="AM131" s="54" t="s">
        <v>81</v>
      </c>
      <c r="AN131" s="54" t="s">
        <v>41</v>
      </c>
      <c r="AO131" s="54" t="s">
        <v>41</v>
      </c>
      <c r="AP131" s="54" t="s">
        <v>41</v>
      </c>
      <c r="AQ131" s="54" t="s">
        <v>41</v>
      </c>
      <c r="AR131" s="54" t="s">
        <v>41</v>
      </c>
      <c r="AS131" s="54" t="s">
        <v>39</v>
      </c>
      <c r="AT131" s="54" t="s">
        <v>39</v>
      </c>
      <c r="AU131" s="54" t="s">
        <v>39</v>
      </c>
      <c r="AV131" s="54" t="s">
        <v>533</v>
      </c>
      <c r="AW131" s="54" t="s">
        <v>533</v>
      </c>
      <c r="AX131" s="54" t="s">
        <v>39</v>
      </c>
      <c r="AY131" s="54" t="s">
        <v>81</v>
      </c>
      <c r="AZ131" s="54" t="s">
        <v>39</v>
      </c>
      <c r="BA131" s="54" t="s">
        <v>90</v>
      </c>
      <c r="BB131" s="54" t="s">
        <v>41</v>
      </c>
      <c r="BC131" s="54" t="s">
        <v>41</v>
      </c>
      <c r="BD131" s="54" t="s">
        <v>41</v>
      </c>
      <c r="BE131" s="54" t="s">
        <v>568</v>
      </c>
      <c r="BF131" s="54" t="s">
        <v>121</v>
      </c>
      <c r="BG131" s="54" t="s">
        <v>41</v>
      </c>
      <c r="BH131" s="54" t="s">
        <v>78</v>
      </c>
      <c r="BI131" s="54" t="s">
        <v>78</v>
      </c>
      <c r="BJ131" s="54" t="s">
        <v>616</v>
      </c>
      <c r="BK131" s="54" t="s">
        <v>616</v>
      </c>
      <c r="BL131" s="54" t="s">
        <v>78</v>
      </c>
      <c r="BM131" s="54" t="s">
        <v>1588</v>
      </c>
      <c r="BN131" s="54" t="s">
        <v>81</v>
      </c>
      <c r="BO131" s="54" t="s">
        <v>41</v>
      </c>
    </row>
    <row r="132" spans="1:75" s="2" customFormat="1" ht="11.25" customHeight="1">
      <c r="A132" s="95" t="s">
        <v>688</v>
      </c>
      <c r="B132" s="94"/>
      <c r="C132" s="94" t="s">
        <v>3161</v>
      </c>
      <c r="D132" s="94" t="s">
        <v>3160</v>
      </c>
      <c r="E132" s="94" t="s">
        <v>2015</v>
      </c>
      <c r="F132" s="94" t="s">
        <v>2015</v>
      </c>
      <c r="G132" s="94"/>
      <c r="H132" s="94" t="s">
        <v>2053</v>
      </c>
      <c r="I132" s="94" t="s">
        <v>2699</v>
      </c>
      <c r="J132" s="94" t="s">
        <v>2781</v>
      </c>
      <c r="K132" s="94" t="s">
        <v>2781</v>
      </c>
      <c r="L132" s="94" t="s">
        <v>39</v>
      </c>
      <c r="M132" s="94" t="s">
        <v>39</v>
      </c>
      <c r="N132" s="94" t="s">
        <v>39</v>
      </c>
      <c r="O132" s="94" t="s">
        <v>39</v>
      </c>
      <c r="P132" s="94" t="s">
        <v>1295</v>
      </c>
      <c r="Q132" s="94" t="s">
        <v>39</v>
      </c>
      <c r="R132" s="94" t="s">
        <v>1664</v>
      </c>
      <c r="S132" s="94" t="s">
        <v>39</v>
      </c>
      <c r="T132" s="94" t="s">
        <v>39</v>
      </c>
      <c r="U132" s="94" t="s">
        <v>4057</v>
      </c>
      <c r="V132" s="94" t="s">
        <v>4056</v>
      </c>
      <c r="W132" s="94" t="s">
        <v>4056</v>
      </c>
      <c r="X132" s="94" t="s">
        <v>2954</v>
      </c>
      <c r="Y132" s="94" t="s">
        <v>39</v>
      </c>
      <c r="Z132" s="94" t="s">
        <v>3969</v>
      </c>
      <c r="AA132" s="94" t="s">
        <v>3970</v>
      </c>
      <c r="AB132" s="94" t="s">
        <v>4232</v>
      </c>
      <c r="AC132" s="94" t="s">
        <v>1224</v>
      </c>
      <c r="AD132" s="94" t="s">
        <v>39</v>
      </c>
      <c r="AE132" s="94" t="s">
        <v>2374</v>
      </c>
      <c r="AF132" s="94" t="s">
        <v>2317</v>
      </c>
      <c r="AG132" s="94" t="s">
        <v>2255</v>
      </c>
      <c r="AH132" s="94" t="s">
        <v>39</v>
      </c>
      <c r="AI132" s="94"/>
      <c r="AJ132" s="94" t="s">
        <v>2464</v>
      </c>
      <c r="AK132" s="94" t="s">
        <v>2464</v>
      </c>
      <c r="AL132" s="94" t="s">
        <v>39</v>
      </c>
      <c r="AM132" s="94" t="s">
        <v>3326</v>
      </c>
      <c r="AN132" s="94" t="s">
        <v>3326</v>
      </c>
      <c r="AO132" s="94" t="s">
        <v>3501</v>
      </c>
      <c r="AP132" s="94" t="s">
        <v>3501</v>
      </c>
      <c r="AQ132" s="94" t="s">
        <v>3501</v>
      </c>
      <c r="AR132" s="94" t="s">
        <v>3501</v>
      </c>
      <c r="AS132" s="94"/>
      <c r="AT132" s="94"/>
      <c r="AU132" s="94"/>
      <c r="AV132" s="94" t="s">
        <v>1449</v>
      </c>
      <c r="AW132" s="94" t="s">
        <v>1449</v>
      </c>
      <c r="AX132" s="94"/>
      <c r="AY132" s="94" t="s">
        <v>2781</v>
      </c>
      <c r="AZ132" s="94" t="s">
        <v>39</v>
      </c>
      <c r="BA132" s="94" t="s">
        <v>1893</v>
      </c>
      <c r="BB132" s="94" t="s">
        <v>1743</v>
      </c>
      <c r="BC132" s="94" t="s">
        <v>850</v>
      </c>
      <c r="BD132" s="94" t="s">
        <v>850</v>
      </c>
      <c r="BE132" s="94" t="s">
        <v>1273</v>
      </c>
      <c r="BF132" s="94" t="s">
        <v>1273</v>
      </c>
      <c r="BG132" s="94" t="s">
        <v>789</v>
      </c>
      <c r="BH132" s="94" t="s">
        <v>3229</v>
      </c>
      <c r="BI132" s="94" t="s">
        <v>3229</v>
      </c>
      <c r="BJ132" s="94" t="s">
        <v>2132</v>
      </c>
      <c r="BK132" s="94" t="s">
        <v>2132</v>
      </c>
      <c r="BL132" s="94" t="s">
        <v>2184</v>
      </c>
      <c r="BM132" s="94" t="s">
        <v>1587</v>
      </c>
      <c r="BN132" s="94" t="s">
        <v>1610</v>
      </c>
      <c r="BO132" s="94"/>
      <c r="BR132" s="19"/>
      <c r="BS132" s="20"/>
      <c r="BT132" s="11"/>
      <c r="BU132" s="19"/>
      <c r="BV132" s="19"/>
      <c r="BW132" s="19"/>
    </row>
    <row r="133" spans="1:75" s="14" customFormat="1" ht="22.5" customHeight="1">
      <c r="A133" s="53" t="s">
        <v>128</v>
      </c>
      <c r="B133" s="54" t="s">
        <v>129</v>
      </c>
      <c r="C133" s="54" t="s">
        <v>3152</v>
      </c>
      <c r="D133" s="54" t="s">
        <v>3153</v>
      </c>
      <c r="E133" s="54" t="s">
        <v>2013</v>
      </c>
      <c r="F133" s="54" t="s">
        <v>2013</v>
      </c>
      <c r="G133" s="54" t="s">
        <v>39</v>
      </c>
      <c r="H133" s="123" t="s">
        <v>632</v>
      </c>
      <c r="I133" s="54" t="s">
        <v>205</v>
      </c>
      <c r="J133" s="54" t="s">
        <v>2782</v>
      </c>
      <c r="K133" s="54" t="s">
        <v>2782</v>
      </c>
      <c r="L133" s="54" t="s">
        <v>129</v>
      </c>
      <c r="M133" s="54" t="s">
        <v>129</v>
      </c>
      <c r="N133" s="54" t="s">
        <v>129</v>
      </c>
      <c r="O133" s="54" t="s">
        <v>2832</v>
      </c>
      <c r="P133" s="54" t="s">
        <v>3811</v>
      </c>
      <c r="Q133" s="54" t="s">
        <v>129</v>
      </c>
      <c r="R133" s="54" t="s">
        <v>39</v>
      </c>
      <c r="S133" s="54" t="s">
        <v>129</v>
      </c>
      <c r="T133" s="54" t="s">
        <v>1877</v>
      </c>
      <c r="U133" s="123" t="s">
        <v>129</v>
      </c>
      <c r="V133" s="123" t="s">
        <v>130</v>
      </c>
      <c r="W133" s="123" t="s">
        <v>130</v>
      </c>
      <c r="X133" s="54" t="s">
        <v>129</v>
      </c>
      <c r="Y133" s="54" t="s">
        <v>3972</v>
      </c>
      <c r="Z133" s="54" t="s">
        <v>3972</v>
      </c>
      <c r="AA133" s="54" t="s">
        <v>3972</v>
      </c>
      <c r="AB133" s="54" t="s">
        <v>4237</v>
      </c>
      <c r="AC133" s="54" t="s">
        <v>3657</v>
      </c>
      <c r="AD133" s="54" t="s">
        <v>129</v>
      </c>
      <c r="AE133" s="54" t="s">
        <v>129</v>
      </c>
      <c r="AF133" s="54" t="s">
        <v>130</v>
      </c>
      <c r="AG133" s="54" t="s">
        <v>205</v>
      </c>
      <c r="AH133" s="54" t="s">
        <v>39</v>
      </c>
      <c r="AI133" s="54" t="s">
        <v>129</v>
      </c>
      <c r="AJ133" s="54" t="s">
        <v>1877</v>
      </c>
      <c r="AK133" s="54" t="s">
        <v>1877</v>
      </c>
      <c r="AL133" s="54" t="s">
        <v>129</v>
      </c>
      <c r="AM133" s="54" t="s">
        <v>482</v>
      </c>
      <c r="AN133" s="54" t="s">
        <v>304</v>
      </c>
      <c r="AO133" s="54" t="s">
        <v>130</v>
      </c>
      <c r="AP133" s="54" t="s">
        <v>130</v>
      </c>
      <c r="AQ133" s="54" t="s">
        <v>3435</v>
      </c>
      <c r="AR133" s="54" t="s">
        <v>3435</v>
      </c>
      <c r="AS133" s="54" t="s">
        <v>39</v>
      </c>
      <c r="AT133" s="54" t="s">
        <v>39</v>
      </c>
      <c r="AU133" s="54" t="s">
        <v>39</v>
      </c>
      <c r="AV133" s="54" t="s">
        <v>129</v>
      </c>
      <c r="AW133" s="54" t="s">
        <v>129</v>
      </c>
      <c r="AX133" s="54" t="s">
        <v>380</v>
      </c>
      <c r="AY133" s="54" t="s">
        <v>129</v>
      </c>
      <c r="AZ133" s="54" t="s">
        <v>1217</v>
      </c>
      <c r="BA133" s="54" t="s">
        <v>39</v>
      </c>
      <c r="BB133" s="54" t="s">
        <v>2782</v>
      </c>
      <c r="BC133" s="54" t="s">
        <v>415</v>
      </c>
      <c r="BD133" s="54" t="s">
        <v>415</v>
      </c>
      <c r="BE133" s="54" t="s">
        <v>204</v>
      </c>
      <c r="BF133" s="54" t="s">
        <v>557</v>
      </c>
      <c r="BG133" s="54" t="s">
        <v>205</v>
      </c>
      <c r="BH133" s="54" t="s">
        <v>1877</v>
      </c>
      <c r="BI133" s="54" t="s">
        <v>1877</v>
      </c>
      <c r="BJ133" s="54" t="s">
        <v>130</v>
      </c>
      <c r="BK133" s="54" t="s">
        <v>2113</v>
      </c>
      <c r="BL133" s="54" t="s">
        <v>129</v>
      </c>
      <c r="BM133" s="54" t="s">
        <v>39</v>
      </c>
      <c r="BN133" s="54" t="s">
        <v>39</v>
      </c>
      <c r="BO133" s="54" t="s">
        <v>423</v>
      </c>
    </row>
    <row r="134" spans="1:75" s="2" customFormat="1" ht="11.25" customHeight="1">
      <c r="A134" s="95" t="s">
        <v>688</v>
      </c>
      <c r="B134" s="94"/>
      <c r="C134" s="94" t="s">
        <v>3150</v>
      </c>
      <c r="D134" s="94" t="s">
        <v>3151</v>
      </c>
      <c r="E134" s="94" t="s">
        <v>2012</v>
      </c>
      <c r="F134" s="94" t="s">
        <v>2012</v>
      </c>
      <c r="G134" s="94"/>
      <c r="H134" s="94" t="s">
        <v>2055</v>
      </c>
      <c r="I134" s="94" t="s">
        <v>1384</v>
      </c>
      <c r="J134" s="94" t="s">
        <v>2575</v>
      </c>
      <c r="K134" s="94" t="s">
        <v>2575</v>
      </c>
      <c r="L134" s="94" t="s">
        <v>1384</v>
      </c>
      <c r="M134" s="94" t="s">
        <v>1384</v>
      </c>
      <c r="N134" s="94" t="s">
        <v>1383</v>
      </c>
      <c r="O134" s="94" t="s">
        <v>2831</v>
      </c>
      <c r="P134" s="94" t="s">
        <v>3810</v>
      </c>
      <c r="Q134" s="94" t="s">
        <v>1385</v>
      </c>
      <c r="R134" s="94" t="s">
        <v>39</v>
      </c>
      <c r="S134" s="94" t="s">
        <v>1385</v>
      </c>
      <c r="T134" s="94" t="s">
        <v>3743</v>
      </c>
      <c r="U134" s="94" t="s">
        <v>4059</v>
      </c>
      <c r="V134" s="94" t="s">
        <v>4058</v>
      </c>
      <c r="W134" s="94" t="s">
        <v>4058</v>
      </c>
      <c r="X134" s="94" t="s">
        <v>835</v>
      </c>
      <c r="Y134" s="94" t="s">
        <v>2914</v>
      </c>
      <c r="Z134" s="94" t="s">
        <v>2914</v>
      </c>
      <c r="AA134" s="94" t="s">
        <v>2914</v>
      </c>
      <c r="AB134" s="94" t="s">
        <v>4238</v>
      </c>
      <c r="AC134" s="94" t="s">
        <v>2749</v>
      </c>
      <c r="AD134" s="94" t="s">
        <v>1385</v>
      </c>
      <c r="AE134" s="94" t="s">
        <v>1385</v>
      </c>
      <c r="AF134" s="94" t="s">
        <v>2323</v>
      </c>
      <c r="AG134" s="94" t="s">
        <v>2258</v>
      </c>
      <c r="AH134" s="94" t="s">
        <v>39</v>
      </c>
      <c r="AI134" s="94"/>
      <c r="AJ134" s="94" t="s">
        <v>1275</v>
      </c>
      <c r="AK134" s="94" t="s">
        <v>1275</v>
      </c>
      <c r="AL134" s="94" t="s">
        <v>1385</v>
      </c>
      <c r="AM134" s="94" t="s">
        <v>3327</v>
      </c>
      <c r="AN134" s="94" t="s">
        <v>3327</v>
      </c>
      <c r="AO134" s="94" t="s">
        <v>3503</v>
      </c>
      <c r="AP134" s="94" t="s">
        <v>3503</v>
      </c>
      <c r="AQ134" s="94" t="s">
        <v>3503</v>
      </c>
      <c r="AR134" s="94" t="s">
        <v>3503</v>
      </c>
      <c r="AS134" s="94"/>
      <c r="AT134" s="94"/>
      <c r="AU134" s="94"/>
      <c r="AV134" s="94" t="s">
        <v>1451</v>
      </c>
      <c r="AW134" s="94" t="s">
        <v>1451</v>
      </c>
      <c r="AX134" s="94"/>
      <c r="AY134" s="94" t="s">
        <v>2575</v>
      </c>
      <c r="AZ134" s="94" t="s">
        <v>1215</v>
      </c>
      <c r="BA134" s="94" t="s">
        <v>39</v>
      </c>
      <c r="BB134" s="94" t="s">
        <v>1746</v>
      </c>
      <c r="BC134" s="94" t="s">
        <v>852</v>
      </c>
      <c r="BD134" s="94" t="s">
        <v>852</v>
      </c>
      <c r="BE134" s="94" t="s">
        <v>1354</v>
      </c>
      <c r="BF134" s="94" t="s">
        <v>1272</v>
      </c>
      <c r="BG134" s="94" t="s">
        <v>2988</v>
      </c>
      <c r="BH134" s="94" t="s">
        <v>3230</v>
      </c>
      <c r="BI134" s="94" t="s">
        <v>3230</v>
      </c>
      <c r="BJ134" s="94" t="s">
        <v>3403</v>
      </c>
      <c r="BK134" s="94" t="s">
        <v>2123</v>
      </c>
      <c r="BL134" s="94" t="s">
        <v>2187</v>
      </c>
      <c r="BM134" s="94" t="s">
        <v>39</v>
      </c>
      <c r="BN134" s="94" t="s">
        <v>39</v>
      </c>
      <c r="BO134" s="94"/>
      <c r="BR134" s="19"/>
      <c r="BS134" s="20"/>
      <c r="BT134" s="11"/>
      <c r="BU134" s="19"/>
      <c r="BV134" s="19"/>
      <c r="BW134" s="19"/>
    </row>
    <row r="135" spans="1:75" s="14" customFormat="1" ht="22.5" customHeight="1">
      <c r="A135" s="53" t="s">
        <v>63</v>
      </c>
      <c r="B135" s="54" t="s">
        <v>265</v>
      </c>
      <c r="C135" s="54" t="s">
        <v>39</v>
      </c>
      <c r="D135" s="54" t="s">
        <v>39</v>
      </c>
      <c r="E135" s="54" t="s">
        <v>41</v>
      </c>
      <c r="F135" s="54" t="s">
        <v>41</v>
      </c>
      <c r="G135" s="54" t="s">
        <v>39</v>
      </c>
      <c r="H135" s="123" t="s">
        <v>2058</v>
      </c>
      <c r="I135" s="54" t="s">
        <v>39</v>
      </c>
      <c r="J135" s="54" t="s">
        <v>39</v>
      </c>
      <c r="K135" s="54" t="s">
        <v>39</v>
      </c>
      <c r="L135" s="54" t="s">
        <v>39</v>
      </c>
      <c r="M135" s="54" t="s">
        <v>39</v>
      </c>
      <c r="N135" s="54" t="s">
        <v>39</v>
      </c>
      <c r="O135" s="54" t="s">
        <v>39</v>
      </c>
      <c r="P135" s="54" t="s">
        <v>39</v>
      </c>
      <c r="Q135" s="54" t="s">
        <v>39</v>
      </c>
      <c r="R135" s="54" t="s">
        <v>39</v>
      </c>
      <c r="S135" s="54" t="s">
        <v>39</v>
      </c>
      <c r="T135" s="54" t="s">
        <v>39</v>
      </c>
      <c r="U135" s="123" t="s">
        <v>39</v>
      </c>
      <c r="V135" s="123" t="s">
        <v>39</v>
      </c>
      <c r="W135" s="123" t="s">
        <v>39</v>
      </c>
      <c r="X135" s="54" t="s">
        <v>39</v>
      </c>
      <c r="Y135" s="54" t="s">
        <v>39</v>
      </c>
      <c r="Z135" s="54" t="s">
        <v>39</v>
      </c>
      <c r="AA135" s="54" t="s">
        <v>39</v>
      </c>
      <c r="AB135" s="54" t="s">
        <v>4209</v>
      </c>
      <c r="AC135" s="54" t="s">
        <v>39</v>
      </c>
      <c r="AD135" s="54" t="s">
        <v>39</v>
      </c>
      <c r="AE135" s="54" t="s">
        <v>39</v>
      </c>
      <c r="AF135" s="54" t="s">
        <v>2257</v>
      </c>
      <c r="AG135" s="54" t="s">
        <v>2257</v>
      </c>
      <c r="AH135" s="54" t="s">
        <v>39</v>
      </c>
      <c r="AI135" s="54" t="s">
        <v>39</v>
      </c>
      <c r="AJ135" s="54" t="s">
        <v>39</v>
      </c>
      <c r="AK135" s="54" t="s">
        <v>39</v>
      </c>
      <c r="AL135" s="54" t="s">
        <v>39</v>
      </c>
      <c r="AM135" s="54" t="s">
        <v>39</v>
      </c>
      <c r="AN135" s="54" t="s">
        <v>39</v>
      </c>
      <c r="AO135" s="54" t="s">
        <v>39</v>
      </c>
      <c r="AP135" s="54" t="s">
        <v>39</v>
      </c>
      <c r="AQ135" s="54" t="s">
        <v>39</v>
      </c>
      <c r="AR135" s="54" t="s">
        <v>39</v>
      </c>
      <c r="AS135" s="54" t="s">
        <v>39</v>
      </c>
      <c r="AT135" s="54" t="s">
        <v>39</v>
      </c>
      <c r="AU135" s="54" t="s">
        <v>39</v>
      </c>
      <c r="AV135" s="54" t="s">
        <v>39</v>
      </c>
      <c r="AW135" s="54" t="s">
        <v>39</v>
      </c>
      <c r="AX135" s="54" t="s">
        <v>373</v>
      </c>
      <c r="AY135" s="54" t="s">
        <v>39</v>
      </c>
      <c r="AZ135" s="54" t="s">
        <v>39</v>
      </c>
      <c r="BA135" s="54" t="s">
        <v>39</v>
      </c>
      <c r="BB135" s="54" t="s">
        <v>39</v>
      </c>
      <c r="BC135" s="54" t="s">
        <v>39</v>
      </c>
      <c r="BD135" s="54" t="s">
        <v>39</v>
      </c>
      <c r="BE135" s="54" t="s">
        <v>39</v>
      </c>
      <c r="BF135" s="54" t="s">
        <v>39</v>
      </c>
      <c r="BG135" s="76" t="s">
        <v>39</v>
      </c>
      <c r="BH135" s="54" t="s">
        <v>39</v>
      </c>
      <c r="BI135" s="54" t="s">
        <v>39</v>
      </c>
      <c r="BJ135" s="54" t="s">
        <v>39</v>
      </c>
      <c r="BK135" s="54" t="s">
        <v>39</v>
      </c>
      <c r="BL135" s="54" t="s">
        <v>39</v>
      </c>
      <c r="BM135" s="54" t="s">
        <v>39</v>
      </c>
      <c r="BN135" s="54" t="s">
        <v>39</v>
      </c>
      <c r="BO135" s="54" t="s">
        <v>427</v>
      </c>
    </row>
    <row r="136" spans="1:75" s="2" customFormat="1" ht="11.25" customHeight="1">
      <c r="A136" s="95" t="s">
        <v>688</v>
      </c>
      <c r="B136" s="94"/>
      <c r="C136" s="94" t="s">
        <v>39</v>
      </c>
      <c r="D136" s="94" t="s">
        <v>39</v>
      </c>
      <c r="E136" s="94" t="s">
        <v>1947</v>
      </c>
      <c r="F136" s="94" t="s">
        <v>1973</v>
      </c>
      <c r="G136" s="94"/>
      <c r="H136" s="94" t="s">
        <v>2057</v>
      </c>
      <c r="I136" s="94" t="s">
        <v>39</v>
      </c>
      <c r="J136" s="94" t="s">
        <v>39</v>
      </c>
      <c r="K136" s="94" t="s">
        <v>39</v>
      </c>
      <c r="L136" s="94" t="s">
        <v>39</v>
      </c>
      <c r="M136" s="94" t="s">
        <v>39</v>
      </c>
      <c r="N136" s="94" t="s">
        <v>1411</v>
      </c>
      <c r="O136" s="94" t="s">
        <v>39</v>
      </c>
      <c r="P136" s="94" t="s">
        <v>39</v>
      </c>
      <c r="Q136" s="94" t="s">
        <v>39</v>
      </c>
      <c r="R136" s="94" t="s">
        <v>39</v>
      </c>
      <c r="S136" s="94" t="s">
        <v>39</v>
      </c>
      <c r="T136" s="94" t="s">
        <v>39</v>
      </c>
      <c r="U136" s="94" t="s">
        <v>39</v>
      </c>
      <c r="V136" s="94" t="s">
        <v>39</v>
      </c>
      <c r="W136" s="94" t="s">
        <v>39</v>
      </c>
      <c r="X136" s="94" t="s">
        <v>39</v>
      </c>
      <c r="Y136" s="94" t="s">
        <v>39</v>
      </c>
      <c r="Z136" s="94" t="s">
        <v>39</v>
      </c>
      <c r="AA136" s="94" t="s">
        <v>39</v>
      </c>
      <c r="AB136" s="94"/>
      <c r="AC136" s="94" t="s">
        <v>39</v>
      </c>
      <c r="AD136" s="94" t="s">
        <v>39</v>
      </c>
      <c r="AE136" s="94" t="s">
        <v>39</v>
      </c>
      <c r="AF136" s="94" t="s">
        <v>2319</v>
      </c>
      <c r="AG136" s="94" t="s">
        <v>2318</v>
      </c>
      <c r="AH136" s="94" t="s">
        <v>39</v>
      </c>
      <c r="AI136" s="94"/>
      <c r="AJ136" s="94" t="s">
        <v>39</v>
      </c>
      <c r="AK136" s="94" t="s">
        <v>39</v>
      </c>
      <c r="AL136" s="94" t="s">
        <v>1411</v>
      </c>
      <c r="AM136" s="94" t="s">
        <v>39</v>
      </c>
      <c r="AN136" s="94" t="s">
        <v>39</v>
      </c>
      <c r="AO136" s="94" t="s">
        <v>39</v>
      </c>
      <c r="AP136" s="94" t="s">
        <v>39</v>
      </c>
      <c r="AQ136" s="94" t="s">
        <v>39</v>
      </c>
      <c r="AR136" s="94" t="s">
        <v>39</v>
      </c>
      <c r="AS136" s="94"/>
      <c r="AT136" s="94"/>
      <c r="AU136" s="94"/>
      <c r="AV136" s="94" t="s">
        <v>39</v>
      </c>
      <c r="AW136" s="94" t="s">
        <v>39</v>
      </c>
      <c r="AX136" s="94"/>
      <c r="AY136" s="94" t="s">
        <v>39</v>
      </c>
      <c r="AZ136" s="94" t="s">
        <v>39</v>
      </c>
      <c r="BA136" s="94" t="s">
        <v>39</v>
      </c>
      <c r="BB136" s="94" t="s">
        <v>39</v>
      </c>
      <c r="BC136" s="94" t="s">
        <v>39</v>
      </c>
      <c r="BD136" s="94" t="s">
        <v>39</v>
      </c>
      <c r="BE136" s="94" t="s">
        <v>39</v>
      </c>
      <c r="BF136" s="94" t="s">
        <v>39</v>
      </c>
      <c r="BG136" s="94" t="s">
        <v>39</v>
      </c>
      <c r="BH136" s="94" t="s">
        <v>39</v>
      </c>
      <c r="BI136" s="94" t="s">
        <v>39</v>
      </c>
      <c r="BJ136" s="94" t="s">
        <v>39</v>
      </c>
      <c r="BK136" s="94" t="s">
        <v>39</v>
      </c>
      <c r="BL136" s="94" t="s">
        <v>39</v>
      </c>
      <c r="BM136" s="94" t="s">
        <v>1602</v>
      </c>
      <c r="BN136" s="94" t="s">
        <v>1602</v>
      </c>
      <c r="BO136" s="94"/>
      <c r="BR136" s="19"/>
      <c r="BS136" s="20"/>
      <c r="BT136" s="11"/>
      <c r="BU136" s="19"/>
      <c r="BV136" s="19"/>
      <c r="BW136" s="19"/>
    </row>
    <row r="137" spans="1:75" s="14" customFormat="1" ht="22.5" customHeight="1">
      <c r="A137" s="53" t="s">
        <v>131</v>
      </c>
      <c r="B137" s="54" t="s">
        <v>39</v>
      </c>
      <c r="C137" s="54" t="s">
        <v>3144</v>
      </c>
      <c r="D137" s="54" t="s">
        <v>3144</v>
      </c>
      <c r="E137" s="54" t="s">
        <v>39</v>
      </c>
      <c r="F137" s="54" t="s">
        <v>39</v>
      </c>
      <c r="G137" s="54" t="s">
        <v>39</v>
      </c>
      <c r="H137" s="123" t="s">
        <v>2635</v>
      </c>
      <c r="I137" s="54" t="s">
        <v>2698</v>
      </c>
      <c r="J137" s="54" t="s">
        <v>39</v>
      </c>
      <c r="K137" s="54" t="s">
        <v>2755</v>
      </c>
      <c r="L137" s="54" t="s">
        <v>39</v>
      </c>
      <c r="M137" s="54" t="s">
        <v>39</v>
      </c>
      <c r="N137" s="54" t="s">
        <v>39</v>
      </c>
      <c r="O137" s="54" t="s">
        <v>670</v>
      </c>
      <c r="P137" s="54" t="s">
        <v>3825</v>
      </c>
      <c r="Q137" s="54" t="s">
        <v>39</v>
      </c>
      <c r="R137" s="54" t="s">
        <v>39</v>
      </c>
      <c r="S137" s="54" t="s">
        <v>39</v>
      </c>
      <c r="T137" s="54" t="s">
        <v>39</v>
      </c>
      <c r="U137" s="123" t="s">
        <v>39</v>
      </c>
      <c r="V137" s="123" t="s">
        <v>4065</v>
      </c>
      <c r="W137" s="123" t="s">
        <v>4065</v>
      </c>
      <c r="X137" s="54" t="s">
        <v>814</v>
      </c>
      <c r="Y137" s="54" t="s">
        <v>39</v>
      </c>
      <c r="Z137" s="54" t="s">
        <v>3973</v>
      </c>
      <c r="AA137" s="54" t="s">
        <v>3974</v>
      </c>
      <c r="AB137" s="54" t="s">
        <v>4239</v>
      </c>
      <c r="AC137" s="54" t="s">
        <v>3656</v>
      </c>
      <c r="AD137" s="54" t="s">
        <v>39</v>
      </c>
      <c r="AE137" s="54" t="s">
        <v>39</v>
      </c>
      <c r="AF137" s="54" t="s">
        <v>2325</v>
      </c>
      <c r="AG137" s="54" t="s">
        <v>753</v>
      </c>
      <c r="AH137" s="54" t="s">
        <v>39</v>
      </c>
      <c r="AI137" s="54" t="s">
        <v>39</v>
      </c>
      <c r="AJ137" s="54" t="s">
        <v>2469</v>
      </c>
      <c r="AK137" s="54" t="s">
        <v>2469</v>
      </c>
      <c r="AL137" s="73" t="s">
        <v>39</v>
      </c>
      <c r="AM137" s="54" t="s">
        <v>3350</v>
      </c>
      <c r="AN137" s="127" t="s">
        <v>3349</v>
      </c>
      <c r="AO137" s="54" t="s">
        <v>3599</v>
      </c>
      <c r="AP137" s="54" t="s">
        <v>3434</v>
      </c>
      <c r="AQ137" s="54" t="s">
        <v>3506</v>
      </c>
      <c r="AR137" s="54" t="s">
        <v>3434</v>
      </c>
      <c r="AS137" s="54" t="s">
        <v>39</v>
      </c>
      <c r="AT137" s="54" t="s">
        <v>39</v>
      </c>
      <c r="AU137" s="54" t="s">
        <v>39</v>
      </c>
      <c r="AV137" s="54" t="s">
        <v>39</v>
      </c>
      <c r="AW137" s="75" t="s">
        <v>1474</v>
      </c>
      <c r="AX137" s="54" t="s">
        <v>39</v>
      </c>
      <c r="AY137" s="54" t="s">
        <v>39</v>
      </c>
      <c r="AZ137" s="54" t="s">
        <v>39</v>
      </c>
      <c r="BA137" s="54" t="s">
        <v>39</v>
      </c>
      <c r="BB137" s="54" t="s">
        <v>39</v>
      </c>
      <c r="BC137" s="54" t="s">
        <v>39</v>
      </c>
      <c r="BD137" s="54" t="s">
        <v>39</v>
      </c>
      <c r="BE137" s="54" t="s">
        <v>555</v>
      </c>
      <c r="BF137" s="54" t="s">
        <v>556</v>
      </c>
      <c r="BG137" s="54" t="s">
        <v>2990</v>
      </c>
      <c r="BH137" s="54" t="s">
        <v>39</v>
      </c>
      <c r="BI137" s="54" t="s">
        <v>39</v>
      </c>
      <c r="BJ137" s="54" t="s">
        <v>39</v>
      </c>
      <c r="BK137" s="54" t="s">
        <v>39</v>
      </c>
      <c r="BL137" s="54" t="s">
        <v>2186</v>
      </c>
      <c r="BM137" s="54" t="s">
        <v>39</v>
      </c>
      <c r="BN137" s="54" t="s">
        <v>39</v>
      </c>
      <c r="BO137" s="54" t="s">
        <v>419</v>
      </c>
    </row>
    <row r="138" spans="1:75" s="2" customFormat="1" ht="11.25" customHeight="1">
      <c r="A138" s="95" t="s">
        <v>688</v>
      </c>
      <c r="B138" s="94"/>
      <c r="C138" s="94" t="s">
        <v>3145</v>
      </c>
      <c r="D138" s="94" t="s">
        <v>3141</v>
      </c>
      <c r="E138" s="94" t="s">
        <v>39</v>
      </c>
      <c r="F138" s="94" t="s">
        <v>39</v>
      </c>
      <c r="G138" s="94"/>
      <c r="H138" s="94" t="s">
        <v>2053</v>
      </c>
      <c r="I138" s="94" t="s">
        <v>2697</v>
      </c>
      <c r="J138" s="94" t="s">
        <v>39</v>
      </c>
      <c r="K138" s="94" t="s">
        <v>1233</v>
      </c>
      <c r="L138" s="94" t="s">
        <v>39</v>
      </c>
      <c r="M138" s="94" t="s">
        <v>39</v>
      </c>
      <c r="N138" s="94" t="s">
        <v>39</v>
      </c>
      <c r="O138" s="94" t="s">
        <v>2811</v>
      </c>
      <c r="P138" s="94" t="s">
        <v>3824</v>
      </c>
      <c r="Q138" s="94" t="s">
        <v>39</v>
      </c>
      <c r="R138" s="94" t="s">
        <v>39</v>
      </c>
      <c r="S138" s="94" t="s">
        <v>39</v>
      </c>
      <c r="T138" s="94" t="s">
        <v>39</v>
      </c>
      <c r="U138" s="94" t="s">
        <v>39</v>
      </c>
      <c r="V138" s="94" t="s">
        <v>4039</v>
      </c>
      <c r="W138" s="94" t="s">
        <v>4039</v>
      </c>
      <c r="X138" s="94" t="s">
        <v>813</v>
      </c>
      <c r="Y138" s="94" t="s">
        <v>39</v>
      </c>
      <c r="Z138" s="94" t="s">
        <v>3975</v>
      </c>
      <c r="AA138" s="94" t="s">
        <v>3976</v>
      </c>
      <c r="AB138" s="94" t="s">
        <v>4231</v>
      </c>
      <c r="AC138" s="94" t="s">
        <v>1259</v>
      </c>
      <c r="AD138" s="94" t="s">
        <v>39</v>
      </c>
      <c r="AE138" s="94" t="s">
        <v>39</v>
      </c>
      <c r="AF138" s="94" t="s">
        <v>2324</v>
      </c>
      <c r="AG138" s="94" t="s">
        <v>2260</v>
      </c>
      <c r="AH138" s="94" t="s">
        <v>39</v>
      </c>
      <c r="AI138" s="94"/>
      <c r="AJ138" s="94" t="s">
        <v>2545</v>
      </c>
      <c r="AK138" s="94" t="s">
        <v>2467</v>
      </c>
      <c r="AL138" s="94" t="s">
        <v>39</v>
      </c>
      <c r="AM138" s="94" t="s">
        <v>3348</v>
      </c>
      <c r="AN138" s="94" t="s">
        <v>3298</v>
      </c>
      <c r="AO138" s="94" t="s">
        <v>3505</v>
      </c>
      <c r="AP138" s="94" t="s">
        <v>3597</v>
      </c>
      <c r="AQ138" s="94" t="s">
        <v>3505</v>
      </c>
      <c r="AR138" s="94" t="s">
        <v>3545</v>
      </c>
      <c r="AS138" s="94"/>
      <c r="AT138" s="94"/>
      <c r="AU138" s="94"/>
      <c r="AV138" s="94" t="s">
        <v>39</v>
      </c>
      <c r="AW138" s="94" t="s">
        <v>1473</v>
      </c>
      <c r="AX138" s="94"/>
      <c r="AY138" s="94" t="s">
        <v>39</v>
      </c>
      <c r="AZ138" s="94" t="s">
        <v>39</v>
      </c>
      <c r="BA138" s="94" t="s">
        <v>39</v>
      </c>
      <c r="BB138" s="94" t="s">
        <v>39</v>
      </c>
      <c r="BC138" s="94" t="s">
        <v>39</v>
      </c>
      <c r="BD138" s="94" t="s">
        <v>39</v>
      </c>
      <c r="BE138" s="94" t="s">
        <v>1286</v>
      </c>
      <c r="BF138" s="94" t="s">
        <v>1286</v>
      </c>
      <c r="BG138" s="94" t="s">
        <v>2989</v>
      </c>
      <c r="BH138" s="94" t="s">
        <v>39</v>
      </c>
      <c r="BI138" s="94" t="s">
        <v>39</v>
      </c>
      <c r="BJ138" s="94" t="s">
        <v>39</v>
      </c>
      <c r="BK138" s="94" t="s">
        <v>39</v>
      </c>
      <c r="BL138" s="94" t="s">
        <v>1406</v>
      </c>
      <c r="BM138" s="94" t="s">
        <v>39</v>
      </c>
      <c r="BN138" s="94" t="s">
        <v>39</v>
      </c>
      <c r="BO138" s="94"/>
      <c r="BR138" s="19"/>
      <c r="BS138" s="20"/>
      <c r="BT138" s="11"/>
      <c r="BU138" s="19"/>
      <c r="BV138" s="19"/>
      <c r="BW138" s="19"/>
    </row>
    <row r="139" spans="1:75" s="14" customFormat="1" ht="22.5" customHeight="1">
      <c r="A139" s="53" t="s">
        <v>132</v>
      </c>
      <c r="B139" s="54" t="s">
        <v>39</v>
      </c>
      <c r="C139" s="54" t="s">
        <v>3147</v>
      </c>
      <c r="D139" s="54" t="s">
        <v>39</v>
      </c>
      <c r="E139" s="54" t="s">
        <v>2016</v>
      </c>
      <c r="F139" s="54" t="s">
        <v>2016</v>
      </c>
      <c r="G139" s="54" t="s">
        <v>655</v>
      </c>
      <c r="H139" s="123" t="s">
        <v>2637</v>
      </c>
      <c r="I139" s="54" t="s">
        <v>2701</v>
      </c>
      <c r="J139" s="54" t="s">
        <v>39</v>
      </c>
      <c r="K139" s="54" t="s">
        <v>39</v>
      </c>
      <c r="L139" s="54" t="s">
        <v>39</v>
      </c>
      <c r="M139" s="54" t="s">
        <v>39</v>
      </c>
      <c r="N139" s="54" t="s">
        <v>39</v>
      </c>
      <c r="O139" s="54" t="s">
        <v>39</v>
      </c>
      <c r="P139" s="54" t="s">
        <v>39</v>
      </c>
      <c r="Q139" s="54" t="s">
        <v>39</v>
      </c>
      <c r="R139" s="54" t="s">
        <v>39</v>
      </c>
      <c r="S139" s="54" t="s">
        <v>39</v>
      </c>
      <c r="T139" s="54" t="s">
        <v>39</v>
      </c>
      <c r="U139" s="123" t="s">
        <v>4098</v>
      </c>
      <c r="V139" s="123" t="s">
        <v>4098</v>
      </c>
      <c r="W139" s="123" t="s">
        <v>4098</v>
      </c>
      <c r="X139" s="54" t="s">
        <v>39</v>
      </c>
      <c r="Y139" s="54" t="s">
        <v>3977</v>
      </c>
      <c r="Z139" s="54" t="s">
        <v>3977</v>
      </c>
      <c r="AA139" s="54" t="s">
        <v>3977</v>
      </c>
      <c r="AB139" s="54" t="s">
        <v>4240</v>
      </c>
      <c r="AC139" s="54" t="s">
        <v>3659</v>
      </c>
      <c r="AD139" s="54" t="s">
        <v>39</v>
      </c>
      <c r="AE139" s="54" t="s">
        <v>39</v>
      </c>
      <c r="AF139" s="54" t="s">
        <v>39</v>
      </c>
      <c r="AG139" s="54" t="s">
        <v>755</v>
      </c>
      <c r="AH139" s="54" t="s">
        <v>39</v>
      </c>
      <c r="AI139" s="54" t="s">
        <v>39</v>
      </c>
      <c r="AJ139" s="54" t="s">
        <v>2470</v>
      </c>
      <c r="AK139" s="54" t="s">
        <v>2470</v>
      </c>
      <c r="AL139" s="73" t="s">
        <v>39</v>
      </c>
      <c r="AM139" s="54" t="s">
        <v>3347</v>
      </c>
      <c r="AN139" s="54" t="s">
        <v>1774</v>
      </c>
      <c r="AO139" s="54" t="s">
        <v>39</v>
      </c>
      <c r="AP139" s="54" t="s">
        <v>3440</v>
      </c>
      <c r="AQ139" s="54" t="s">
        <v>3598</v>
      </c>
      <c r="AR139" s="54" t="s">
        <v>3440</v>
      </c>
      <c r="AS139" s="54" t="s">
        <v>39</v>
      </c>
      <c r="AT139" s="54" t="s">
        <v>39</v>
      </c>
      <c r="AU139" s="54" t="s">
        <v>39</v>
      </c>
      <c r="AV139" s="54" t="s">
        <v>39</v>
      </c>
      <c r="AW139" s="54" t="s">
        <v>39</v>
      </c>
      <c r="AX139" s="54" t="s">
        <v>39</v>
      </c>
      <c r="AY139" s="54" t="s">
        <v>2907</v>
      </c>
      <c r="AZ139" s="54" t="s">
        <v>39</v>
      </c>
      <c r="BA139" s="54" t="s">
        <v>39</v>
      </c>
      <c r="BB139" s="54" t="s">
        <v>39</v>
      </c>
      <c r="BC139" s="54" t="s">
        <v>897</v>
      </c>
      <c r="BD139" s="54" t="s">
        <v>897</v>
      </c>
      <c r="BE139" s="54" t="s">
        <v>1373</v>
      </c>
      <c r="BF139" s="54" t="s">
        <v>1373</v>
      </c>
      <c r="BG139" s="54" t="s">
        <v>3002</v>
      </c>
      <c r="BH139" s="54" t="s">
        <v>39</v>
      </c>
      <c r="BI139" s="54" t="s">
        <v>39</v>
      </c>
      <c r="BJ139" s="54" t="s">
        <v>617</v>
      </c>
      <c r="BK139" s="54" t="s">
        <v>617</v>
      </c>
      <c r="BL139" s="54" t="s">
        <v>2234</v>
      </c>
      <c r="BM139" s="54" t="s">
        <v>1643</v>
      </c>
      <c r="BN139" s="54" t="s">
        <v>1643</v>
      </c>
      <c r="BO139" s="54" t="s">
        <v>39</v>
      </c>
    </row>
    <row r="140" spans="1:75" s="2" customFormat="1" ht="11.25" customHeight="1">
      <c r="A140" s="95" t="s">
        <v>688</v>
      </c>
      <c r="B140" s="94"/>
      <c r="C140" s="94" t="s">
        <v>3146</v>
      </c>
      <c r="D140" s="94" t="s">
        <v>39</v>
      </c>
      <c r="E140" s="94" t="s">
        <v>2017</v>
      </c>
      <c r="F140" s="94" t="s">
        <v>2017</v>
      </c>
      <c r="G140" s="94"/>
      <c r="H140" s="94" t="s">
        <v>2636</v>
      </c>
      <c r="I140" s="94" t="s">
        <v>2700</v>
      </c>
      <c r="J140" s="94" t="s">
        <v>39</v>
      </c>
      <c r="K140" s="94" t="s">
        <v>39</v>
      </c>
      <c r="L140" s="94" t="s">
        <v>39</v>
      </c>
      <c r="M140" s="94" t="s">
        <v>39</v>
      </c>
      <c r="N140" s="94" t="s">
        <v>39</v>
      </c>
      <c r="O140" s="94" t="s">
        <v>39</v>
      </c>
      <c r="P140" s="94" t="s">
        <v>39</v>
      </c>
      <c r="Q140" s="94" t="s">
        <v>39</v>
      </c>
      <c r="R140" s="94" t="s">
        <v>39</v>
      </c>
      <c r="S140" s="94" t="s">
        <v>39</v>
      </c>
      <c r="T140" s="94" t="s">
        <v>39</v>
      </c>
      <c r="U140" s="94" t="s">
        <v>4097</v>
      </c>
      <c r="V140" s="94" t="s">
        <v>4097</v>
      </c>
      <c r="W140" s="94" t="s">
        <v>4097</v>
      </c>
      <c r="X140" s="94" t="s">
        <v>39</v>
      </c>
      <c r="Y140" s="94" t="s">
        <v>3978</v>
      </c>
      <c r="Z140" s="94" t="s">
        <v>3978</v>
      </c>
      <c r="AA140" s="94" t="s">
        <v>3978</v>
      </c>
      <c r="AB140" s="94" t="s">
        <v>4206</v>
      </c>
      <c r="AC140" s="94" t="s">
        <v>2779</v>
      </c>
      <c r="AD140" s="94" t="s">
        <v>39</v>
      </c>
      <c r="AE140" s="94" t="s">
        <v>39</v>
      </c>
      <c r="AF140" s="94" t="s">
        <v>39</v>
      </c>
      <c r="AG140" s="94" t="s">
        <v>2261</v>
      </c>
      <c r="AH140" s="94" t="s">
        <v>39</v>
      </c>
      <c r="AI140" s="94"/>
      <c r="AJ140" s="94" t="s">
        <v>2546</v>
      </c>
      <c r="AK140" s="94" t="s">
        <v>2468</v>
      </c>
      <c r="AL140" s="94" t="s">
        <v>39</v>
      </c>
      <c r="AM140" s="94" t="s">
        <v>3346</v>
      </c>
      <c r="AN140" s="94" t="s">
        <v>3302</v>
      </c>
      <c r="AO140" s="94" t="s">
        <v>39</v>
      </c>
      <c r="AP140" s="94" t="s">
        <v>3600</v>
      </c>
      <c r="AQ140" s="94" t="s">
        <v>3505</v>
      </c>
      <c r="AR140" s="94" t="s">
        <v>3544</v>
      </c>
      <c r="AS140" s="94"/>
      <c r="AT140" s="94"/>
      <c r="AU140" s="94"/>
      <c r="AV140" s="94" t="s">
        <v>39</v>
      </c>
      <c r="AW140" s="94" t="s">
        <v>39</v>
      </c>
      <c r="AX140" s="94"/>
      <c r="AY140" s="94" t="s">
        <v>2906</v>
      </c>
      <c r="AZ140" s="94" t="s">
        <v>39</v>
      </c>
      <c r="BA140" s="94" t="s">
        <v>39</v>
      </c>
      <c r="BB140" s="94" t="s">
        <v>39</v>
      </c>
      <c r="BC140" s="94" t="s">
        <v>898</v>
      </c>
      <c r="BD140" s="94" t="s">
        <v>898</v>
      </c>
      <c r="BE140" s="94" t="s">
        <v>1374</v>
      </c>
      <c r="BF140" s="94" t="s">
        <v>1374</v>
      </c>
      <c r="BG140" s="94" t="s">
        <v>3001</v>
      </c>
      <c r="BH140" s="94" t="s">
        <v>39</v>
      </c>
      <c r="BI140" s="94" t="s">
        <v>39</v>
      </c>
      <c r="BJ140" s="94" t="s">
        <v>2157</v>
      </c>
      <c r="BK140" s="94" t="s">
        <v>2157</v>
      </c>
      <c r="BL140" s="94" t="s">
        <v>2233</v>
      </c>
      <c r="BM140" s="94" t="s">
        <v>1644</v>
      </c>
      <c r="BN140" s="94" t="s">
        <v>1644</v>
      </c>
      <c r="BO140" s="94"/>
      <c r="BR140" s="19"/>
      <c r="BS140" s="20"/>
      <c r="BT140" s="11"/>
      <c r="BU140" s="19"/>
      <c r="BV140" s="19"/>
      <c r="BW140" s="19"/>
    </row>
    <row r="141" spans="1:75" s="2" customFormat="1" ht="15" customHeight="1">
      <c r="A141" s="56"/>
      <c r="B141" s="55"/>
      <c r="C141" s="55"/>
      <c r="D141" s="55"/>
      <c r="E141" s="55"/>
      <c r="F141" s="55"/>
      <c r="G141" s="55"/>
      <c r="H141" s="3"/>
      <c r="I141" s="55"/>
      <c r="J141" s="3"/>
      <c r="K141" s="3"/>
      <c r="L141" s="3"/>
      <c r="M141" s="3"/>
      <c r="N141" s="3"/>
      <c r="O141" s="3"/>
      <c r="P141" s="56"/>
      <c r="Q141" s="56"/>
      <c r="R141" s="3"/>
      <c r="S141" s="55"/>
      <c r="T141" s="120"/>
      <c r="U141" s="120"/>
      <c r="V141" s="120"/>
      <c r="W141" s="55"/>
      <c r="X141" s="56"/>
      <c r="Y141" s="56"/>
      <c r="Z141" s="56"/>
      <c r="AA141" s="56"/>
      <c r="AB141" s="56"/>
      <c r="AC141" s="56"/>
      <c r="AD141" s="55"/>
      <c r="AE141" s="55"/>
      <c r="AF141" s="56"/>
      <c r="AG141" s="56"/>
      <c r="AH141" s="3"/>
      <c r="AI141" s="3"/>
      <c r="AJ141" s="121"/>
      <c r="AK141" s="121"/>
      <c r="AL141" s="4"/>
      <c r="AM141" s="4"/>
      <c r="AN141" s="121"/>
      <c r="AO141" s="4"/>
      <c r="AP141" s="4"/>
      <c r="AQ141" s="4"/>
      <c r="AR141" s="4"/>
      <c r="AS141" s="4"/>
      <c r="AT141" s="4"/>
      <c r="AU141" s="4"/>
      <c r="AV141" s="4"/>
      <c r="AW141" s="4"/>
      <c r="AX141" s="55"/>
      <c r="AY141" s="55"/>
      <c r="AZ141" s="4"/>
      <c r="BA141" s="4"/>
      <c r="BB141" s="55"/>
      <c r="BC141" s="55"/>
      <c r="BD141" s="55"/>
      <c r="BE141" s="4"/>
      <c r="BF141" s="4"/>
      <c r="BG141" s="55"/>
      <c r="BH141" s="55"/>
      <c r="BI141" s="55"/>
      <c r="BJ141" s="121"/>
      <c r="BK141" s="121"/>
      <c r="BL141" s="121"/>
      <c r="BM141" s="4"/>
      <c r="BN141" s="4"/>
      <c r="BO141" s="55"/>
    </row>
    <row r="142" spans="1:75" s="2" customFormat="1" ht="22.5" customHeight="1">
      <c r="A142" s="50" t="s">
        <v>73</v>
      </c>
      <c r="B142" s="57" t="str">
        <f t="shared" ref="B142:AX142" si="10">B1</f>
        <v>Alte Leipziger XXL</v>
      </c>
      <c r="C142" s="57" t="str">
        <f t="shared" si="10"/>
        <v>Ammerländer Excellent</v>
      </c>
      <c r="D142" s="57" t="str">
        <f t="shared" si="10"/>
        <v>Ammerländer Exclusiv</v>
      </c>
      <c r="E142" s="57" t="str">
        <f t="shared" si="10"/>
        <v>ARAG Komfort</v>
      </c>
      <c r="F142" s="57" t="str">
        <f t="shared" si="10"/>
        <v>ARAG Premium</v>
      </c>
      <c r="G142" s="57" t="str">
        <f t="shared" si="10"/>
        <v>AXA Komfort ohne BR</v>
      </c>
      <c r="H142" s="57" t="str">
        <f t="shared" si="10"/>
        <v>Baden Badener Top 2013</v>
      </c>
      <c r="I142" s="57" t="str">
        <f t="shared" si="10"/>
        <v>Basler UnfallProtect - Max</v>
      </c>
      <c r="J142" s="57" t="str">
        <f t="shared" si="10"/>
        <v>Condor Comfort</v>
      </c>
      <c r="K142" s="57" t="str">
        <f t="shared" si="10"/>
        <v>Condor Premium</v>
      </c>
      <c r="L142" s="57" t="str">
        <f t="shared" si="10"/>
        <v>Cosmos Comfort-Schutz</v>
      </c>
      <c r="M142" s="57" t="str">
        <f t="shared" si="10"/>
        <v>Cosmos Comfort-Schutz Plus</v>
      </c>
      <c r="N142" s="57" t="str">
        <f t="shared" si="10"/>
        <v>Debeka</v>
      </c>
      <c r="O142" s="57" t="str">
        <f t="shared" si="10"/>
        <v>DEVK Komplett</v>
      </c>
      <c r="P142" s="57" t="str">
        <f>P1</f>
        <v>die Bayerische Komfort</v>
      </c>
      <c r="Q142" s="57" t="str">
        <f>Q1</f>
        <v>die Bayerische Standard</v>
      </c>
      <c r="R142" s="57" t="str">
        <f t="shared" si="10"/>
        <v>ERGO Unfallschutz Familie</v>
      </c>
      <c r="S142" s="57" t="str">
        <f t="shared" si="10"/>
        <v>GDV Musterbedingungen</v>
      </c>
      <c r="T142" s="57" t="str">
        <f t="shared" si="10"/>
        <v>Generali Komfort Plus</v>
      </c>
      <c r="U142" s="57" t="str">
        <f t="shared" si="10"/>
        <v>Gothaer Unfall 2014</v>
      </c>
      <c r="V142" s="57" t="str">
        <f t="shared" si="10"/>
        <v>Gothaer UnfallTop 2014</v>
      </c>
      <c r="W142" s="57" t="str">
        <f t="shared" si="10"/>
        <v>Gothaer UnfallTop 2014 Plus</v>
      </c>
      <c r="X142" s="57" t="str">
        <f>X1</f>
        <v>Häger Top</v>
      </c>
      <c r="Y142" s="57" t="str">
        <f>Y1</f>
        <v>HanseMerkur Grund-Schutz</v>
      </c>
      <c r="Z142" s="57" t="str">
        <f>Z1</f>
        <v>HanseMerkur Kompakt-Schutz</v>
      </c>
      <c r="AA142" s="57" t="str">
        <f>AA1</f>
        <v>HanseMerkur Top-Schutz</v>
      </c>
      <c r="AB142" s="57" t="s">
        <v>4170</v>
      </c>
      <c r="AC142" s="57" t="str">
        <f>AC1</f>
        <v>Helvetia Komfort</v>
      </c>
      <c r="AD142" s="57" t="str">
        <f t="shared" si="10"/>
        <v>HKD Basisschutz</v>
      </c>
      <c r="AE142" s="57" t="str">
        <f t="shared" si="10"/>
        <v>HKD Komfortschutz</v>
      </c>
      <c r="AF142" s="57" t="str">
        <f t="shared" si="10"/>
        <v>HKD Komfortschutz Plus</v>
      </c>
      <c r="AG142" s="57" t="str">
        <f t="shared" si="10"/>
        <v>HKD Vollschutz</v>
      </c>
      <c r="AH142" s="57" t="str">
        <f t="shared" si="10"/>
        <v>Ideal Unfall Rente Exklusiv</v>
      </c>
      <c r="AI142" s="57" t="str">
        <f t="shared" si="10"/>
        <v>Interlloyd AUB 2000</v>
      </c>
      <c r="AJ142" s="57" t="str">
        <f t="shared" si="10"/>
        <v>Interlloyd Premium</v>
      </c>
      <c r="AK142" s="57" t="str">
        <f t="shared" si="10"/>
        <v>Interlloyd Premium Plus</v>
      </c>
      <c r="AL142" s="57" t="str">
        <f t="shared" si="10"/>
        <v>Interlloyd Protect</v>
      </c>
      <c r="AM142" s="57" t="str">
        <f t="shared" si="10"/>
        <v>Interrisk XL (Plus-Taxe)</v>
      </c>
      <c r="AN142" s="57" t="str">
        <f t="shared" si="10"/>
        <v>Interrisk XXL (Maxi-Taxe)</v>
      </c>
      <c r="AO142" s="57" t="str">
        <f t="shared" si="10"/>
        <v>Janitos Balance</v>
      </c>
      <c r="AP142" s="57" t="str">
        <f>AP1</f>
        <v>Janitos Balance Plus</v>
      </c>
      <c r="AQ142" s="57" t="str">
        <f>AQ1</f>
        <v>Janitos Best Selection</v>
      </c>
      <c r="AR142" s="57" t="str">
        <f>AR1</f>
        <v>Janitos Best Selection Plus</v>
      </c>
      <c r="AS142" s="57" t="str">
        <f t="shared" si="10"/>
        <v>Keine</v>
      </c>
      <c r="AT142" s="57" t="str">
        <f t="shared" si="10"/>
        <v>KRAVAG Familien-UV 2011</v>
      </c>
      <c r="AU142" s="57" t="str">
        <f t="shared" si="10"/>
        <v>KRAVAG Gruppen-UV 2011</v>
      </c>
      <c r="AV142" s="136" t="str">
        <f t="shared" si="10"/>
        <v>nationale suisse Komfort</v>
      </c>
      <c r="AW142" s="136" t="str">
        <f t="shared" si="10"/>
        <v>nationale suisse Premium</v>
      </c>
      <c r="AX142" s="57" t="str">
        <f t="shared" si="10"/>
        <v>Nürnberger</v>
      </c>
      <c r="AY142" s="57"/>
      <c r="AZ142" s="57" t="str">
        <f>AZ1</f>
        <v>Prokundo Unfall</v>
      </c>
      <c r="BA142" s="57" t="str">
        <f t="shared" ref="BA142:BL142" si="11">BA1</f>
        <v>Provinzial Rundumschutz</v>
      </c>
      <c r="BB142" s="57" t="str">
        <f t="shared" si="11"/>
        <v>R+V PrivatPolice Comfort</v>
      </c>
      <c r="BC142" s="57" t="str">
        <f t="shared" si="11"/>
        <v>Signal Iduna Exklusiv</v>
      </c>
      <c r="BD142" s="57" t="str">
        <f t="shared" si="11"/>
        <v>Signal Iduna Exklusiv (ÖD)
z.B. PVAG, VÖDAG</v>
      </c>
      <c r="BE142" s="57" t="str">
        <f t="shared" si="11"/>
        <v>SLP Primus</v>
      </c>
      <c r="BF142" s="57" t="str">
        <f t="shared" si="11"/>
        <v>SLP Primus Plus</v>
      </c>
      <c r="BG142" s="57" t="str">
        <f>BG1</f>
        <v>Stuttgarter 1000Plus</v>
      </c>
      <c r="BH142" s="57" t="str">
        <f t="shared" si="11"/>
        <v>VdVA Classic</v>
      </c>
      <c r="BI142" s="57" t="str">
        <f t="shared" si="11"/>
        <v>VdVA Exclusiv</v>
      </c>
      <c r="BJ142" s="57" t="str">
        <f>BJ1</f>
        <v>VHV Klassik Garant</v>
      </c>
      <c r="BK142" s="57" t="str">
        <f t="shared" si="11"/>
        <v>VHV Klassik Garant Exklusiv</v>
      </c>
      <c r="BL142" s="57" t="str">
        <f t="shared" si="11"/>
        <v>WÜBA Unfall AKTIV Premium</v>
      </c>
      <c r="BM142" s="57" t="str">
        <f>BM1</f>
        <v>Württembergische Platinum</v>
      </c>
      <c r="BN142" s="57" t="str">
        <f>BN1</f>
        <v>Württembergische Premium</v>
      </c>
      <c r="BO142" s="57" t="str">
        <f>BO1</f>
        <v>Zurich Makler Top-Schutz</v>
      </c>
    </row>
    <row r="143" spans="1:75" s="14" customFormat="1" ht="22.5" customHeight="1">
      <c r="A143" s="53" t="s">
        <v>36</v>
      </c>
      <c r="B143" s="48" t="s">
        <v>263</v>
      </c>
      <c r="C143" s="48" t="s">
        <v>39</v>
      </c>
      <c r="D143" s="48" t="s">
        <v>38</v>
      </c>
      <c r="E143" s="48" t="s">
        <v>1918</v>
      </c>
      <c r="F143" s="48" t="s">
        <v>1978</v>
      </c>
      <c r="G143" s="48" t="s">
        <v>38</v>
      </c>
      <c r="H143" s="131" t="s">
        <v>38</v>
      </c>
      <c r="I143" s="48" t="s">
        <v>38</v>
      </c>
      <c r="J143" s="48" t="s">
        <v>189</v>
      </c>
      <c r="K143" s="54" t="s">
        <v>2743</v>
      </c>
      <c r="L143" s="54" t="s">
        <v>37</v>
      </c>
      <c r="M143" s="54" t="s">
        <v>37</v>
      </c>
      <c r="N143" s="54" t="s">
        <v>37</v>
      </c>
      <c r="O143" s="48" t="s">
        <v>260</v>
      </c>
      <c r="P143" s="54" t="s">
        <v>38</v>
      </c>
      <c r="Q143" s="54" t="s">
        <v>295</v>
      </c>
      <c r="R143" s="54" t="s">
        <v>189</v>
      </c>
      <c r="S143" s="48" t="s">
        <v>189</v>
      </c>
      <c r="T143" s="48" t="s">
        <v>222</v>
      </c>
      <c r="U143" s="131" t="s">
        <v>263</v>
      </c>
      <c r="V143" s="131" t="s">
        <v>4031</v>
      </c>
      <c r="W143" s="131" t="s">
        <v>4030</v>
      </c>
      <c r="X143" s="54" t="s">
        <v>38</v>
      </c>
      <c r="Y143" s="54" t="s">
        <v>189</v>
      </c>
      <c r="Z143" s="54" t="s">
        <v>38</v>
      </c>
      <c r="AA143" s="48" t="s">
        <v>4209</v>
      </c>
      <c r="AB143" s="48">
        <v>0.25</v>
      </c>
      <c r="AC143" s="54" t="s">
        <v>38</v>
      </c>
      <c r="AD143" s="54" t="s">
        <v>189</v>
      </c>
      <c r="AE143" s="54" t="s">
        <v>37</v>
      </c>
      <c r="AF143" s="54" t="s">
        <v>38</v>
      </c>
      <c r="AG143" s="54" t="s">
        <v>757</v>
      </c>
      <c r="AH143" s="54" t="s">
        <v>38</v>
      </c>
      <c r="AI143" s="48" t="s">
        <v>189</v>
      </c>
      <c r="AJ143" s="48" t="s">
        <v>2552</v>
      </c>
      <c r="AK143" s="48" t="s">
        <v>2505</v>
      </c>
      <c r="AL143" s="48" t="s">
        <v>2585</v>
      </c>
      <c r="AM143" s="48" t="s">
        <v>471</v>
      </c>
      <c r="AN143" s="48" t="s">
        <v>39</v>
      </c>
      <c r="AO143" s="48" t="s">
        <v>3583</v>
      </c>
      <c r="AP143" s="48" t="s">
        <v>3583</v>
      </c>
      <c r="AQ143" s="48" t="s">
        <v>3425</v>
      </c>
      <c r="AR143" s="48" t="s">
        <v>3425</v>
      </c>
      <c r="AS143" s="48" t="s">
        <v>39</v>
      </c>
      <c r="AT143" s="48" t="s">
        <v>37</v>
      </c>
      <c r="AU143" s="48" t="s">
        <v>37</v>
      </c>
      <c r="AV143" s="48" t="s">
        <v>189</v>
      </c>
      <c r="AW143" s="48" t="s">
        <v>38</v>
      </c>
      <c r="AX143" s="48" t="s">
        <v>263</v>
      </c>
      <c r="AY143" s="54" t="s">
        <v>471</v>
      </c>
      <c r="AZ143" s="54" t="s">
        <v>189</v>
      </c>
      <c r="BA143" s="54" t="s">
        <v>189</v>
      </c>
      <c r="BB143" s="48" t="s">
        <v>189</v>
      </c>
      <c r="BC143" s="48" t="s">
        <v>189</v>
      </c>
      <c r="BD143" s="48" t="s">
        <v>189</v>
      </c>
      <c r="BE143" s="48" t="s">
        <v>38</v>
      </c>
      <c r="BF143" s="48" t="s">
        <v>39</v>
      </c>
      <c r="BG143" s="48" t="s">
        <v>790</v>
      </c>
      <c r="BH143" s="54" t="s">
        <v>37</v>
      </c>
      <c r="BI143" s="54" t="s">
        <v>38</v>
      </c>
      <c r="BJ143" s="48" t="s">
        <v>38</v>
      </c>
      <c r="BK143" s="48" t="s">
        <v>39</v>
      </c>
      <c r="BL143" s="54" t="s">
        <v>37</v>
      </c>
      <c r="BM143" s="54" t="s">
        <v>38</v>
      </c>
      <c r="BN143" s="54" t="s">
        <v>37</v>
      </c>
      <c r="BO143" s="48" t="s">
        <v>38</v>
      </c>
    </row>
    <row r="144" spans="1:75" s="2" customFormat="1" ht="11.25" customHeight="1">
      <c r="A144" s="95" t="s">
        <v>688</v>
      </c>
      <c r="B144" s="94"/>
      <c r="C144" s="94" t="s">
        <v>3122</v>
      </c>
      <c r="D144" s="94" t="s">
        <v>3120</v>
      </c>
      <c r="E144" s="94" t="s">
        <v>1950</v>
      </c>
      <c r="F144" s="94" t="s">
        <v>1977</v>
      </c>
      <c r="G144" s="94" t="s">
        <v>3637</v>
      </c>
      <c r="H144" s="94" t="s">
        <v>2041</v>
      </c>
      <c r="I144" s="94" t="s">
        <v>3024</v>
      </c>
      <c r="J144" s="94" t="s">
        <v>1387</v>
      </c>
      <c r="K144" s="94" t="s">
        <v>2742</v>
      </c>
      <c r="L144" s="94" t="s">
        <v>1206</v>
      </c>
      <c r="M144" s="94" t="s">
        <v>1206</v>
      </c>
      <c r="N144" s="94" t="s">
        <v>1387</v>
      </c>
      <c r="O144" s="94" t="s">
        <v>2828</v>
      </c>
      <c r="P144" s="94" t="s">
        <v>1291</v>
      </c>
      <c r="Q144" s="94" t="s">
        <v>3822</v>
      </c>
      <c r="R144" s="94" t="s">
        <v>1689</v>
      </c>
      <c r="S144" s="94" t="s">
        <v>1387</v>
      </c>
      <c r="T144" s="94" t="s">
        <v>3735</v>
      </c>
      <c r="U144" s="94" t="s">
        <v>4078</v>
      </c>
      <c r="V144" s="94" t="s">
        <v>4077</v>
      </c>
      <c r="W144" s="94" t="s">
        <v>4094</v>
      </c>
      <c r="X144" s="94" t="s">
        <v>812</v>
      </c>
      <c r="Y144" s="94" t="s">
        <v>3979</v>
      </c>
      <c r="Z144" s="94" t="s">
        <v>3924</v>
      </c>
      <c r="AA144" s="94" t="s">
        <v>3925</v>
      </c>
      <c r="AB144" s="94" t="s">
        <v>1387</v>
      </c>
      <c r="AC144" s="94" t="s">
        <v>2761</v>
      </c>
      <c r="AD144" s="94" t="s">
        <v>1387</v>
      </c>
      <c r="AE144" s="94" t="s">
        <v>2385</v>
      </c>
      <c r="AF144" s="94" t="s">
        <v>2337</v>
      </c>
      <c r="AG144" s="94" t="s">
        <v>2275</v>
      </c>
      <c r="AH144" s="94" t="s">
        <v>1135</v>
      </c>
      <c r="AI144" s="94"/>
      <c r="AJ144" s="94" t="s">
        <v>1206</v>
      </c>
      <c r="AK144" s="94" t="s">
        <v>2506</v>
      </c>
      <c r="AL144" s="94" t="s">
        <v>1387</v>
      </c>
      <c r="AM144" s="94" t="s">
        <v>3340</v>
      </c>
      <c r="AN144" s="94" t="s">
        <v>3290</v>
      </c>
      <c r="AO144" s="94" t="s">
        <v>3522</v>
      </c>
      <c r="AP144" s="94" t="s">
        <v>3522</v>
      </c>
      <c r="AQ144" s="94" t="s">
        <v>3522</v>
      </c>
      <c r="AR144" s="94" t="s">
        <v>3522</v>
      </c>
      <c r="AS144" s="94"/>
      <c r="AT144" s="94"/>
      <c r="AU144" s="94"/>
      <c r="AV144" s="94" t="s">
        <v>1456</v>
      </c>
      <c r="AW144" s="94" t="s">
        <v>1456</v>
      </c>
      <c r="AX144" s="94"/>
      <c r="AY144" s="94" t="s">
        <v>2888</v>
      </c>
      <c r="AZ144" s="94" t="s">
        <v>1387</v>
      </c>
      <c r="BA144" s="94" t="s">
        <v>1387</v>
      </c>
      <c r="BB144" s="94" t="s">
        <v>1738</v>
      </c>
      <c r="BC144" s="94" t="s">
        <v>889</v>
      </c>
      <c r="BD144" s="94" t="s">
        <v>889</v>
      </c>
      <c r="BE144" s="94" t="s">
        <v>1332</v>
      </c>
      <c r="BF144" s="94" t="s">
        <v>1332</v>
      </c>
      <c r="BG144" s="94" t="s">
        <v>781</v>
      </c>
      <c r="BH144" s="94" t="s">
        <v>3247</v>
      </c>
      <c r="BI144" s="94" t="s">
        <v>3247</v>
      </c>
      <c r="BJ144" s="94" t="s">
        <v>3402</v>
      </c>
      <c r="BK144" s="94" t="s">
        <v>2115</v>
      </c>
      <c r="BL144" s="94" t="s">
        <v>1408</v>
      </c>
      <c r="BM144" s="94" t="s">
        <v>1581</v>
      </c>
      <c r="BN144" s="94" t="s">
        <v>1596</v>
      </c>
      <c r="BO144" s="94"/>
      <c r="BR144" s="19"/>
      <c r="BS144" s="20"/>
      <c r="BT144" s="11"/>
      <c r="BU144" s="19"/>
      <c r="BV144" s="19"/>
      <c r="BW144" s="19"/>
    </row>
    <row r="145" spans="1:75" s="14" customFormat="1" ht="22.5" customHeight="1">
      <c r="A145" s="53" t="s">
        <v>656</v>
      </c>
      <c r="B145" s="73" t="s">
        <v>39</v>
      </c>
      <c r="C145" s="73" t="s">
        <v>41</v>
      </c>
      <c r="D145" s="73" t="s">
        <v>41</v>
      </c>
      <c r="E145" s="73" t="s">
        <v>41</v>
      </c>
      <c r="F145" s="73" t="s">
        <v>41</v>
      </c>
      <c r="G145" s="54" t="s">
        <v>3647</v>
      </c>
      <c r="H145" s="131" t="s">
        <v>2078</v>
      </c>
      <c r="I145" s="48" t="s">
        <v>39</v>
      </c>
      <c r="J145" s="73" t="s">
        <v>41</v>
      </c>
      <c r="K145" s="73" t="s">
        <v>41</v>
      </c>
      <c r="L145" s="73" t="s">
        <v>39</v>
      </c>
      <c r="M145" s="73" t="s">
        <v>39</v>
      </c>
      <c r="N145" s="54" t="s">
        <v>39</v>
      </c>
      <c r="O145" s="54" t="s">
        <v>39</v>
      </c>
      <c r="P145" s="54" t="s">
        <v>41</v>
      </c>
      <c r="Q145" s="54" t="s">
        <v>41</v>
      </c>
      <c r="R145" s="73" t="s">
        <v>39</v>
      </c>
      <c r="S145" s="54" t="s">
        <v>39</v>
      </c>
      <c r="T145" s="73" t="s">
        <v>39</v>
      </c>
      <c r="U145" s="81" t="s">
        <v>41</v>
      </c>
      <c r="V145" s="81" t="s">
        <v>41</v>
      </c>
      <c r="W145" s="81" t="s">
        <v>41</v>
      </c>
      <c r="X145" s="73" t="s">
        <v>39</v>
      </c>
      <c r="Y145" s="54" t="s">
        <v>39</v>
      </c>
      <c r="Z145" s="54" t="s">
        <v>39</v>
      </c>
      <c r="AA145" s="54" t="s">
        <v>3980</v>
      </c>
      <c r="AB145" s="54" t="s">
        <v>4241</v>
      </c>
      <c r="AC145" s="73" t="s">
        <v>41</v>
      </c>
      <c r="AD145" s="54" t="s">
        <v>39</v>
      </c>
      <c r="AE145" s="54" t="s">
        <v>41</v>
      </c>
      <c r="AF145" s="54" t="s">
        <v>41</v>
      </c>
      <c r="AG145" s="54" t="s">
        <v>41</v>
      </c>
      <c r="AH145" s="54" t="s">
        <v>41</v>
      </c>
      <c r="AI145" s="73" t="s">
        <v>39</v>
      </c>
      <c r="AJ145" s="73" t="s">
        <v>41</v>
      </c>
      <c r="AK145" s="73" t="s">
        <v>41</v>
      </c>
      <c r="AL145" s="73" t="s">
        <v>41</v>
      </c>
      <c r="AM145" s="54" t="s">
        <v>3338</v>
      </c>
      <c r="AN145" s="54" t="s">
        <v>3337</v>
      </c>
      <c r="AO145" s="73" t="s">
        <v>3631</v>
      </c>
      <c r="AP145" s="73" t="s">
        <v>3631</v>
      </c>
      <c r="AQ145" s="73" t="s">
        <v>3537</v>
      </c>
      <c r="AR145" s="73" t="s">
        <v>3537</v>
      </c>
      <c r="AS145" s="73" t="s">
        <v>39</v>
      </c>
      <c r="AT145" s="73" t="s">
        <v>41</v>
      </c>
      <c r="AU145" s="73" t="s">
        <v>41</v>
      </c>
      <c r="AV145" s="73" t="s">
        <v>39</v>
      </c>
      <c r="AW145" s="73" t="s">
        <v>41</v>
      </c>
      <c r="AX145" s="54" t="s">
        <v>39</v>
      </c>
      <c r="AY145" s="54" t="s">
        <v>39</v>
      </c>
      <c r="AZ145" s="73" t="s">
        <v>39</v>
      </c>
      <c r="BA145" s="73" t="s">
        <v>39</v>
      </c>
      <c r="BB145" s="54" t="s">
        <v>41</v>
      </c>
      <c r="BC145" s="54" t="s">
        <v>39</v>
      </c>
      <c r="BD145" s="54" t="s">
        <v>39</v>
      </c>
      <c r="BE145" s="54" t="s">
        <v>1329</v>
      </c>
      <c r="BF145" s="54" t="s">
        <v>1329</v>
      </c>
      <c r="BG145" s="76" t="s">
        <v>39</v>
      </c>
      <c r="BH145" s="54" t="s">
        <v>39</v>
      </c>
      <c r="BI145" s="54" t="s">
        <v>39</v>
      </c>
      <c r="BJ145" s="54" t="s">
        <v>3401</v>
      </c>
      <c r="BK145" s="54" t="s">
        <v>3401</v>
      </c>
      <c r="BL145" s="54" t="s">
        <v>39</v>
      </c>
      <c r="BM145" s="54" t="s">
        <v>39</v>
      </c>
      <c r="BN145" s="54" t="s">
        <v>39</v>
      </c>
      <c r="BO145" s="54" t="s">
        <v>658</v>
      </c>
    </row>
    <row r="146" spans="1:75" s="2" customFormat="1" ht="11.25" customHeight="1">
      <c r="A146" s="95" t="s">
        <v>688</v>
      </c>
      <c r="B146" s="94"/>
      <c r="C146" s="94" t="s">
        <v>1394</v>
      </c>
      <c r="D146" s="94" t="s">
        <v>1394</v>
      </c>
      <c r="E146" s="94" t="s">
        <v>1951</v>
      </c>
      <c r="F146" s="94" t="s">
        <v>1980</v>
      </c>
      <c r="G146" s="94" t="s">
        <v>3646</v>
      </c>
      <c r="H146" s="94" t="s">
        <v>2654</v>
      </c>
      <c r="I146" s="94" t="s">
        <v>3033</v>
      </c>
      <c r="J146" s="94" t="s">
        <v>2786</v>
      </c>
      <c r="K146" s="94" t="s">
        <v>2786</v>
      </c>
      <c r="L146" s="94" t="s">
        <v>1394</v>
      </c>
      <c r="M146" s="94" t="s">
        <v>1394</v>
      </c>
      <c r="N146" s="94" t="s">
        <v>1394</v>
      </c>
      <c r="O146" s="94" t="s">
        <v>2830</v>
      </c>
      <c r="P146" s="94" t="s">
        <v>3829</v>
      </c>
      <c r="Q146" s="94" t="s">
        <v>1323</v>
      </c>
      <c r="R146" s="94" t="s">
        <v>1692</v>
      </c>
      <c r="S146" s="94" t="s">
        <v>1394</v>
      </c>
      <c r="T146" s="94" t="s">
        <v>2786</v>
      </c>
      <c r="U146" s="94" t="s">
        <v>4123</v>
      </c>
      <c r="V146" s="94" t="s">
        <v>4123</v>
      </c>
      <c r="W146" s="94" t="s">
        <v>4123</v>
      </c>
      <c r="X146" s="94" t="s">
        <v>837</v>
      </c>
      <c r="Y146" s="94" t="s">
        <v>3981</v>
      </c>
      <c r="Z146" s="94" t="s">
        <v>3981</v>
      </c>
      <c r="AA146" s="94" t="s">
        <v>3982</v>
      </c>
      <c r="AB146" s="94" t="s">
        <v>4242</v>
      </c>
      <c r="AC146" s="94" t="s">
        <v>2213</v>
      </c>
      <c r="AD146" s="94" t="s">
        <v>2439</v>
      </c>
      <c r="AE146" s="94" t="s">
        <v>2384</v>
      </c>
      <c r="AF146" s="94" t="s">
        <v>2336</v>
      </c>
      <c r="AG146" s="94" t="s">
        <v>2274</v>
      </c>
      <c r="AH146" s="91" t="s">
        <v>1166</v>
      </c>
      <c r="AI146" s="94"/>
      <c r="AJ146" s="94" t="s">
        <v>2500</v>
      </c>
      <c r="AK146" s="94" t="s">
        <v>2518</v>
      </c>
      <c r="AL146" s="94" t="s">
        <v>1394</v>
      </c>
      <c r="AM146" s="94" t="s">
        <v>3339</v>
      </c>
      <c r="AN146" s="94" t="s">
        <v>3313</v>
      </c>
      <c r="AO146" s="94" t="s">
        <v>3630</v>
      </c>
      <c r="AP146" s="94" t="s">
        <v>3630</v>
      </c>
      <c r="AQ146" s="94" t="s">
        <v>1181</v>
      </c>
      <c r="AR146" s="94" t="s">
        <v>1181</v>
      </c>
      <c r="AS146" s="94"/>
      <c r="AT146" s="94"/>
      <c r="AU146" s="94"/>
      <c r="AV146" s="94" t="s">
        <v>1505</v>
      </c>
      <c r="AW146" s="94" t="s">
        <v>1482</v>
      </c>
      <c r="AX146" s="94"/>
      <c r="AY146" s="94" t="s">
        <v>1394</v>
      </c>
      <c r="AZ146" s="94" t="s">
        <v>1394</v>
      </c>
      <c r="BA146" s="94" t="s">
        <v>1394</v>
      </c>
      <c r="BB146" s="94" t="s">
        <v>1747</v>
      </c>
      <c r="BC146" s="94" t="s">
        <v>888</v>
      </c>
      <c r="BD146" s="94" t="s">
        <v>888</v>
      </c>
      <c r="BE146" s="94" t="s">
        <v>1328</v>
      </c>
      <c r="BF146" s="94" t="s">
        <v>1328</v>
      </c>
      <c r="BG146" s="94" t="s">
        <v>791</v>
      </c>
      <c r="BH146" s="94" t="s">
        <v>3220</v>
      </c>
      <c r="BI146" s="94" t="s">
        <v>3220</v>
      </c>
      <c r="BJ146" s="94" t="s">
        <v>2153</v>
      </c>
      <c r="BK146" s="94" t="s">
        <v>2153</v>
      </c>
      <c r="BL146" s="94" t="s">
        <v>2214</v>
      </c>
      <c r="BM146" s="94" t="s">
        <v>951</v>
      </c>
      <c r="BN146" s="94" t="s">
        <v>951</v>
      </c>
      <c r="BO146" s="94"/>
      <c r="BR146" s="19"/>
      <c r="BS146" s="20"/>
      <c r="BT146" s="11"/>
      <c r="BU146" s="19"/>
      <c r="BV146" s="19"/>
      <c r="BW146" s="19"/>
    </row>
    <row r="147" spans="1:75" s="14" customFormat="1" ht="22.5" customHeight="1">
      <c r="A147" s="53" t="s">
        <v>35</v>
      </c>
      <c r="B147" s="73" t="s">
        <v>39</v>
      </c>
      <c r="C147" s="73" t="s">
        <v>496</v>
      </c>
      <c r="D147" s="73" t="s">
        <v>496</v>
      </c>
      <c r="E147" s="73" t="s">
        <v>41</v>
      </c>
      <c r="F147" s="73" t="s">
        <v>41</v>
      </c>
      <c r="G147" s="54" t="s">
        <v>41</v>
      </c>
      <c r="H147" s="123" t="s">
        <v>2043</v>
      </c>
      <c r="I147" s="73" t="s">
        <v>496</v>
      </c>
      <c r="J147" s="73" t="s">
        <v>496</v>
      </c>
      <c r="K147" s="73" t="s">
        <v>496</v>
      </c>
      <c r="L147" s="73" t="s">
        <v>394</v>
      </c>
      <c r="M147" s="73" t="s">
        <v>394</v>
      </c>
      <c r="N147" s="54" t="s">
        <v>930</v>
      </c>
      <c r="O147" s="54" t="s">
        <v>39</v>
      </c>
      <c r="P147" s="73" t="s">
        <v>39</v>
      </c>
      <c r="Q147" s="73" t="s">
        <v>39</v>
      </c>
      <c r="R147" s="73" t="s">
        <v>39</v>
      </c>
      <c r="S147" s="73" t="s">
        <v>39</v>
      </c>
      <c r="T147" s="73" t="s">
        <v>394</v>
      </c>
      <c r="U147" s="81" t="s">
        <v>394</v>
      </c>
      <c r="V147" s="81" t="s">
        <v>394</v>
      </c>
      <c r="W147" s="81" t="s">
        <v>394</v>
      </c>
      <c r="X147" s="73" t="s">
        <v>394</v>
      </c>
      <c r="Y147" s="73" t="s">
        <v>394</v>
      </c>
      <c r="Z147" s="73" t="s">
        <v>394</v>
      </c>
      <c r="AA147" s="73" t="s">
        <v>394</v>
      </c>
      <c r="AB147" s="73" t="s">
        <v>4209</v>
      </c>
      <c r="AC147" s="73" t="s">
        <v>41</v>
      </c>
      <c r="AD147" s="54" t="s">
        <v>759</v>
      </c>
      <c r="AE147" s="54" t="s">
        <v>759</v>
      </c>
      <c r="AF147" s="54" t="s">
        <v>759</v>
      </c>
      <c r="AG147" s="54" t="s">
        <v>759</v>
      </c>
      <c r="AH147" s="54" t="s">
        <v>41</v>
      </c>
      <c r="AI147" s="73" t="s">
        <v>39</v>
      </c>
      <c r="AJ147" s="73" t="s">
        <v>41</v>
      </c>
      <c r="AK147" s="73" t="s">
        <v>41</v>
      </c>
      <c r="AL147" s="73" t="s">
        <v>41</v>
      </c>
      <c r="AM147" s="73" t="s">
        <v>41</v>
      </c>
      <c r="AN147" s="73" t="s">
        <v>41</v>
      </c>
      <c r="AO147" s="73" t="s">
        <v>496</v>
      </c>
      <c r="AP147" s="73" t="s">
        <v>496</v>
      </c>
      <c r="AQ147" s="73" t="s">
        <v>496</v>
      </c>
      <c r="AR147" s="73" t="s">
        <v>496</v>
      </c>
      <c r="AS147" s="73" t="s">
        <v>39</v>
      </c>
      <c r="AT147" s="73" t="s">
        <v>496</v>
      </c>
      <c r="AU147" s="73" t="s">
        <v>496</v>
      </c>
      <c r="AV147" s="73" t="s">
        <v>542</v>
      </c>
      <c r="AW147" s="73" t="s">
        <v>542</v>
      </c>
      <c r="AX147" s="73" t="s">
        <v>39</v>
      </c>
      <c r="AY147" s="73" t="s">
        <v>496</v>
      </c>
      <c r="AZ147" s="54" t="s">
        <v>1247</v>
      </c>
      <c r="BA147" s="73" t="s">
        <v>39</v>
      </c>
      <c r="BB147" s="73" t="s">
        <v>496</v>
      </c>
      <c r="BC147" s="73" t="s">
        <v>41</v>
      </c>
      <c r="BD147" s="73" t="s">
        <v>41</v>
      </c>
      <c r="BE147" s="54" t="s">
        <v>1377</v>
      </c>
      <c r="BF147" s="54" t="s">
        <v>1377</v>
      </c>
      <c r="BG147" s="54" t="s">
        <v>792</v>
      </c>
      <c r="BH147" s="54" t="s">
        <v>39</v>
      </c>
      <c r="BI147" s="54" t="s">
        <v>39</v>
      </c>
      <c r="BJ147" s="54" t="s">
        <v>39</v>
      </c>
      <c r="BK147" s="54" t="s">
        <v>39</v>
      </c>
      <c r="BL147" s="73" t="s">
        <v>448</v>
      </c>
      <c r="BM147" s="54" t="s">
        <v>930</v>
      </c>
      <c r="BN147" s="54" t="s">
        <v>930</v>
      </c>
      <c r="BO147" s="73" t="s">
        <v>448</v>
      </c>
    </row>
    <row r="148" spans="1:75" s="2" customFormat="1" ht="11.25" customHeight="1">
      <c r="A148" s="95" t="s">
        <v>688</v>
      </c>
      <c r="B148" s="94"/>
      <c r="C148" s="94" t="s">
        <v>1408</v>
      </c>
      <c r="D148" s="94" t="s">
        <v>1408</v>
      </c>
      <c r="E148" s="94" t="s">
        <v>2011</v>
      </c>
      <c r="F148" s="94" t="s">
        <v>2011</v>
      </c>
      <c r="G148" s="94"/>
      <c r="H148" s="94" t="s">
        <v>2042</v>
      </c>
      <c r="I148" s="94" t="s">
        <v>1408</v>
      </c>
      <c r="J148" s="94" t="s">
        <v>1408</v>
      </c>
      <c r="K148" s="94" t="s">
        <v>1408</v>
      </c>
      <c r="L148" s="94" t="s">
        <v>2898</v>
      </c>
      <c r="M148" s="94" t="s">
        <v>2898</v>
      </c>
      <c r="N148" s="94" t="s">
        <v>1408</v>
      </c>
      <c r="O148" s="94" t="s">
        <v>2829</v>
      </c>
      <c r="P148" s="94" t="s">
        <v>3849</v>
      </c>
      <c r="Q148" s="94" t="s">
        <v>3849</v>
      </c>
      <c r="R148" s="94" t="s">
        <v>1659</v>
      </c>
      <c r="S148" s="94" t="s">
        <v>39</v>
      </c>
      <c r="T148" s="94" t="s">
        <v>1408</v>
      </c>
      <c r="U148" s="94" t="s">
        <v>4122</v>
      </c>
      <c r="V148" s="94" t="s">
        <v>4122</v>
      </c>
      <c r="W148" s="94" t="s">
        <v>4122</v>
      </c>
      <c r="X148" s="94" t="s">
        <v>836</v>
      </c>
      <c r="Y148" s="94" t="s">
        <v>3983</v>
      </c>
      <c r="Z148" s="94" t="s">
        <v>3983</v>
      </c>
      <c r="AA148" s="94" t="s">
        <v>3983</v>
      </c>
      <c r="AB148" s="94"/>
      <c r="AC148" s="94" t="s">
        <v>2763</v>
      </c>
      <c r="AD148" s="94" t="s">
        <v>2426</v>
      </c>
      <c r="AE148" s="94" t="s">
        <v>2395</v>
      </c>
      <c r="AF148" s="94" t="s">
        <v>2352</v>
      </c>
      <c r="AG148" s="94" t="s">
        <v>2285</v>
      </c>
      <c r="AH148" s="94" t="s">
        <v>1167</v>
      </c>
      <c r="AI148" s="94"/>
      <c r="AJ148" s="94" t="s">
        <v>2563</v>
      </c>
      <c r="AK148" s="94" t="s">
        <v>2563</v>
      </c>
      <c r="AL148" s="94" t="s">
        <v>2586</v>
      </c>
      <c r="AM148" s="94" t="s">
        <v>1167</v>
      </c>
      <c r="AN148" s="94" t="s">
        <v>1167</v>
      </c>
      <c r="AO148" s="94" t="s">
        <v>3560</v>
      </c>
      <c r="AP148" s="94" t="s">
        <v>3560</v>
      </c>
      <c r="AQ148" s="94" t="s">
        <v>3560</v>
      </c>
      <c r="AR148" s="94" t="s">
        <v>3560</v>
      </c>
      <c r="AS148" s="94"/>
      <c r="AT148" s="94"/>
      <c r="AU148" s="94"/>
      <c r="AV148" s="94" t="s">
        <v>1136</v>
      </c>
      <c r="AW148" s="94" t="s">
        <v>1136</v>
      </c>
      <c r="AX148" s="94"/>
      <c r="AY148" s="94" t="s">
        <v>2898</v>
      </c>
      <c r="AZ148" s="94" t="s">
        <v>1248</v>
      </c>
      <c r="BA148" s="94" t="s">
        <v>39</v>
      </c>
      <c r="BB148" s="94" t="s">
        <v>2873</v>
      </c>
      <c r="BC148" s="94" t="s">
        <v>39</v>
      </c>
      <c r="BD148" s="94" t="s">
        <v>39</v>
      </c>
      <c r="BE148" s="94" t="s">
        <v>1378</v>
      </c>
      <c r="BF148" s="94" t="s">
        <v>1378</v>
      </c>
      <c r="BG148" s="94" t="s">
        <v>2973</v>
      </c>
      <c r="BH148" s="94" t="s">
        <v>3261</v>
      </c>
      <c r="BI148" s="94" t="s">
        <v>3261</v>
      </c>
      <c r="BJ148" s="94" t="s">
        <v>2158</v>
      </c>
      <c r="BK148" s="94" t="s">
        <v>2158</v>
      </c>
      <c r="BL148" s="94" t="s">
        <v>2208</v>
      </c>
      <c r="BM148" s="94" t="s">
        <v>1642</v>
      </c>
      <c r="BN148" s="94" t="s">
        <v>1642</v>
      </c>
      <c r="BO148" s="94"/>
      <c r="BR148" s="19"/>
      <c r="BS148" s="20"/>
      <c r="BT148" s="11"/>
      <c r="BU148" s="19"/>
      <c r="BV148" s="19"/>
      <c r="BW148" s="19"/>
    </row>
    <row r="149" spans="1:75" s="14" customFormat="1" ht="22.5" customHeight="1">
      <c r="A149" s="53" t="s">
        <v>54</v>
      </c>
      <c r="B149" s="73" t="s">
        <v>39</v>
      </c>
      <c r="C149" s="73" t="s">
        <v>39</v>
      </c>
      <c r="D149" s="73" t="s">
        <v>39</v>
      </c>
      <c r="E149" s="73" t="s">
        <v>39</v>
      </c>
      <c r="F149" s="73" t="s">
        <v>39</v>
      </c>
      <c r="G149" s="73" t="s">
        <v>39</v>
      </c>
      <c r="H149" s="81" t="s">
        <v>39</v>
      </c>
      <c r="I149" s="73" t="s">
        <v>39</v>
      </c>
      <c r="J149" s="54" t="s">
        <v>39</v>
      </c>
      <c r="K149" s="54" t="s">
        <v>39</v>
      </c>
      <c r="L149" s="54" t="s">
        <v>39</v>
      </c>
      <c r="M149" s="54" t="s">
        <v>39</v>
      </c>
      <c r="N149" s="54" t="s">
        <v>39</v>
      </c>
      <c r="O149" s="73" t="s">
        <v>39</v>
      </c>
      <c r="P149" s="54" t="s">
        <v>39</v>
      </c>
      <c r="Q149" s="54" t="s">
        <v>39</v>
      </c>
      <c r="R149" s="73" t="s">
        <v>39</v>
      </c>
      <c r="S149" s="73" t="s">
        <v>39</v>
      </c>
      <c r="T149" s="73" t="s">
        <v>39</v>
      </c>
      <c r="U149" s="123" t="s">
        <v>4118</v>
      </c>
      <c r="V149" s="123" t="s">
        <v>4118</v>
      </c>
      <c r="W149" s="123" t="s">
        <v>4118</v>
      </c>
      <c r="X149" s="73" t="s">
        <v>39</v>
      </c>
      <c r="Y149" s="54" t="s">
        <v>39</v>
      </c>
      <c r="Z149" s="54" t="s">
        <v>39</v>
      </c>
      <c r="AA149" s="54" t="s">
        <v>39</v>
      </c>
      <c r="AB149" s="54" t="s">
        <v>4209</v>
      </c>
      <c r="AC149" s="73" t="s">
        <v>39</v>
      </c>
      <c r="AD149" s="54" t="s">
        <v>39</v>
      </c>
      <c r="AE149" s="54" t="s">
        <v>39</v>
      </c>
      <c r="AF149" s="54" t="s">
        <v>39</v>
      </c>
      <c r="AG149" s="54" t="s">
        <v>39</v>
      </c>
      <c r="AH149" s="73" t="s">
        <v>39</v>
      </c>
      <c r="AI149" s="73" t="s">
        <v>39</v>
      </c>
      <c r="AJ149" s="73" t="s">
        <v>39</v>
      </c>
      <c r="AK149" s="73" t="s">
        <v>39</v>
      </c>
      <c r="AL149" s="73" t="s">
        <v>39</v>
      </c>
      <c r="AM149" s="73" t="s">
        <v>39</v>
      </c>
      <c r="AN149" s="73" t="s">
        <v>39</v>
      </c>
      <c r="AO149" s="54" t="s">
        <v>39</v>
      </c>
      <c r="AP149" s="54" t="s">
        <v>39</v>
      </c>
      <c r="AQ149" s="54" t="s">
        <v>39</v>
      </c>
      <c r="AR149" s="54" t="s">
        <v>39</v>
      </c>
      <c r="AS149" s="73" t="s">
        <v>39</v>
      </c>
      <c r="AT149" s="54" t="s">
        <v>39</v>
      </c>
      <c r="AU149" s="54" t="s">
        <v>39</v>
      </c>
      <c r="AV149" s="73" t="s">
        <v>39</v>
      </c>
      <c r="AW149" s="73" t="s">
        <v>39</v>
      </c>
      <c r="AX149" s="73" t="s">
        <v>39</v>
      </c>
      <c r="AY149" s="54" t="s">
        <v>39</v>
      </c>
      <c r="AZ149" s="73" t="s">
        <v>39</v>
      </c>
      <c r="BA149" s="54" t="s">
        <v>39</v>
      </c>
      <c r="BB149" s="73" t="s">
        <v>39</v>
      </c>
      <c r="BC149" s="73" t="s">
        <v>39</v>
      </c>
      <c r="BD149" s="73" t="s">
        <v>39</v>
      </c>
      <c r="BE149" s="73" t="s">
        <v>39</v>
      </c>
      <c r="BF149" s="73" t="s">
        <v>39</v>
      </c>
      <c r="BG149" s="73" t="s">
        <v>39</v>
      </c>
      <c r="BH149" s="73" t="s">
        <v>39</v>
      </c>
      <c r="BI149" s="73" t="s">
        <v>39</v>
      </c>
      <c r="BJ149" s="73" t="s">
        <v>39</v>
      </c>
      <c r="BK149" s="73" t="s">
        <v>39</v>
      </c>
      <c r="BL149" s="73" t="s">
        <v>39</v>
      </c>
      <c r="BM149" s="73" t="s">
        <v>39</v>
      </c>
      <c r="BN149" s="73" t="s">
        <v>39</v>
      </c>
      <c r="BO149" s="73" t="s">
        <v>39</v>
      </c>
    </row>
    <row r="150" spans="1:75" s="2" customFormat="1" ht="11.25" customHeight="1">
      <c r="A150" s="95" t="s">
        <v>688</v>
      </c>
      <c r="B150" s="94"/>
      <c r="C150" s="94" t="s">
        <v>39</v>
      </c>
      <c r="D150" s="94" t="s">
        <v>39</v>
      </c>
      <c r="E150" s="94" t="s">
        <v>39</v>
      </c>
      <c r="F150" s="94" t="s">
        <v>39</v>
      </c>
      <c r="G150" s="94"/>
      <c r="H150" s="94" t="s">
        <v>39</v>
      </c>
      <c r="I150" s="94" t="s">
        <v>39</v>
      </c>
      <c r="J150" s="94" t="s">
        <v>39</v>
      </c>
      <c r="K150" s="94" t="s">
        <v>39</v>
      </c>
      <c r="L150" s="94" t="s">
        <v>39</v>
      </c>
      <c r="M150" s="94" t="s">
        <v>39</v>
      </c>
      <c r="N150" s="94" t="s">
        <v>39</v>
      </c>
      <c r="O150" s="94" t="s">
        <v>39</v>
      </c>
      <c r="P150" s="94" t="s">
        <v>39</v>
      </c>
      <c r="Q150" s="94" t="s">
        <v>39</v>
      </c>
      <c r="R150" s="94" t="s">
        <v>39</v>
      </c>
      <c r="S150" s="94" t="s">
        <v>39</v>
      </c>
      <c r="T150" s="94" t="s">
        <v>39</v>
      </c>
      <c r="U150" s="94" t="s">
        <v>4117</v>
      </c>
      <c r="V150" s="94" t="s">
        <v>4117</v>
      </c>
      <c r="W150" s="94" t="s">
        <v>4117</v>
      </c>
      <c r="X150" s="94" t="s">
        <v>39</v>
      </c>
      <c r="Y150" s="94" t="s">
        <v>39</v>
      </c>
      <c r="Z150" s="94" t="s">
        <v>39</v>
      </c>
      <c r="AA150" s="94" t="s">
        <v>39</v>
      </c>
      <c r="AB150" s="94"/>
      <c r="AC150" s="94" t="s">
        <v>39</v>
      </c>
      <c r="AD150" s="94" t="s">
        <v>39</v>
      </c>
      <c r="AE150" s="94" t="s">
        <v>39</v>
      </c>
      <c r="AF150" s="94" t="s">
        <v>39</v>
      </c>
      <c r="AG150" s="94" t="s">
        <v>39</v>
      </c>
      <c r="AH150" s="94" t="s">
        <v>39</v>
      </c>
      <c r="AI150" s="94"/>
      <c r="AJ150" s="94" t="s">
        <v>39</v>
      </c>
      <c r="AK150" s="94" t="s">
        <v>39</v>
      </c>
      <c r="AL150" s="94" t="s">
        <v>39</v>
      </c>
      <c r="AM150" s="94" t="s">
        <v>39</v>
      </c>
      <c r="AN150" s="94" t="s">
        <v>39</v>
      </c>
      <c r="AO150" s="94" t="s">
        <v>39</v>
      </c>
      <c r="AP150" s="94" t="s">
        <v>39</v>
      </c>
      <c r="AQ150" s="94" t="s">
        <v>39</v>
      </c>
      <c r="AR150" s="94" t="s">
        <v>39</v>
      </c>
      <c r="AS150" s="94"/>
      <c r="AT150" s="94"/>
      <c r="AU150" s="94"/>
      <c r="AV150" s="94" t="s">
        <v>39</v>
      </c>
      <c r="AW150" s="94" t="s">
        <v>39</v>
      </c>
      <c r="AX150" s="94"/>
      <c r="AY150" s="94" t="s">
        <v>39</v>
      </c>
      <c r="AZ150" s="94" t="s">
        <v>39</v>
      </c>
      <c r="BA150" s="94" t="s">
        <v>39</v>
      </c>
      <c r="BB150" s="94" t="s">
        <v>39</v>
      </c>
      <c r="BC150" s="94" t="s">
        <v>39</v>
      </c>
      <c r="BD150" s="94" t="s">
        <v>39</v>
      </c>
      <c r="BE150" s="94" t="s">
        <v>39</v>
      </c>
      <c r="BF150" s="94" t="s">
        <v>39</v>
      </c>
      <c r="BG150" s="94" t="s">
        <v>39</v>
      </c>
      <c r="BH150" s="94" t="s">
        <v>39</v>
      </c>
      <c r="BI150" s="94" t="s">
        <v>39</v>
      </c>
      <c r="BJ150" s="94" t="s">
        <v>39</v>
      </c>
      <c r="BK150" s="94" t="s">
        <v>39</v>
      </c>
      <c r="BL150" s="94" t="s">
        <v>39</v>
      </c>
      <c r="BM150" s="94" t="s">
        <v>39</v>
      </c>
      <c r="BN150" s="94" t="s">
        <v>39</v>
      </c>
      <c r="BO150" s="94"/>
      <c r="BR150" s="19"/>
      <c r="BS150" s="20"/>
      <c r="BT150" s="11"/>
      <c r="BU150" s="19"/>
      <c r="BV150" s="19"/>
      <c r="BW150" s="19"/>
    </row>
    <row r="151" spans="1:75" s="14" customFormat="1" ht="22.5" customHeight="1">
      <c r="A151" s="53" t="s">
        <v>107</v>
      </c>
      <c r="B151" s="73" t="s">
        <v>39</v>
      </c>
      <c r="C151" s="73" t="s">
        <v>41</v>
      </c>
      <c r="D151" s="73" t="s">
        <v>41</v>
      </c>
      <c r="E151" s="73" t="s">
        <v>41</v>
      </c>
      <c r="F151" s="73" t="s">
        <v>41</v>
      </c>
      <c r="G151" s="54" t="s">
        <v>41</v>
      </c>
      <c r="H151" s="81" t="s">
        <v>41</v>
      </c>
      <c r="I151" s="73" t="s">
        <v>39</v>
      </c>
      <c r="J151" s="54" t="s">
        <v>39</v>
      </c>
      <c r="K151" s="54" t="s">
        <v>39</v>
      </c>
      <c r="L151" s="54" t="s">
        <v>39</v>
      </c>
      <c r="M151" s="54" t="s">
        <v>39</v>
      </c>
      <c r="N151" s="54" t="s">
        <v>39</v>
      </c>
      <c r="O151" s="73" t="s">
        <v>39</v>
      </c>
      <c r="P151" s="54" t="s">
        <v>41</v>
      </c>
      <c r="Q151" s="54" t="s">
        <v>39</v>
      </c>
      <c r="R151" s="73" t="s">
        <v>39</v>
      </c>
      <c r="S151" s="73" t="s">
        <v>39</v>
      </c>
      <c r="T151" s="73" t="s">
        <v>39</v>
      </c>
      <c r="U151" s="81" t="s">
        <v>39</v>
      </c>
      <c r="V151" s="81" t="s">
        <v>41</v>
      </c>
      <c r="W151" s="81" t="s">
        <v>41</v>
      </c>
      <c r="X151" s="54" t="s">
        <v>41</v>
      </c>
      <c r="Y151" s="54" t="s">
        <v>41</v>
      </c>
      <c r="Z151" s="54" t="s">
        <v>41</v>
      </c>
      <c r="AA151" s="54" t="s">
        <v>41</v>
      </c>
      <c r="AB151" s="54" t="s">
        <v>41</v>
      </c>
      <c r="AC151" s="73" t="s">
        <v>41</v>
      </c>
      <c r="AD151" s="54" t="s">
        <v>41</v>
      </c>
      <c r="AE151" s="54" t="s">
        <v>41</v>
      </c>
      <c r="AF151" s="54" t="s">
        <v>41</v>
      </c>
      <c r="AG151" s="54" t="s">
        <v>41</v>
      </c>
      <c r="AH151" s="54" t="s">
        <v>41</v>
      </c>
      <c r="AI151" s="73" t="s">
        <v>39</v>
      </c>
      <c r="AJ151" s="73" t="s">
        <v>41</v>
      </c>
      <c r="AK151" s="73" t="s">
        <v>41</v>
      </c>
      <c r="AL151" s="73" t="s">
        <v>41</v>
      </c>
      <c r="AM151" s="73" t="s">
        <v>41</v>
      </c>
      <c r="AN151" s="73" t="s">
        <v>41</v>
      </c>
      <c r="AO151" s="54" t="s">
        <v>3539</v>
      </c>
      <c r="AP151" s="54" t="s">
        <v>3539</v>
      </c>
      <c r="AQ151" s="54" t="s">
        <v>3539</v>
      </c>
      <c r="AR151" s="54" t="s">
        <v>3539</v>
      </c>
      <c r="AS151" s="73" t="s">
        <v>39</v>
      </c>
      <c r="AT151" s="73" t="s">
        <v>39</v>
      </c>
      <c r="AU151" s="73" t="s">
        <v>39</v>
      </c>
      <c r="AV151" s="73" t="s">
        <v>39</v>
      </c>
      <c r="AW151" s="73" t="s">
        <v>39</v>
      </c>
      <c r="AX151" s="73" t="s">
        <v>39</v>
      </c>
      <c r="AY151" s="54" t="s">
        <v>39</v>
      </c>
      <c r="AZ151" s="73" t="s">
        <v>41</v>
      </c>
      <c r="BA151" s="54" t="s">
        <v>39</v>
      </c>
      <c r="BB151" s="73" t="s">
        <v>39</v>
      </c>
      <c r="BC151" s="73" t="s">
        <v>39</v>
      </c>
      <c r="BD151" s="73" t="s">
        <v>39</v>
      </c>
      <c r="BE151" s="73" t="s">
        <v>41</v>
      </c>
      <c r="BF151" s="73" t="s">
        <v>41</v>
      </c>
      <c r="BG151" s="73" t="s">
        <v>39</v>
      </c>
      <c r="BH151" s="73" t="s">
        <v>41</v>
      </c>
      <c r="BI151" s="73" t="s">
        <v>41</v>
      </c>
      <c r="BJ151" s="73" t="s">
        <v>41</v>
      </c>
      <c r="BK151" s="73" t="s">
        <v>41</v>
      </c>
      <c r="BL151" s="73" t="s">
        <v>39</v>
      </c>
      <c r="BM151" s="73" t="s">
        <v>39</v>
      </c>
      <c r="BN151" s="73" t="s">
        <v>39</v>
      </c>
      <c r="BO151" s="73" t="s">
        <v>39</v>
      </c>
    </row>
    <row r="152" spans="1:75" s="2" customFormat="1" ht="11.25" customHeight="1">
      <c r="A152" s="95" t="s">
        <v>688</v>
      </c>
      <c r="B152" s="94"/>
      <c r="C152" s="94" t="s">
        <v>3168</v>
      </c>
      <c r="D152" s="94" t="s">
        <v>3165</v>
      </c>
      <c r="E152" s="94" t="s">
        <v>2010</v>
      </c>
      <c r="F152" s="94" t="s">
        <v>2010</v>
      </c>
      <c r="G152" s="94"/>
      <c r="H152" s="94" t="s">
        <v>2076</v>
      </c>
      <c r="I152" s="94" t="s">
        <v>39</v>
      </c>
      <c r="J152" s="94" t="s">
        <v>39</v>
      </c>
      <c r="K152" s="94" t="s">
        <v>39</v>
      </c>
      <c r="L152" s="94" t="s">
        <v>39</v>
      </c>
      <c r="M152" s="94" t="s">
        <v>39</v>
      </c>
      <c r="N152" s="94" t="s">
        <v>39</v>
      </c>
      <c r="O152" s="94" t="s">
        <v>39</v>
      </c>
      <c r="P152" s="94" t="s">
        <v>3837</v>
      </c>
      <c r="Q152" s="94" t="s">
        <v>39</v>
      </c>
      <c r="R152" s="94" t="s">
        <v>39</v>
      </c>
      <c r="S152" s="94" t="s">
        <v>39</v>
      </c>
      <c r="T152" s="94" t="s">
        <v>39</v>
      </c>
      <c r="U152" s="94" t="s">
        <v>4096</v>
      </c>
      <c r="V152" s="94" t="s">
        <v>4096</v>
      </c>
      <c r="W152" s="94" t="s">
        <v>4096</v>
      </c>
      <c r="X152" s="94" t="s">
        <v>822</v>
      </c>
      <c r="Y152" s="94" t="s">
        <v>3984</v>
      </c>
      <c r="Z152" s="94" t="s">
        <v>3985</v>
      </c>
      <c r="AA152" s="94" t="s">
        <v>3986</v>
      </c>
      <c r="AB152" s="94" t="s">
        <v>4243</v>
      </c>
      <c r="AC152" s="94" t="s">
        <v>3685</v>
      </c>
      <c r="AD152" s="94" t="s">
        <v>2427</v>
      </c>
      <c r="AE152" s="94" t="s">
        <v>2396</v>
      </c>
      <c r="AF152" s="94" t="s">
        <v>2353</v>
      </c>
      <c r="AG152" s="94" t="s">
        <v>2286</v>
      </c>
      <c r="AH152" s="94" t="s">
        <v>1138</v>
      </c>
      <c r="AI152" s="94"/>
      <c r="AJ152" s="94" t="s">
        <v>2564</v>
      </c>
      <c r="AK152" s="94" t="s">
        <v>2564</v>
      </c>
      <c r="AL152" s="94" t="s">
        <v>2589</v>
      </c>
      <c r="AM152" s="94" t="s">
        <v>3319</v>
      </c>
      <c r="AN152" s="94" t="s">
        <v>3319</v>
      </c>
      <c r="AO152" s="94" t="s">
        <v>3590</v>
      </c>
      <c r="AP152" s="94" t="s">
        <v>3590</v>
      </c>
      <c r="AQ152" s="94" t="s">
        <v>3538</v>
      </c>
      <c r="AR152" s="94" t="s">
        <v>3538</v>
      </c>
      <c r="AS152" s="94"/>
      <c r="AT152" s="94"/>
      <c r="AU152" s="94"/>
      <c r="AV152" s="94" t="s">
        <v>39</v>
      </c>
      <c r="AW152" s="94" t="s">
        <v>39</v>
      </c>
      <c r="AX152" s="94"/>
      <c r="AY152" s="94" t="s">
        <v>39</v>
      </c>
      <c r="AZ152" s="94" t="s">
        <v>2744</v>
      </c>
      <c r="BA152" s="94" t="s">
        <v>39</v>
      </c>
      <c r="BB152" s="94" t="s">
        <v>39</v>
      </c>
      <c r="BC152" s="94" t="s">
        <v>39</v>
      </c>
      <c r="BD152" s="94" t="s">
        <v>39</v>
      </c>
      <c r="BE152" s="94" t="s">
        <v>1342</v>
      </c>
      <c r="BF152" s="94" t="s">
        <v>1342</v>
      </c>
      <c r="BG152" s="94" t="s">
        <v>39</v>
      </c>
      <c r="BH152" s="94" t="s">
        <v>3259</v>
      </c>
      <c r="BI152" s="94" t="s">
        <v>3252</v>
      </c>
      <c r="BJ152" s="94" t="s">
        <v>2152</v>
      </c>
      <c r="BK152" s="94" t="s">
        <v>2152</v>
      </c>
      <c r="BL152" s="94" t="s">
        <v>39</v>
      </c>
      <c r="BM152" s="94" t="s">
        <v>39</v>
      </c>
      <c r="BN152" s="94" t="s">
        <v>39</v>
      </c>
      <c r="BO152" s="94"/>
      <c r="BR152" s="19"/>
      <c r="BS152" s="20"/>
      <c r="BT152" s="11"/>
      <c r="BU152" s="19"/>
      <c r="BV152" s="19"/>
      <c r="BW152" s="19"/>
    </row>
    <row r="153" spans="1:75" s="14" customFormat="1" ht="70.5" customHeight="1">
      <c r="A153" s="53" t="s">
        <v>4268</v>
      </c>
      <c r="B153" s="54" t="s">
        <v>4280</v>
      </c>
      <c r="C153" s="54" t="s">
        <v>4269</v>
      </c>
      <c r="D153" s="54" t="s">
        <v>4270</v>
      </c>
      <c r="E153" s="54" t="s">
        <v>4271</v>
      </c>
      <c r="F153" s="54" t="s">
        <v>4271</v>
      </c>
      <c r="G153" s="54" t="s">
        <v>39</v>
      </c>
      <c r="H153" s="54" t="s">
        <v>4273</v>
      </c>
      <c r="I153" s="54" t="s">
        <v>4273</v>
      </c>
      <c r="J153" s="54" t="s">
        <v>4209</v>
      </c>
      <c r="K153" s="54" t="s">
        <v>4209</v>
      </c>
      <c r="L153" s="54" t="s">
        <v>4276</v>
      </c>
      <c r="M153" s="54" t="s">
        <v>4209</v>
      </c>
      <c r="N153" s="54" t="s">
        <v>4209</v>
      </c>
      <c r="O153" s="54" t="s">
        <v>4209</v>
      </c>
      <c r="P153" s="54" t="s">
        <v>4209</v>
      </c>
      <c r="Q153" s="54" t="s">
        <v>4209</v>
      </c>
      <c r="R153" s="54" t="s">
        <v>4280</v>
      </c>
      <c r="S153" s="54" t="s">
        <v>4209</v>
      </c>
      <c r="T153" s="54" t="s">
        <v>4209</v>
      </c>
      <c r="U153" s="54" t="s">
        <v>4283</v>
      </c>
      <c r="V153" s="54" t="s">
        <v>4283</v>
      </c>
      <c r="W153" s="54" t="s">
        <v>4279</v>
      </c>
      <c r="X153" s="54" t="s">
        <v>4284</v>
      </c>
      <c r="Y153" s="54" t="s">
        <v>4209</v>
      </c>
      <c r="Z153" s="54" t="s">
        <v>4285</v>
      </c>
      <c r="AA153" s="54" t="s">
        <v>4287</v>
      </c>
      <c r="AB153" s="54" t="s">
        <v>4209</v>
      </c>
      <c r="AC153" s="54" t="s">
        <v>4209</v>
      </c>
      <c r="AD153" s="54" t="s">
        <v>4209</v>
      </c>
      <c r="AE153" s="54" t="s">
        <v>4209</v>
      </c>
      <c r="AF153" s="54" t="s">
        <v>4289</v>
      </c>
      <c r="AG153" s="54" t="s">
        <v>4288</v>
      </c>
      <c r="AH153" s="54" t="s">
        <v>4209</v>
      </c>
      <c r="AI153" s="54" t="s">
        <v>4209</v>
      </c>
      <c r="AJ153" s="54" t="s">
        <v>4291</v>
      </c>
      <c r="AK153" s="54" t="s">
        <v>4291</v>
      </c>
      <c r="AL153" s="54" t="s">
        <v>4293</v>
      </c>
      <c r="AM153" s="54" t="s">
        <v>4295</v>
      </c>
      <c r="AN153" s="54" t="s">
        <v>4287</v>
      </c>
      <c r="AO153" s="54" t="s">
        <v>4300</v>
      </c>
      <c r="AP153" s="54" t="s">
        <v>4300</v>
      </c>
      <c r="AQ153" s="54" t="s">
        <v>4300</v>
      </c>
      <c r="AR153" s="54" t="s">
        <v>4300</v>
      </c>
      <c r="AS153" s="54" t="s">
        <v>4209</v>
      </c>
      <c r="AT153" s="54" t="s">
        <v>4209</v>
      </c>
      <c r="AU153" s="54" t="s">
        <v>4209</v>
      </c>
      <c r="AV153" s="54" t="s">
        <v>4209</v>
      </c>
      <c r="AW153" s="54" t="s">
        <v>4209</v>
      </c>
      <c r="AX153" s="54" t="s">
        <v>4209</v>
      </c>
      <c r="AY153" s="54" t="s">
        <v>4209</v>
      </c>
      <c r="AZ153" s="54" t="s">
        <v>4306</v>
      </c>
      <c r="BA153" s="54" t="s">
        <v>4209</v>
      </c>
      <c r="BB153" s="54" t="s">
        <v>4308</v>
      </c>
      <c r="BC153" s="54" t="s">
        <v>4309</v>
      </c>
      <c r="BD153" s="54" t="s">
        <v>4309</v>
      </c>
      <c r="BE153" s="54" t="s">
        <v>4312</v>
      </c>
      <c r="BF153" s="54" t="s">
        <v>4312</v>
      </c>
      <c r="BG153" s="54" t="s">
        <v>4209</v>
      </c>
      <c r="BH153" s="54" t="s">
        <v>4209</v>
      </c>
      <c r="BI153" s="54" t="s">
        <v>4209</v>
      </c>
      <c r="BJ153" s="54" t="s">
        <v>4315</v>
      </c>
      <c r="BK153" s="54" t="s">
        <v>4315</v>
      </c>
      <c r="BL153" s="54"/>
      <c r="BM153" s="54"/>
      <c r="BN153" s="54" t="s">
        <v>4320</v>
      </c>
      <c r="BO153" s="54"/>
    </row>
    <row r="154" spans="1:75" s="2" customFormat="1" ht="15" customHeight="1">
      <c r="A154" s="95" t="s">
        <v>688</v>
      </c>
      <c r="B154" s="94"/>
      <c r="C154" s="94" t="s">
        <v>1219</v>
      </c>
      <c r="D154" s="94" t="s">
        <v>2745</v>
      </c>
      <c r="E154" s="94" t="s">
        <v>4277</v>
      </c>
      <c r="F154" s="94" t="s">
        <v>4277</v>
      </c>
      <c r="G154" s="94"/>
      <c r="H154" s="94" t="s">
        <v>4278</v>
      </c>
      <c r="I154" s="94" t="s">
        <v>4275</v>
      </c>
      <c r="J154" s="94"/>
      <c r="K154" s="94"/>
      <c r="L154" s="94"/>
      <c r="M154" s="94"/>
      <c r="N154" s="94"/>
      <c r="O154" s="94"/>
      <c r="P154" s="94"/>
      <c r="Q154" s="94"/>
      <c r="R154" s="94"/>
      <c r="S154" s="94"/>
      <c r="T154" s="94"/>
      <c r="U154" s="94" t="s">
        <v>4282</v>
      </c>
      <c r="V154" s="94" t="s">
        <v>4281</v>
      </c>
      <c r="W154" s="94" t="s">
        <v>4281</v>
      </c>
      <c r="X154" s="94" t="s">
        <v>1235</v>
      </c>
      <c r="Y154" s="94"/>
      <c r="Z154" s="94" t="s">
        <v>3812</v>
      </c>
      <c r="AA154" s="94"/>
      <c r="AB154" s="94"/>
      <c r="AC154" s="94"/>
      <c r="AD154" s="94"/>
      <c r="AE154" s="94"/>
      <c r="AF154" s="94" t="s">
        <v>1233</v>
      </c>
      <c r="AG154" s="94" t="s">
        <v>2761</v>
      </c>
      <c r="AH154" s="94"/>
      <c r="AI154" s="94"/>
      <c r="AJ154" s="94" t="s">
        <v>1326</v>
      </c>
      <c r="AK154" s="94" t="s">
        <v>4292</v>
      </c>
      <c r="AL154" s="94" t="s">
        <v>4294</v>
      </c>
      <c r="AM154" s="94" t="s">
        <v>4296</v>
      </c>
      <c r="AN154" s="94" t="s">
        <v>4297</v>
      </c>
      <c r="AO154" s="94" t="s">
        <v>4301</v>
      </c>
      <c r="AP154" s="94"/>
      <c r="AQ154" s="94" t="s">
        <v>4301</v>
      </c>
      <c r="AR154" s="94" t="s">
        <v>4301</v>
      </c>
      <c r="AS154" s="94"/>
      <c r="AT154" s="94"/>
      <c r="AU154" s="94"/>
      <c r="AV154" s="94"/>
      <c r="AW154" s="94"/>
      <c r="AX154" s="94"/>
      <c r="AY154" s="94"/>
      <c r="AZ154" s="94" t="s">
        <v>2749</v>
      </c>
      <c r="BA154" s="94"/>
      <c r="BB154" s="94" t="s">
        <v>3384</v>
      </c>
      <c r="BC154" s="94"/>
      <c r="BD154" s="94"/>
      <c r="BE154" s="94" t="s">
        <v>4313</v>
      </c>
      <c r="BF154" s="94" t="s">
        <v>4314</v>
      </c>
      <c r="BG154" s="94"/>
      <c r="BH154" s="94"/>
      <c r="BI154" s="94"/>
      <c r="BJ154" s="94" t="s">
        <v>4316</v>
      </c>
      <c r="BK154" s="94" t="s">
        <v>4316</v>
      </c>
      <c r="BL154" s="94"/>
      <c r="BM154" s="94"/>
      <c r="BN154" s="94" t="s">
        <v>1216</v>
      </c>
      <c r="BO154" s="94"/>
    </row>
    <row r="155" spans="1:75" s="2" customFormat="1" ht="22.5" customHeight="1">
      <c r="A155" s="50" t="s">
        <v>2</v>
      </c>
      <c r="B155" s="57" t="str">
        <f t="shared" ref="B155:AX155" si="12">B1</f>
        <v>Alte Leipziger XXL</v>
      </c>
      <c r="C155" s="57" t="str">
        <f t="shared" si="12"/>
        <v>Ammerländer Excellent</v>
      </c>
      <c r="D155" s="57" t="str">
        <f t="shared" si="12"/>
        <v>Ammerländer Exclusiv</v>
      </c>
      <c r="E155" s="57" t="str">
        <f t="shared" si="12"/>
        <v>ARAG Komfort</v>
      </c>
      <c r="F155" s="57" t="str">
        <f t="shared" si="12"/>
        <v>ARAG Premium</v>
      </c>
      <c r="G155" s="57" t="str">
        <f t="shared" si="12"/>
        <v>AXA Komfort ohne BR</v>
      </c>
      <c r="H155" s="57" t="str">
        <f t="shared" si="12"/>
        <v>Baden Badener Top 2013</v>
      </c>
      <c r="I155" s="57" t="str">
        <f t="shared" si="12"/>
        <v>Basler UnfallProtect - Max</v>
      </c>
      <c r="J155" s="57" t="str">
        <f t="shared" si="12"/>
        <v>Condor Comfort</v>
      </c>
      <c r="K155" s="57" t="str">
        <f t="shared" si="12"/>
        <v>Condor Premium</v>
      </c>
      <c r="L155" s="57" t="str">
        <f t="shared" si="12"/>
        <v>Cosmos Comfort-Schutz</v>
      </c>
      <c r="M155" s="57" t="str">
        <f t="shared" si="12"/>
        <v>Cosmos Comfort-Schutz Plus</v>
      </c>
      <c r="N155" s="57" t="str">
        <f t="shared" si="12"/>
        <v>Debeka</v>
      </c>
      <c r="O155" s="57" t="str">
        <f t="shared" si="12"/>
        <v>DEVK Komplett</v>
      </c>
      <c r="P155" s="57" t="str">
        <f>P1</f>
        <v>die Bayerische Komfort</v>
      </c>
      <c r="Q155" s="57" t="str">
        <f>Q1</f>
        <v>die Bayerische Standard</v>
      </c>
      <c r="R155" s="57" t="str">
        <f t="shared" si="12"/>
        <v>ERGO Unfallschutz Familie</v>
      </c>
      <c r="S155" s="57" t="str">
        <f t="shared" si="12"/>
        <v>GDV Musterbedingungen</v>
      </c>
      <c r="T155" s="57" t="str">
        <f t="shared" si="12"/>
        <v>Generali Komfort Plus</v>
      </c>
      <c r="U155" s="57" t="str">
        <f t="shared" si="12"/>
        <v>Gothaer Unfall 2014</v>
      </c>
      <c r="V155" s="57" t="str">
        <f t="shared" si="12"/>
        <v>Gothaer UnfallTop 2014</v>
      </c>
      <c r="W155" s="57" t="str">
        <f t="shared" si="12"/>
        <v>Gothaer UnfallTop 2014 Plus</v>
      </c>
      <c r="X155" s="57" t="str">
        <f>X1</f>
        <v>Häger Top</v>
      </c>
      <c r="Y155" s="57" t="str">
        <f>Y1</f>
        <v>HanseMerkur Grund-Schutz</v>
      </c>
      <c r="Z155" s="57" t="str">
        <f>Z1</f>
        <v>HanseMerkur Kompakt-Schutz</v>
      </c>
      <c r="AA155" s="57" t="str">
        <f>AA1</f>
        <v>HanseMerkur Top-Schutz</v>
      </c>
      <c r="AB155" s="57" t="s">
        <v>4170</v>
      </c>
      <c r="AC155" s="57" t="str">
        <f>AC1</f>
        <v>Helvetia Komfort</v>
      </c>
      <c r="AD155" s="57" t="str">
        <f t="shared" si="12"/>
        <v>HKD Basisschutz</v>
      </c>
      <c r="AE155" s="57" t="str">
        <f t="shared" si="12"/>
        <v>HKD Komfortschutz</v>
      </c>
      <c r="AF155" s="57" t="str">
        <f t="shared" si="12"/>
        <v>HKD Komfortschutz Plus</v>
      </c>
      <c r="AG155" s="57" t="str">
        <f t="shared" si="12"/>
        <v>HKD Vollschutz</v>
      </c>
      <c r="AH155" s="57" t="str">
        <f t="shared" si="12"/>
        <v>Ideal Unfall Rente Exklusiv</v>
      </c>
      <c r="AI155" s="57" t="str">
        <f t="shared" si="12"/>
        <v>Interlloyd AUB 2000</v>
      </c>
      <c r="AJ155" s="57" t="str">
        <f t="shared" si="12"/>
        <v>Interlloyd Premium</v>
      </c>
      <c r="AK155" s="57" t="str">
        <f t="shared" si="12"/>
        <v>Interlloyd Premium Plus</v>
      </c>
      <c r="AL155" s="57" t="str">
        <f t="shared" si="12"/>
        <v>Interlloyd Protect</v>
      </c>
      <c r="AM155" s="57" t="str">
        <f t="shared" si="12"/>
        <v>Interrisk XL (Plus-Taxe)</v>
      </c>
      <c r="AN155" s="57" t="str">
        <f t="shared" si="12"/>
        <v>Interrisk XXL (Maxi-Taxe)</v>
      </c>
      <c r="AO155" s="57" t="str">
        <f t="shared" si="12"/>
        <v>Janitos Balance</v>
      </c>
      <c r="AP155" s="57" t="str">
        <f>AP1</f>
        <v>Janitos Balance Plus</v>
      </c>
      <c r="AQ155" s="57" t="str">
        <f>AQ1</f>
        <v>Janitos Best Selection</v>
      </c>
      <c r="AR155" s="57" t="str">
        <f>AR1</f>
        <v>Janitos Best Selection Plus</v>
      </c>
      <c r="AS155" s="57" t="str">
        <f t="shared" si="12"/>
        <v>Keine</v>
      </c>
      <c r="AT155" s="57" t="str">
        <f t="shared" si="12"/>
        <v>KRAVAG Familien-UV 2011</v>
      </c>
      <c r="AU155" s="57" t="str">
        <f t="shared" si="12"/>
        <v>KRAVAG Gruppen-UV 2011</v>
      </c>
      <c r="AV155" s="136" t="str">
        <f t="shared" si="12"/>
        <v>nationale suisse Komfort</v>
      </c>
      <c r="AW155" s="136" t="str">
        <f t="shared" si="12"/>
        <v>nationale suisse Premium</v>
      </c>
      <c r="AX155" s="57" t="str">
        <f t="shared" si="12"/>
        <v>Nürnberger</v>
      </c>
      <c r="AY155" s="57"/>
      <c r="AZ155" s="57" t="str">
        <f>AZ1</f>
        <v>Prokundo Unfall</v>
      </c>
      <c r="BA155" s="57" t="str">
        <f t="shared" ref="BA155:BL155" si="13">BA1</f>
        <v>Provinzial Rundumschutz</v>
      </c>
      <c r="BB155" s="57" t="str">
        <f t="shared" si="13"/>
        <v>R+V PrivatPolice Comfort</v>
      </c>
      <c r="BC155" s="57" t="str">
        <f t="shared" si="13"/>
        <v>Signal Iduna Exklusiv</v>
      </c>
      <c r="BD155" s="57" t="str">
        <f t="shared" si="13"/>
        <v>Signal Iduna Exklusiv (ÖD)
z.B. PVAG, VÖDAG</v>
      </c>
      <c r="BE155" s="57" t="str">
        <f t="shared" si="13"/>
        <v>SLP Primus</v>
      </c>
      <c r="BF155" s="57" t="str">
        <f t="shared" si="13"/>
        <v>SLP Primus Plus</v>
      </c>
      <c r="BG155" s="57" t="str">
        <f>BG1</f>
        <v>Stuttgarter 1000Plus</v>
      </c>
      <c r="BH155" s="57" t="str">
        <f t="shared" si="13"/>
        <v>VdVA Classic</v>
      </c>
      <c r="BI155" s="57" t="str">
        <f t="shared" si="13"/>
        <v>VdVA Exclusiv</v>
      </c>
      <c r="BJ155" s="57" t="str">
        <f>BJ1</f>
        <v>VHV Klassik Garant</v>
      </c>
      <c r="BK155" s="57" t="str">
        <f t="shared" si="13"/>
        <v>VHV Klassik Garant Exklusiv</v>
      </c>
      <c r="BL155" s="57" t="str">
        <f t="shared" si="13"/>
        <v>WÜBA Unfall AKTIV Premium</v>
      </c>
      <c r="BM155" s="57" t="str">
        <f>BM1</f>
        <v>Württembergische Platinum</v>
      </c>
      <c r="BN155" s="57" t="str">
        <f>BN1</f>
        <v>Württembergische Premium</v>
      </c>
      <c r="BO155" s="57" t="str">
        <f>BO1</f>
        <v>Zurich Makler Top-Schutz</v>
      </c>
    </row>
    <row r="156" spans="1:75" s="14" customFormat="1" ht="22.5" customHeight="1">
      <c r="A156" s="53" t="s">
        <v>105</v>
      </c>
      <c r="B156" s="48">
        <v>0.75</v>
      </c>
      <c r="C156" s="48" t="s">
        <v>3127</v>
      </c>
      <c r="D156" s="48" t="s">
        <v>3127</v>
      </c>
      <c r="E156" s="48">
        <v>0.8</v>
      </c>
      <c r="F156" s="48">
        <v>0.85</v>
      </c>
      <c r="G156" s="48">
        <v>0.8</v>
      </c>
      <c r="H156" s="131">
        <v>0.75</v>
      </c>
      <c r="I156" s="48">
        <v>0.8</v>
      </c>
      <c r="J156" s="48">
        <v>0.7</v>
      </c>
      <c r="K156" s="48">
        <v>0.8</v>
      </c>
      <c r="L156" s="48">
        <v>0.75</v>
      </c>
      <c r="M156" s="48">
        <v>0.75</v>
      </c>
      <c r="N156" s="48">
        <v>0.7</v>
      </c>
      <c r="O156" s="48">
        <v>1</v>
      </c>
      <c r="P156" s="48">
        <v>0.7</v>
      </c>
      <c r="Q156" s="48">
        <v>0.7</v>
      </c>
      <c r="R156" s="48">
        <v>0.7</v>
      </c>
      <c r="S156" s="48">
        <v>0.7</v>
      </c>
      <c r="T156" s="48">
        <v>0.8</v>
      </c>
      <c r="U156" s="131">
        <v>0.7</v>
      </c>
      <c r="V156" s="131">
        <v>0.75</v>
      </c>
      <c r="W156" s="131">
        <v>0.8</v>
      </c>
      <c r="X156" s="48">
        <v>0.8</v>
      </c>
      <c r="Y156" s="48" t="s">
        <v>3987</v>
      </c>
      <c r="Z156" s="48" t="s">
        <v>3987</v>
      </c>
      <c r="AA156" s="48" t="s">
        <v>3987</v>
      </c>
      <c r="AB156" s="48" t="s">
        <v>4247</v>
      </c>
      <c r="AC156" s="48">
        <v>0.8</v>
      </c>
      <c r="AD156" s="48">
        <v>0.7</v>
      </c>
      <c r="AE156" s="48">
        <v>0.7</v>
      </c>
      <c r="AF156" s="48">
        <v>0.8</v>
      </c>
      <c r="AG156" s="48">
        <v>0.8</v>
      </c>
      <c r="AH156" s="48">
        <v>0.8</v>
      </c>
      <c r="AI156" s="48">
        <v>0.75</v>
      </c>
      <c r="AJ156" s="48">
        <v>0.8</v>
      </c>
      <c r="AK156" s="48">
        <v>0.8</v>
      </c>
      <c r="AL156" s="48">
        <v>0.75</v>
      </c>
      <c r="AM156" s="48" t="s">
        <v>974</v>
      </c>
      <c r="AN156" s="48" t="s">
        <v>989</v>
      </c>
      <c r="AO156" s="48" t="s">
        <v>3465</v>
      </c>
      <c r="AP156" s="48" t="s">
        <v>3465</v>
      </c>
      <c r="AQ156" s="48" t="s">
        <v>3448</v>
      </c>
      <c r="AR156" s="48" t="s">
        <v>3448</v>
      </c>
      <c r="AS156" s="48" t="s">
        <v>39</v>
      </c>
      <c r="AT156" s="48">
        <v>1</v>
      </c>
      <c r="AU156" s="48">
        <v>1</v>
      </c>
      <c r="AV156" s="48">
        <v>0.7</v>
      </c>
      <c r="AW156" s="48">
        <v>0.85</v>
      </c>
      <c r="AX156" s="48">
        <v>0.7</v>
      </c>
      <c r="AY156" s="48">
        <v>0.9</v>
      </c>
      <c r="AZ156" s="48">
        <v>0.7</v>
      </c>
      <c r="BA156" s="48">
        <v>0.7</v>
      </c>
      <c r="BB156" s="48">
        <v>0.7</v>
      </c>
      <c r="BC156" s="48">
        <v>0.7</v>
      </c>
      <c r="BD156" s="48">
        <v>0.7</v>
      </c>
      <c r="BE156" s="48">
        <v>0.75</v>
      </c>
      <c r="BF156" s="48">
        <v>0.8</v>
      </c>
      <c r="BG156" s="48" t="s">
        <v>2991</v>
      </c>
      <c r="BH156" s="48">
        <v>0.7</v>
      </c>
      <c r="BI156" s="48">
        <v>0.8</v>
      </c>
      <c r="BJ156" s="48">
        <v>0.8</v>
      </c>
      <c r="BK156" s="48">
        <v>0.8</v>
      </c>
      <c r="BL156" s="48">
        <v>0.8</v>
      </c>
      <c r="BM156" s="48">
        <v>0.8</v>
      </c>
      <c r="BN156" s="48">
        <v>0.8</v>
      </c>
      <c r="BO156" s="48">
        <v>0.75</v>
      </c>
    </row>
    <row r="157" spans="1:75" s="2" customFormat="1" ht="11.25" customHeight="1">
      <c r="A157" s="95" t="s">
        <v>688</v>
      </c>
      <c r="B157" s="94"/>
      <c r="C157" s="94" t="s">
        <v>3125</v>
      </c>
      <c r="D157" s="94" t="s">
        <v>3126</v>
      </c>
      <c r="E157" s="94" t="s">
        <v>1925</v>
      </c>
      <c r="F157" s="94" t="s">
        <v>1926</v>
      </c>
      <c r="G157" s="94" t="s">
        <v>3636</v>
      </c>
      <c r="H157" s="94" t="s">
        <v>2633</v>
      </c>
      <c r="I157" s="94" t="s">
        <v>2709</v>
      </c>
      <c r="J157" s="94" t="s">
        <v>2780</v>
      </c>
      <c r="K157" s="94" t="s">
        <v>2745</v>
      </c>
      <c r="L157" s="94" t="s">
        <v>2737</v>
      </c>
      <c r="M157" s="94" t="s">
        <v>2737</v>
      </c>
      <c r="N157" s="94" t="s">
        <v>1381</v>
      </c>
      <c r="O157" s="94" t="s">
        <v>2794</v>
      </c>
      <c r="P157" s="94" t="s">
        <v>1290</v>
      </c>
      <c r="Q157" s="94" t="s">
        <v>1381</v>
      </c>
      <c r="R157" s="94" t="s">
        <v>1656</v>
      </c>
      <c r="S157" s="94" t="s">
        <v>1381</v>
      </c>
      <c r="T157" s="94" t="s">
        <v>3716</v>
      </c>
      <c r="U157" s="94" t="s">
        <v>4048</v>
      </c>
      <c r="V157" s="94" t="s">
        <v>4051</v>
      </c>
      <c r="W157" s="94" t="s">
        <v>4085</v>
      </c>
      <c r="X157" s="94" t="s">
        <v>808</v>
      </c>
      <c r="Y157" s="94" t="s">
        <v>1381</v>
      </c>
      <c r="Z157" s="94" t="s">
        <v>1381</v>
      </c>
      <c r="AA157" s="94" t="s">
        <v>1381</v>
      </c>
      <c r="AB157" s="94" t="s">
        <v>4246</v>
      </c>
      <c r="AC157" s="94" t="s">
        <v>2740</v>
      </c>
      <c r="AD157" s="94" t="s">
        <v>1381</v>
      </c>
      <c r="AE157" s="94" t="s">
        <v>2369</v>
      </c>
      <c r="AF157" s="94" t="s">
        <v>2310</v>
      </c>
      <c r="AG157" s="94" t="s">
        <v>2248</v>
      </c>
      <c r="AH157" s="94" t="s">
        <v>1131</v>
      </c>
      <c r="AI157" s="94"/>
      <c r="AJ157" s="94" t="s">
        <v>2454</v>
      </c>
      <c r="AK157" s="94" t="s">
        <v>2454</v>
      </c>
      <c r="AL157" s="94" t="s">
        <v>1381</v>
      </c>
      <c r="AM157" s="94" t="s">
        <v>3315</v>
      </c>
      <c r="AN157" s="94" t="s">
        <v>3314</v>
      </c>
      <c r="AO157" s="94" t="s">
        <v>3498</v>
      </c>
      <c r="AP157" s="94" t="s">
        <v>3498</v>
      </c>
      <c r="AQ157" s="94" t="s">
        <v>3498</v>
      </c>
      <c r="AR157" s="94" t="s">
        <v>3498</v>
      </c>
      <c r="AS157" s="94"/>
      <c r="AT157" s="94"/>
      <c r="AU157" s="94"/>
      <c r="AV157" s="94" t="s">
        <v>1430</v>
      </c>
      <c r="AW157" s="94" t="s">
        <v>1430</v>
      </c>
      <c r="AX157" s="94"/>
      <c r="AY157" s="94" t="s">
        <v>2887</v>
      </c>
      <c r="AZ157" s="94" t="s">
        <v>1381</v>
      </c>
      <c r="BA157" s="94" t="s">
        <v>1381</v>
      </c>
      <c r="BB157" s="94" t="s">
        <v>1704</v>
      </c>
      <c r="BC157" s="94" t="s">
        <v>869</v>
      </c>
      <c r="BD157" s="94" t="s">
        <v>869</v>
      </c>
      <c r="BE157" s="94" t="s">
        <v>1283</v>
      </c>
      <c r="BF157" s="94" t="s">
        <v>1283</v>
      </c>
      <c r="BG157" s="94" t="s">
        <v>2959</v>
      </c>
      <c r="BH157" s="94" t="s">
        <v>3222</v>
      </c>
      <c r="BI157" s="94" t="s">
        <v>3222</v>
      </c>
      <c r="BJ157" s="94" t="s">
        <v>3400</v>
      </c>
      <c r="BK157" s="94" t="s">
        <v>2108</v>
      </c>
      <c r="BL157" s="94" t="s">
        <v>2168</v>
      </c>
      <c r="BM157" s="94" t="s">
        <v>1578</v>
      </c>
      <c r="BN157" s="94" t="s">
        <v>1578</v>
      </c>
      <c r="BO157" s="94"/>
      <c r="BR157" s="19"/>
      <c r="BS157" s="20"/>
      <c r="BT157" s="11"/>
      <c r="BU157" s="19"/>
      <c r="BV157" s="19"/>
      <c r="BW157" s="19"/>
    </row>
    <row r="158" spans="1:75" s="14" customFormat="1" ht="22.5" customHeight="1">
      <c r="A158" s="53" t="s">
        <v>6</v>
      </c>
      <c r="B158" s="48" t="s">
        <v>39</v>
      </c>
      <c r="C158" s="48">
        <v>0.8</v>
      </c>
      <c r="D158" s="48">
        <v>0.8</v>
      </c>
      <c r="E158" s="48">
        <v>0.75</v>
      </c>
      <c r="F158" s="48">
        <v>0.8</v>
      </c>
      <c r="G158" s="48">
        <v>0.75</v>
      </c>
      <c r="H158" s="131">
        <v>0.75</v>
      </c>
      <c r="I158" s="48" t="s">
        <v>2711</v>
      </c>
      <c r="J158" s="48">
        <v>0.65</v>
      </c>
      <c r="K158" s="48">
        <v>0.7</v>
      </c>
      <c r="L158" s="48">
        <v>0.7</v>
      </c>
      <c r="M158" s="48">
        <v>0.7</v>
      </c>
      <c r="N158" s="48">
        <v>0.65</v>
      </c>
      <c r="O158" s="48">
        <v>0.65</v>
      </c>
      <c r="P158" s="48">
        <v>0.7</v>
      </c>
      <c r="Q158" s="48">
        <v>0.65</v>
      </c>
      <c r="R158" s="48">
        <v>0.65</v>
      </c>
      <c r="S158" s="48">
        <v>0.65</v>
      </c>
      <c r="T158" s="48">
        <v>0.75</v>
      </c>
      <c r="U158" s="131">
        <v>0.7</v>
      </c>
      <c r="V158" s="131">
        <v>0.7</v>
      </c>
      <c r="W158" s="131">
        <v>0.75</v>
      </c>
      <c r="X158" s="48">
        <v>0.75</v>
      </c>
      <c r="Y158" s="48" t="s">
        <v>3988</v>
      </c>
      <c r="Z158" s="48" t="s">
        <v>3988</v>
      </c>
      <c r="AA158" s="48" t="s">
        <v>3988</v>
      </c>
      <c r="AB158" s="48" t="s">
        <v>4248</v>
      </c>
      <c r="AC158" s="48">
        <v>0.75</v>
      </c>
      <c r="AD158" s="48">
        <v>0.65</v>
      </c>
      <c r="AE158" s="48">
        <v>0.7</v>
      </c>
      <c r="AF158" s="48">
        <v>0.8</v>
      </c>
      <c r="AG158" s="48">
        <v>0.8</v>
      </c>
      <c r="AH158" s="48">
        <v>0.75</v>
      </c>
      <c r="AI158" s="48">
        <v>0.7</v>
      </c>
      <c r="AJ158" s="48">
        <v>0.8</v>
      </c>
      <c r="AK158" s="48">
        <v>0.8</v>
      </c>
      <c r="AL158" s="48">
        <v>0.7</v>
      </c>
      <c r="AM158" s="48" t="s">
        <v>974</v>
      </c>
      <c r="AN158" s="48" t="s">
        <v>989</v>
      </c>
      <c r="AO158" s="48" t="s">
        <v>3465</v>
      </c>
      <c r="AP158" s="48" t="s">
        <v>3465</v>
      </c>
      <c r="AQ158" s="48" t="s">
        <v>3448</v>
      </c>
      <c r="AR158" s="48" t="s">
        <v>3448</v>
      </c>
      <c r="AS158" s="48" t="s">
        <v>39</v>
      </c>
      <c r="AT158" s="48" t="s">
        <v>234</v>
      </c>
      <c r="AU158" s="48" t="s">
        <v>234</v>
      </c>
      <c r="AV158" s="48">
        <v>0.65</v>
      </c>
      <c r="AW158" s="48" t="s">
        <v>39</v>
      </c>
      <c r="AX158" s="48">
        <v>0.65</v>
      </c>
      <c r="AY158" s="48">
        <v>0.8</v>
      </c>
      <c r="AZ158" s="48">
        <v>0.65</v>
      </c>
      <c r="BA158" s="48">
        <v>0.65</v>
      </c>
      <c r="BB158" s="48">
        <v>0.65</v>
      </c>
      <c r="BC158" s="48">
        <v>0.65</v>
      </c>
      <c r="BD158" s="48">
        <v>0.65</v>
      </c>
      <c r="BE158" s="48">
        <v>0.7</v>
      </c>
      <c r="BF158" s="48">
        <v>0.75</v>
      </c>
      <c r="BG158" s="48" t="s">
        <v>2992</v>
      </c>
      <c r="BH158" s="48">
        <v>0.65</v>
      </c>
      <c r="BI158" s="48">
        <v>0.8</v>
      </c>
      <c r="BJ158" s="48">
        <v>0.75</v>
      </c>
      <c r="BK158" s="48">
        <v>0.8</v>
      </c>
      <c r="BL158" s="48">
        <v>0.8</v>
      </c>
      <c r="BM158" s="48">
        <v>0.75</v>
      </c>
      <c r="BN158" s="48">
        <v>0.75</v>
      </c>
      <c r="BO158" s="48">
        <v>0.75</v>
      </c>
    </row>
    <row r="159" spans="1:75" s="2" customFormat="1" ht="11.25" customHeight="1">
      <c r="A159" s="95" t="s">
        <v>688</v>
      </c>
      <c r="B159" s="94"/>
      <c r="C159" s="94" t="s">
        <v>3125</v>
      </c>
      <c r="D159" s="94" t="s">
        <v>3126</v>
      </c>
      <c r="E159" s="94" t="s">
        <v>1925</v>
      </c>
      <c r="F159" s="94" t="s">
        <v>1926</v>
      </c>
      <c r="G159" s="94" t="s">
        <v>3636</v>
      </c>
      <c r="H159" s="94" t="s">
        <v>2633</v>
      </c>
      <c r="I159" s="94" t="s">
        <v>2710</v>
      </c>
      <c r="J159" s="94" t="s">
        <v>2780</v>
      </c>
      <c r="K159" s="94" t="s">
        <v>2745</v>
      </c>
      <c r="L159" s="94" t="s">
        <v>2737</v>
      </c>
      <c r="M159" s="94" t="s">
        <v>2737</v>
      </c>
      <c r="N159" s="94" t="s">
        <v>1381</v>
      </c>
      <c r="O159" s="94" t="s">
        <v>2792</v>
      </c>
      <c r="P159" s="94" t="s">
        <v>1290</v>
      </c>
      <c r="Q159" s="94" t="s">
        <v>1381</v>
      </c>
      <c r="R159" s="94" t="s">
        <v>1656</v>
      </c>
      <c r="S159" s="94" t="s">
        <v>1381</v>
      </c>
      <c r="T159" s="94" t="s">
        <v>3716</v>
      </c>
      <c r="U159" s="94" t="s">
        <v>4048</v>
      </c>
      <c r="V159" s="94" t="s">
        <v>4051</v>
      </c>
      <c r="W159" s="94" t="s">
        <v>4085</v>
      </c>
      <c r="X159" s="94" t="s">
        <v>808</v>
      </c>
      <c r="Y159" s="94" t="s">
        <v>1381</v>
      </c>
      <c r="Z159" s="94" t="s">
        <v>1381</v>
      </c>
      <c r="AA159" s="94" t="s">
        <v>1381</v>
      </c>
      <c r="AB159" s="94" t="s">
        <v>4246</v>
      </c>
      <c r="AC159" s="94" t="s">
        <v>2740</v>
      </c>
      <c r="AD159" s="94" t="s">
        <v>1381</v>
      </c>
      <c r="AE159" s="94" t="s">
        <v>2369</v>
      </c>
      <c r="AF159" s="94" t="s">
        <v>2310</v>
      </c>
      <c r="AG159" s="94" t="s">
        <v>2248</v>
      </c>
      <c r="AH159" s="94" t="s">
        <v>1131</v>
      </c>
      <c r="AI159" s="94"/>
      <c r="AJ159" s="94" t="s">
        <v>2454</v>
      </c>
      <c r="AK159" s="94" t="s">
        <v>2454</v>
      </c>
      <c r="AL159" s="94" t="s">
        <v>1381</v>
      </c>
      <c r="AM159" s="94" t="s">
        <v>3315</v>
      </c>
      <c r="AN159" s="94" t="s">
        <v>3314</v>
      </c>
      <c r="AO159" s="94" t="s">
        <v>3498</v>
      </c>
      <c r="AP159" s="94" t="s">
        <v>3498</v>
      </c>
      <c r="AQ159" s="94" t="s">
        <v>3498</v>
      </c>
      <c r="AR159" s="94" t="s">
        <v>3498</v>
      </c>
      <c r="AS159" s="94"/>
      <c r="AT159" s="94"/>
      <c r="AU159" s="94"/>
      <c r="AV159" s="94" t="s">
        <v>1430</v>
      </c>
      <c r="AW159" s="94" t="s">
        <v>1513</v>
      </c>
      <c r="AX159" s="94"/>
      <c r="AY159" s="94" t="s">
        <v>2887</v>
      </c>
      <c r="AZ159" s="94" t="s">
        <v>1381</v>
      </c>
      <c r="BA159" s="94" t="s">
        <v>1381</v>
      </c>
      <c r="BB159" s="94" t="s">
        <v>1704</v>
      </c>
      <c r="BC159" s="94" t="s">
        <v>869</v>
      </c>
      <c r="BD159" s="94" t="s">
        <v>869</v>
      </c>
      <c r="BE159" s="94" t="s">
        <v>1283</v>
      </c>
      <c r="BF159" s="94" t="s">
        <v>1283</v>
      </c>
      <c r="BG159" s="94" t="s">
        <v>2959</v>
      </c>
      <c r="BH159" s="94" t="s">
        <v>3222</v>
      </c>
      <c r="BI159" s="94" t="s">
        <v>3222</v>
      </c>
      <c r="BJ159" s="94" t="s">
        <v>3400</v>
      </c>
      <c r="BK159" s="94" t="s">
        <v>2108</v>
      </c>
      <c r="BL159" s="94" t="s">
        <v>2168</v>
      </c>
      <c r="BM159" s="94" t="s">
        <v>1578</v>
      </c>
      <c r="BN159" s="94" t="s">
        <v>1578</v>
      </c>
      <c r="BO159" s="94"/>
      <c r="BR159" s="19"/>
      <c r="BS159" s="20"/>
      <c r="BT159" s="11"/>
      <c r="BU159" s="19"/>
      <c r="BV159" s="19"/>
      <c r="BW159" s="19"/>
    </row>
    <row r="160" spans="1:75" s="14" customFormat="1" ht="22.5" customHeight="1">
      <c r="A160" s="53" t="s">
        <v>7</v>
      </c>
      <c r="B160" s="48" t="s">
        <v>39</v>
      </c>
      <c r="C160" s="48">
        <v>0.75</v>
      </c>
      <c r="D160" s="48">
        <v>0.75</v>
      </c>
      <c r="E160" s="48">
        <v>0.7</v>
      </c>
      <c r="F160" s="48">
        <v>0.75</v>
      </c>
      <c r="G160" s="48">
        <v>0.7</v>
      </c>
      <c r="H160" s="131">
        <v>0.75</v>
      </c>
      <c r="I160" s="48" t="s">
        <v>2712</v>
      </c>
      <c r="J160" s="48">
        <v>0.6</v>
      </c>
      <c r="K160" s="48">
        <v>0.7</v>
      </c>
      <c r="L160" s="48">
        <v>0.65</v>
      </c>
      <c r="M160" s="48">
        <v>0.65</v>
      </c>
      <c r="N160" s="48">
        <v>0.6</v>
      </c>
      <c r="O160" s="48">
        <v>0.6</v>
      </c>
      <c r="P160" s="48">
        <v>0.7</v>
      </c>
      <c r="Q160" s="48">
        <v>0.6</v>
      </c>
      <c r="R160" s="48">
        <v>0.6</v>
      </c>
      <c r="S160" s="48">
        <v>0.6</v>
      </c>
      <c r="T160" s="48">
        <v>0.7</v>
      </c>
      <c r="U160" s="131">
        <v>0.7</v>
      </c>
      <c r="V160" s="131">
        <v>0.7</v>
      </c>
      <c r="W160" s="131">
        <v>0.7</v>
      </c>
      <c r="X160" s="48">
        <v>0.7</v>
      </c>
      <c r="Y160" s="48" t="s">
        <v>3989</v>
      </c>
      <c r="Z160" s="48" t="s">
        <v>3989</v>
      </c>
      <c r="AA160" s="48" t="s">
        <v>3989</v>
      </c>
      <c r="AB160" s="48" t="s">
        <v>4249</v>
      </c>
      <c r="AC160" s="48">
        <v>0.75</v>
      </c>
      <c r="AD160" s="48">
        <v>0.6</v>
      </c>
      <c r="AE160" s="48">
        <v>0.7</v>
      </c>
      <c r="AF160" s="48">
        <v>0.75</v>
      </c>
      <c r="AG160" s="48">
        <v>0.75</v>
      </c>
      <c r="AH160" s="48">
        <v>0.7</v>
      </c>
      <c r="AI160" s="48">
        <v>0.65</v>
      </c>
      <c r="AJ160" s="48">
        <v>0.75</v>
      </c>
      <c r="AK160" s="48">
        <v>0.75</v>
      </c>
      <c r="AL160" s="48">
        <v>0.65</v>
      </c>
      <c r="AM160" s="48" t="s">
        <v>974</v>
      </c>
      <c r="AN160" s="48" t="s">
        <v>989</v>
      </c>
      <c r="AO160" s="48" t="s">
        <v>3466</v>
      </c>
      <c r="AP160" s="48" t="s">
        <v>3466</v>
      </c>
      <c r="AQ160" s="48" t="s">
        <v>3448</v>
      </c>
      <c r="AR160" s="48" t="s">
        <v>3448</v>
      </c>
      <c r="AS160" s="48" t="s">
        <v>39</v>
      </c>
      <c r="AT160" s="48" t="s">
        <v>234</v>
      </c>
      <c r="AU160" s="48" t="s">
        <v>234</v>
      </c>
      <c r="AV160" s="48">
        <v>0.6</v>
      </c>
      <c r="AW160" s="48" t="s">
        <v>39</v>
      </c>
      <c r="AX160" s="48">
        <v>0.6</v>
      </c>
      <c r="AY160" s="48">
        <v>0.75</v>
      </c>
      <c r="AZ160" s="48">
        <v>0.6</v>
      </c>
      <c r="BA160" s="48">
        <v>0.6</v>
      </c>
      <c r="BB160" s="48">
        <v>0.6</v>
      </c>
      <c r="BC160" s="48">
        <v>0.6</v>
      </c>
      <c r="BD160" s="48">
        <v>0.6</v>
      </c>
      <c r="BE160" s="48">
        <v>0.65</v>
      </c>
      <c r="BF160" s="48">
        <v>0.7</v>
      </c>
      <c r="BG160" s="48" t="s">
        <v>2993</v>
      </c>
      <c r="BH160" s="48">
        <v>0.6</v>
      </c>
      <c r="BI160" s="48">
        <v>0.8</v>
      </c>
      <c r="BJ160" s="48">
        <v>0.7</v>
      </c>
      <c r="BK160" s="48">
        <v>0.75</v>
      </c>
      <c r="BL160" s="48">
        <v>0.8</v>
      </c>
      <c r="BM160" s="48">
        <v>0.7</v>
      </c>
      <c r="BN160" s="48">
        <v>0.7</v>
      </c>
      <c r="BO160" s="48">
        <v>0.75</v>
      </c>
    </row>
    <row r="161" spans="1:75" s="2" customFormat="1" ht="11.25" customHeight="1">
      <c r="A161" s="95" t="s">
        <v>688</v>
      </c>
      <c r="B161" s="94"/>
      <c r="C161" s="94" t="s">
        <v>3125</v>
      </c>
      <c r="D161" s="94" t="s">
        <v>3126</v>
      </c>
      <c r="E161" s="94" t="s">
        <v>1925</v>
      </c>
      <c r="F161" s="94" t="s">
        <v>1926</v>
      </c>
      <c r="G161" s="94" t="s">
        <v>3636</v>
      </c>
      <c r="H161" s="94" t="s">
        <v>2633</v>
      </c>
      <c r="I161" s="94" t="s">
        <v>2709</v>
      </c>
      <c r="J161" s="94" t="s">
        <v>2780</v>
      </c>
      <c r="K161" s="94" t="s">
        <v>2745</v>
      </c>
      <c r="L161" s="94" t="s">
        <v>2737</v>
      </c>
      <c r="M161" s="94" t="s">
        <v>2737</v>
      </c>
      <c r="N161" s="94" t="s">
        <v>1381</v>
      </c>
      <c r="O161" s="94" t="s">
        <v>2792</v>
      </c>
      <c r="P161" s="94" t="s">
        <v>1290</v>
      </c>
      <c r="Q161" s="94" t="s">
        <v>1381</v>
      </c>
      <c r="R161" s="94" t="s">
        <v>1656</v>
      </c>
      <c r="S161" s="94" t="s">
        <v>1381</v>
      </c>
      <c r="T161" s="94" t="s">
        <v>3716</v>
      </c>
      <c r="U161" s="94" t="s">
        <v>4048</v>
      </c>
      <c r="V161" s="94" t="s">
        <v>4051</v>
      </c>
      <c r="W161" s="94" t="s">
        <v>4085</v>
      </c>
      <c r="X161" s="94" t="s">
        <v>808</v>
      </c>
      <c r="Y161" s="94" t="s">
        <v>1381</v>
      </c>
      <c r="Z161" s="94" t="s">
        <v>1381</v>
      </c>
      <c r="AA161" s="94" t="s">
        <v>1381</v>
      </c>
      <c r="AB161" s="94" t="s">
        <v>4246</v>
      </c>
      <c r="AC161" s="94" t="s">
        <v>2740</v>
      </c>
      <c r="AD161" s="94" t="s">
        <v>1381</v>
      </c>
      <c r="AE161" s="94" t="s">
        <v>2369</v>
      </c>
      <c r="AF161" s="94" t="s">
        <v>2310</v>
      </c>
      <c r="AG161" s="94" t="s">
        <v>2248</v>
      </c>
      <c r="AH161" s="94" t="s">
        <v>1131</v>
      </c>
      <c r="AI161" s="94"/>
      <c r="AJ161" s="94" t="s">
        <v>2454</v>
      </c>
      <c r="AK161" s="94" t="s">
        <v>2454</v>
      </c>
      <c r="AL161" s="94" t="s">
        <v>1381</v>
      </c>
      <c r="AM161" s="94" t="s">
        <v>3315</v>
      </c>
      <c r="AN161" s="94" t="s">
        <v>3314</v>
      </c>
      <c r="AO161" s="94" t="s">
        <v>3498</v>
      </c>
      <c r="AP161" s="94" t="s">
        <v>3498</v>
      </c>
      <c r="AQ161" s="94" t="s">
        <v>3498</v>
      </c>
      <c r="AR161" s="94" t="s">
        <v>3498</v>
      </c>
      <c r="AS161" s="94"/>
      <c r="AT161" s="94"/>
      <c r="AU161" s="94"/>
      <c r="AV161" s="94" t="s">
        <v>1430</v>
      </c>
      <c r="AW161" s="94" t="s">
        <v>1513</v>
      </c>
      <c r="AX161" s="94"/>
      <c r="AY161" s="94" t="s">
        <v>2887</v>
      </c>
      <c r="AZ161" s="94" t="s">
        <v>1381</v>
      </c>
      <c r="BA161" s="94" t="s">
        <v>1381</v>
      </c>
      <c r="BB161" s="94" t="s">
        <v>1704</v>
      </c>
      <c r="BC161" s="94" t="s">
        <v>869</v>
      </c>
      <c r="BD161" s="94" t="s">
        <v>869</v>
      </c>
      <c r="BE161" s="94" t="s">
        <v>1283</v>
      </c>
      <c r="BF161" s="94" t="s">
        <v>1283</v>
      </c>
      <c r="BG161" s="94" t="s">
        <v>2959</v>
      </c>
      <c r="BH161" s="94" t="s">
        <v>3222</v>
      </c>
      <c r="BI161" s="94" t="s">
        <v>3222</v>
      </c>
      <c r="BJ161" s="94" t="s">
        <v>3400</v>
      </c>
      <c r="BK161" s="94" t="s">
        <v>2108</v>
      </c>
      <c r="BL161" s="94" t="s">
        <v>2168</v>
      </c>
      <c r="BM161" s="94" t="s">
        <v>1578</v>
      </c>
      <c r="BN161" s="94" t="s">
        <v>1578</v>
      </c>
      <c r="BO161" s="94"/>
      <c r="BR161" s="19"/>
      <c r="BS161" s="20"/>
      <c r="BT161" s="11"/>
      <c r="BU161" s="19"/>
      <c r="BV161" s="19"/>
      <c r="BW161" s="19"/>
    </row>
    <row r="162" spans="1:75" s="14" customFormat="1" ht="22.5" customHeight="1">
      <c r="A162" s="53" t="s">
        <v>8</v>
      </c>
      <c r="B162" s="48">
        <v>0.6</v>
      </c>
      <c r="C162" s="48">
        <v>0.7</v>
      </c>
      <c r="D162" s="48">
        <v>0.7</v>
      </c>
      <c r="E162" s="48">
        <v>0.65</v>
      </c>
      <c r="F162" s="48">
        <v>0.7</v>
      </c>
      <c r="G162" s="48">
        <v>0.7</v>
      </c>
      <c r="H162" s="131">
        <v>0.7</v>
      </c>
      <c r="I162" s="48" t="s">
        <v>2713</v>
      </c>
      <c r="J162" s="48">
        <v>0.55000000000000004</v>
      </c>
      <c r="K162" s="48">
        <v>0.7</v>
      </c>
      <c r="L162" s="48">
        <v>0.6</v>
      </c>
      <c r="M162" s="48">
        <v>0.6</v>
      </c>
      <c r="N162" s="48">
        <v>0.55000000000000004</v>
      </c>
      <c r="O162" s="48">
        <v>1</v>
      </c>
      <c r="P162" s="48">
        <v>0.7</v>
      </c>
      <c r="Q162" s="48">
        <v>0.55000000000000004</v>
      </c>
      <c r="R162" s="48">
        <v>0.55000000000000004</v>
      </c>
      <c r="S162" s="48">
        <v>0.55000000000000004</v>
      </c>
      <c r="T162" s="48">
        <v>0.7</v>
      </c>
      <c r="U162" s="131">
        <v>0.7</v>
      </c>
      <c r="V162" s="131">
        <v>0.7</v>
      </c>
      <c r="W162" s="131">
        <v>0.7</v>
      </c>
      <c r="X162" s="48">
        <v>0.7</v>
      </c>
      <c r="Y162" s="48" t="s">
        <v>3990</v>
      </c>
      <c r="Z162" s="48" t="s">
        <v>3990</v>
      </c>
      <c r="AA162" s="48" t="s">
        <v>3990</v>
      </c>
      <c r="AB162" s="48" t="s">
        <v>4250</v>
      </c>
      <c r="AC162" s="48">
        <v>0.7</v>
      </c>
      <c r="AD162" s="48">
        <v>0.55000000000000004</v>
      </c>
      <c r="AE162" s="48">
        <v>0.7</v>
      </c>
      <c r="AF162" s="48">
        <v>0.7</v>
      </c>
      <c r="AG162" s="48">
        <v>0.75</v>
      </c>
      <c r="AH162" s="48">
        <v>0.65</v>
      </c>
      <c r="AI162" s="48">
        <v>0.6</v>
      </c>
      <c r="AJ162" s="48">
        <v>0.75</v>
      </c>
      <c r="AK162" s="48">
        <v>0.75</v>
      </c>
      <c r="AL162" s="48">
        <v>0.6</v>
      </c>
      <c r="AM162" s="48" t="s">
        <v>975</v>
      </c>
      <c r="AN162" s="48" t="s">
        <v>990</v>
      </c>
      <c r="AO162" s="48" t="s">
        <v>3467</v>
      </c>
      <c r="AP162" s="48" t="s">
        <v>3467</v>
      </c>
      <c r="AQ162" s="48" t="s">
        <v>3448</v>
      </c>
      <c r="AR162" s="48" t="s">
        <v>3448</v>
      </c>
      <c r="AS162" s="48" t="s">
        <v>39</v>
      </c>
      <c r="AT162" s="48">
        <v>1</v>
      </c>
      <c r="AU162" s="48">
        <v>1</v>
      </c>
      <c r="AV162" s="48">
        <v>0.55000000000000004</v>
      </c>
      <c r="AW162" s="48">
        <v>0.7</v>
      </c>
      <c r="AX162" s="48">
        <v>0.55000000000000004</v>
      </c>
      <c r="AY162" s="48">
        <v>0.7</v>
      </c>
      <c r="AZ162" s="48">
        <v>0.55000000000000004</v>
      </c>
      <c r="BA162" s="48">
        <v>0.55000000000000004</v>
      </c>
      <c r="BB162" s="48">
        <v>0.55000000000000004</v>
      </c>
      <c r="BC162" s="48">
        <v>0.55000000000000004</v>
      </c>
      <c r="BD162" s="48">
        <v>0.55000000000000004</v>
      </c>
      <c r="BE162" s="48">
        <v>0.6</v>
      </c>
      <c r="BF162" s="48">
        <v>0.7</v>
      </c>
      <c r="BG162" s="48" t="s">
        <v>2994</v>
      </c>
      <c r="BH162" s="48">
        <v>0.55000000000000004</v>
      </c>
      <c r="BI162" s="48">
        <v>0.75</v>
      </c>
      <c r="BJ162" s="48">
        <v>0.7</v>
      </c>
      <c r="BK162" s="48">
        <v>0.75</v>
      </c>
      <c r="BL162" s="48">
        <v>0.6</v>
      </c>
      <c r="BM162" s="48">
        <v>0.7</v>
      </c>
      <c r="BN162" s="48">
        <v>0.7</v>
      </c>
      <c r="BO162" s="48">
        <v>0.75</v>
      </c>
    </row>
    <row r="163" spans="1:75" s="2" customFormat="1" ht="11.25" customHeight="1">
      <c r="A163" s="95" t="s">
        <v>688</v>
      </c>
      <c r="B163" s="94"/>
      <c r="C163" s="94" t="s">
        <v>3125</v>
      </c>
      <c r="D163" s="94" t="s">
        <v>3126</v>
      </c>
      <c r="E163" s="94" t="s">
        <v>1925</v>
      </c>
      <c r="F163" s="94" t="s">
        <v>1926</v>
      </c>
      <c r="G163" s="94" t="s">
        <v>3636</v>
      </c>
      <c r="H163" s="94" t="s">
        <v>2633</v>
      </c>
      <c r="I163" s="94" t="s">
        <v>2709</v>
      </c>
      <c r="J163" s="94" t="s">
        <v>2780</v>
      </c>
      <c r="K163" s="94" t="s">
        <v>2745</v>
      </c>
      <c r="L163" s="94" t="s">
        <v>2737</v>
      </c>
      <c r="M163" s="94" t="s">
        <v>2737</v>
      </c>
      <c r="N163" s="94" t="s">
        <v>1381</v>
      </c>
      <c r="O163" s="94" t="s">
        <v>2794</v>
      </c>
      <c r="P163" s="94" t="s">
        <v>1290</v>
      </c>
      <c r="Q163" s="94" t="s">
        <v>1381</v>
      </c>
      <c r="R163" s="94" t="s">
        <v>1656</v>
      </c>
      <c r="S163" s="94" t="s">
        <v>1381</v>
      </c>
      <c r="T163" s="94" t="s">
        <v>3716</v>
      </c>
      <c r="U163" s="94" t="s">
        <v>4048</v>
      </c>
      <c r="V163" s="94" t="s">
        <v>4051</v>
      </c>
      <c r="W163" s="94" t="s">
        <v>4085</v>
      </c>
      <c r="X163" s="94" t="s">
        <v>808</v>
      </c>
      <c r="Y163" s="94" t="s">
        <v>1381</v>
      </c>
      <c r="Z163" s="94" t="s">
        <v>1381</v>
      </c>
      <c r="AA163" s="94" t="s">
        <v>1381</v>
      </c>
      <c r="AB163" s="94" t="s">
        <v>4246</v>
      </c>
      <c r="AC163" s="94" t="s">
        <v>2740</v>
      </c>
      <c r="AD163" s="94" t="s">
        <v>1381</v>
      </c>
      <c r="AE163" s="94" t="s">
        <v>2369</v>
      </c>
      <c r="AF163" s="94" t="s">
        <v>2310</v>
      </c>
      <c r="AG163" s="94" t="s">
        <v>2248</v>
      </c>
      <c r="AH163" s="94" t="s">
        <v>1131</v>
      </c>
      <c r="AI163" s="94"/>
      <c r="AJ163" s="94" t="s">
        <v>2454</v>
      </c>
      <c r="AK163" s="94" t="s">
        <v>2454</v>
      </c>
      <c r="AL163" s="94" t="s">
        <v>1381</v>
      </c>
      <c r="AM163" s="94" t="s">
        <v>3315</v>
      </c>
      <c r="AN163" s="94" t="s">
        <v>3314</v>
      </c>
      <c r="AO163" s="94" t="s">
        <v>3498</v>
      </c>
      <c r="AP163" s="94" t="s">
        <v>3498</v>
      </c>
      <c r="AQ163" s="94" t="s">
        <v>3498</v>
      </c>
      <c r="AR163" s="94" t="s">
        <v>3498</v>
      </c>
      <c r="AS163" s="94"/>
      <c r="AT163" s="94"/>
      <c r="AU163" s="94"/>
      <c r="AV163" s="94" t="s">
        <v>1430</v>
      </c>
      <c r="AW163" s="94" t="s">
        <v>1430</v>
      </c>
      <c r="AX163" s="94"/>
      <c r="AY163" s="94" t="s">
        <v>2887</v>
      </c>
      <c r="AZ163" s="94" t="s">
        <v>1381</v>
      </c>
      <c r="BA163" s="94" t="s">
        <v>1381</v>
      </c>
      <c r="BB163" s="94" t="s">
        <v>1704</v>
      </c>
      <c r="BC163" s="94" t="s">
        <v>869</v>
      </c>
      <c r="BD163" s="94" t="s">
        <v>869</v>
      </c>
      <c r="BE163" s="94" t="s">
        <v>1283</v>
      </c>
      <c r="BF163" s="94" t="s">
        <v>1283</v>
      </c>
      <c r="BG163" s="94" t="s">
        <v>2959</v>
      </c>
      <c r="BH163" s="94" t="s">
        <v>3222</v>
      </c>
      <c r="BI163" s="94" t="s">
        <v>3222</v>
      </c>
      <c r="BJ163" s="94" t="s">
        <v>3400</v>
      </c>
      <c r="BK163" s="94" t="s">
        <v>2108</v>
      </c>
      <c r="BL163" s="94" t="s">
        <v>2168</v>
      </c>
      <c r="BM163" s="94" t="s">
        <v>1578</v>
      </c>
      <c r="BN163" s="94" t="s">
        <v>1578</v>
      </c>
      <c r="BO163" s="94"/>
      <c r="BR163" s="19"/>
      <c r="BS163" s="20"/>
      <c r="BT163" s="11"/>
      <c r="BU163" s="19"/>
      <c r="BV163" s="19"/>
      <c r="BW163" s="19"/>
    </row>
    <row r="164" spans="1:75" s="14" customFormat="1" ht="22.5" customHeight="1">
      <c r="A164" s="53" t="s">
        <v>9</v>
      </c>
      <c r="B164" s="48">
        <v>0.25</v>
      </c>
      <c r="C164" s="48">
        <v>0.3</v>
      </c>
      <c r="D164" s="48">
        <v>0.3</v>
      </c>
      <c r="E164" s="48">
        <v>0.3</v>
      </c>
      <c r="F164" s="48">
        <v>0.35</v>
      </c>
      <c r="G164" s="48">
        <v>0.28000000000000003</v>
      </c>
      <c r="H164" s="131">
        <v>0.3</v>
      </c>
      <c r="I164" s="48">
        <v>0.3</v>
      </c>
      <c r="J164" s="48">
        <v>0.2</v>
      </c>
      <c r="K164" s="48">
        <v>0.25</v>
      </c>
      <c r="L164" s="48">
        <v>0.22</v>
      </c>
      <c r="M164" s="48">
        <v>0.22</v>
      </c>
      <c r="N164" s="48">
        <v>0.2</v>
      </c>
      <c r="O164" s="48">
        <v>0.6</v>
      </c>
      <c r="P164" s="48">
        <v>0.25</v>
      </c>
      <c r="Q164" s="48">
        <v>0.2</v>
      </c>
      <c r="R164" s="48">
        <v>0.2</v>
      </c>
      <c r="S164" s="48">
        <v>0.2</v>
      </c>
      <c r="T164" s="48">
        <v>0.28000000000000003</v>
      </c>
      <c r="U164" s="131">
        <v>0.25</v>
      </c>
      <c r="V164" s="131">
        <v>0.25</v>
      </c>
      <c r="W164" s="131">
        <v>0.3</v>
      </c>
      <c r="X164" s="48">
        <v>0.3</v>
      </c>
      <c r="Y164" s="48" t="s">
        <v>3991</v>
      </c>
      <c r="Z164" s="48" t="s">
        <v>3991</v>
      </c>
      <c r="AA164" s="48" t="s">
        <v>3991</v>
      </c>
      <c r="AB164" s="48" t="s">
        <v>4251</v>
      </c>
      <c r="AC164" s="48">
        <v>0.3</v>
      </c>
      <c r="AD164" s="48">
        <v>0.2</v>
      </c>
      <c r="AE164" s="48">
        <v>0.25</v>
      </c>
      <c r="AF164" s="48">
        <v>0.3</v>
      </c>
      <c r="AG164" s="48">
        <v>0.3</v>
      </c>
      <c r="AH164" s="48">
        <v>0.25</v>
      </c>
      <c r="AI164" s="48">
        <v>0.25</v>
      </c>
      <c r="AJ164" s="48">
        <v>0.3</v>
      </c>
      <c r="AK164" s="48">
        <v>0.3</v>
      </c>
      <c r="AL164" s="48">
        <v>0.25</v>
      </c>
      <c r="AM164" s="48" t="s">
        <v>976</v>
      </c>
      <c r="AN164" s="48" t="s">
        <v>991</v>
      </c>
      <c r="AO164" s="48" t="s">
        <v>3468</v>
      </c>
      <c r="AP164" s="48" t="s">
        <v>3468</v>
      </c>
      <c r="AQ164" s="48" t="s">
        <v>3449</v>
      </c>
      <c r="AR164" s="48" t="s">
        <v>3449</v>
      </c>
      <c r="AS164" s="48" t="s">
        <v>39</v>
      </c>
      <c r="AT164" s="48">
        <v>0.3</v>
      </c>
      <c r="AU164" s="48">
        <v>0.3</v>
      </c>
      <c r="AV164" s="48">
        <v>0.2</v>
      </c>
      <c r="AW164" s="48">
        <v>0.3</v>
      </c>
      <c r="AX164" s="48">
        <v>0.2</v>
      </c>
      <c r="AY164" s="48">
        <v>0.3</v>
      </c>
      <c r="AZ164" s="48">
        <v>0.2</v>
      </c>
      <c r="BA164" s="48">
        <v>0.2</v>
      </c>
      <c r="BB164" s="48">
        <v>0.2</v>
      </c>
      <c r="BC164" s="48">
        <v>0.2</v>
      </c>
      <c r="BD164" s="48">
        <v>0.2</v>
      </c>
      <c r="BE164" s="48">
        <v>0.25</v>
      </c>
      <c r="BF164" s="48">
        <v>0.3</v>
      </c>
      <c r="BG164" s="48" t="s">
        <v>2971</v>
      </c>
      <c r="BH164" s="48">
        <v>0.2</v>
      </c>
      <c r="BI164" s="48">
        <v>0.3</v>
      </c>
      <c r="BJ164" s="48">
        <v>0.28000000000000003</v>
      </c>
      <c r="BK164" s="48">
        <v>0.3</v>
      </c>
      <c r="BL164" s="48">
        <v>0.3</v>
      </c>
      <c r="BM164" s="48">
        <v>0.25</v>
      </c>
      <c r="BN164" s="48">
        <v>0.25</v>
      </c>
      <c r="BO164" s="48">
        <v>0.3</v>
      </c>
    </row>
    <row r="165" spans="1:75" s="2" customFormat="1" ht="11.25" customHeight="1">
      <c r="A165" s="95" t="s">
        <v>688</v>
      </c>
      <c r="B165" s="94"/>
      <c r="C165" s="94" t="s">
        <v>3125</v>
      </c>
      <c r="D165" s="94" t="s">
        <v>3126</v>
      </c>
      <c r="E165" s="94" t="s">
        <v>1925</v>
      </c>
      <c r="F165" s="94" t="s">
        <v>1926</v>
      </c>
      <c r="G165" s="94" t="s">
        <v>3636</v>
      </c>
      <c r="H165" s="94" t="s">
        <v>2633</v>
      </c>
      <c r="I165" s="94" t="s">
        <v>2709</v>
      </c>
      <c r="J165" s="94" t="s">
        <v>2780</v>
      </c>
      <c r="K165" s="94" t="s">
        <v>2745</v>
      </c>
      <c r="L165" s="94" t="s">
        <v>2737</v>
      </c>
      <c r="M165" s="94" t="s">
        <v>2737</v>
      </c>
      <c r="N165" s="94" t="s">
        <v>1381</v>
      </c>
      <c r="O165" s="94" t="s">
        <v>2794</v>
      </c>
      <c r="P165" s="94" t="s">
        <v>1290</v>
      </c>
      <c r="Q165" s="94" t="s">
        <v>1381</v>
      </c>
      <c r="R165" s="94" t="s">
        <v>1656</v>
      </c>
      <c r="S165" s="94" t="s">
        <v>1381</v>
      </c>
      <c r="T165" s="94" t="s">
        <v>3716</v>
      </c>
      <c r="U165" s="94" t="s">
        <v>4048</v>
      </c>
      <c r="V165" s="94" t="s">
        <v>4051</v>
      </c>
      <c r="W165" s="94" t="s">
        <v>4085</v>
      </c>
      <c r="X165" s="94" t="s">
        <v>808</v>
      </c>
      <c r="Y165" s="94" t="s">
        <v>1381</v>
      </c>
      <c r="Z165" s="94" t="s">
        <v>1381</v>
      </c>
      <c r="AA165" s="94" t="s">
        <v>1381</v>
      </c>
      <c r="AB165" s="94" t="s">
        <v>4246</v>
      </c>
      <c r="AC165" s="94" t="s">
        <v>2740</v>
      </c>
      <c r="AD165" s="94" t="s">
        <v>1381</v>
      </c>
      <c r="AE165" s="94" t="s">
        <v>2369</v>
      </c>
      <c r="AF165" s="94" t="s">
        <v>2310</v>
      </c>
      <c r="AG165" s="94" t="s">
        <v>2248</v>
      </c>
      <c r="AH165" s="94" t="s">
        <v>1131</v>
      </c>
      <c r="AI165" s="94"/>
      <c r="AJ165" s="94" t="s">
        <v>2454</v>
      </c>
      <c r="AK165" s="94" t="s">
        <v>2454</v>
      </c>
      <c r="AL165" s="94" t="s">
        <v>1381</v>
      </c>
      <c r="AM165" s="94" t="s">
        <v>3315</v>
      </c>
      <c r="AN165" s="94" t="s">
        <v>3314</v>
      </c>
      <c r="AO165" s="94" t="s">
        <v>3498</v>
      </c>
      <c r="AP165" s="94" t="s">
        <v>3498</v>
      </c>
      <c r="AQ165" s="94" t="s">
        <v>3498</v>
      </c>
      <c r="AR165" s="94" t="s">
        <v>3498</v>
      </c>
      <c r="AS165" s="94"/>
      <c r="AT165" s="94"/>
      <c r="AU165" s="94"/>
      <c r="AV165" s="94" t="s">
        <v>1430</v>
      </c>
      <c r="AW165" s="94" t="s">
        <v>1430</v>
      </c>
      <c r="AX165" s="94"/>
      <c r="AY165" s="94" t="s">
        <v>2887</v>
      </c>
      <c r="AZ165" s="94" t="s">
        <v>1381</v>
      </c>
      <c r="BA165" s="94" t="s">
        <v>1381</v>
      </c>
      <c r="BB165" s="94" t="s">
        <v>1704</v>
      </c>
      <c r="BC165" s="94" t="s">
        <v>869</v>
      </c>
      <c r="BD165" s="94" t="s">
        <v>869</v>
      </c>
      <c r="BE165" s="94" t="s">
        <v>1283</v>
      </c>
      <c r="BF165" s="94" t="s">
        <v>1283</v>
      </c>
      <c r="BG165" s="94" t="s">
        <v>2959</v>
      </c>
      <c r="BH165" s="94" t="s">
        <v>3222</v>
      </c>
      <c r="BI165" s="94" t="s">
        <v>3222</v>
      </c>
      <c r="BJ165" s="94" t="s">
        <v>3400</v>
      </c>
      <c r="BK165" s="94" t="s">
        <v>2108</v>
      </c>
      <c r="BL165" s="94" t="s">
        <v>2168</v>
      </c>
      <c r="BM165" s="94" t="s">
        <v>1578</v>
      </c>
      <c r="BN165" s="94" t="s">
        <v>1578</v>
      </c>
      <c r="BO165" s="94"/>
      <c r="BR165" s="19"/>
      <c r="BS165" s="20"/>
      <c r="BT165" s="11"/>
      <c r="BU165" s="19"/>
      <c r="BV165" s="19"/>
      <c r="BW165" s="19"/>
    </row>
    <row r="166" spans="1:75" s="14" customFormat="1" ht="22.5" customHeight="1">
      <c r="A166" s="53" t="s">
        <v>10</v>
      </c>
      <c r="B166" s="48">
        <v>0.15</v>
      </c>
      <c r="C166" s="48">
        <v>0.2</v>
      </c>
      <c r="D166" s="48">
        <v>0.2</v>
      </c>
      <c r="E166" s="48">
        <v>0.2</v>
      </c>
      <c r="F166" s="48">
        <v>0.25</v>
      </c>
      <c r="G166" s="48">
        <v>0.18</v>
      </c>
      <c r="H166" s="131">
        <v>0.2</v>
      </c>
      <c r="I166" s="48">
        <v>0.2</v>
      </c>
      <c r="J166" s="48">
        <v>0.1</v>
      </c>
      <c r="K166" s="48">
        <v>0.15</v>
      </c>
      <c r="L166" s="48">
        <v>0.12</v>
      </c>
      <c r="M166" s="48">
        <v>0.12</v>
      </c>
      <c r="N166" s="48">
        <v>0.1</v>
      </c>
      <c r="O166" s="48">
        <v>0.6</v>
      </c>
      <c r="P166" s="48">
        <v>0.16</v>
      </c>
      <c r="Q166" s="48">
        <v>0.1</v>
      </c>
      <c r="R166" s="48">
        <v>0.1</v>
      </c>
      <c r="S166" s="48">
        <v>0.1</v>
      </c>
      <c r="T166" s="48">
        <v>0.2</v>
      </c>
      <c r="U166" s="131">
        <v>0.16</v>
      </c>
      <c r="V166" s="131">
        <v>0.16</v>
      </c>
      <c r="W166" s="131">
        <v>0.2</v>
      </c>
      <c r="X166" s="48">
        <v>0.2</v>
      </c>
      <c r="Y166" s="48" t="s">
        <v>3992</v>
      </c>
      <c r="Z166" s="48" t="s">
        <v>3992</v>
      </c>
      <c r="AA166" s="48" t="s">
        <v>3992</v>
      </c>
      <c r="AB166" s="48" t="s">
        <v>4252</v>
      </c>
      <c r="AC166" s="48">
        <v>0.2</v>
      </c>
      <c r="AD166" s="48">
        <v>0.1</v>
      </c>
      <c r="AE166" s="48">
        <v>0.16</v>
      </c>
      <c r="AF166" s="48">
        <v>0.2</v>
      </c>
      <c r="AG166" s="48">
        <v>0.2</v>
      </c>
      <c r="AH166" s="48">
        <v>0.15</v>
      </c>
      <c r="AI166" s="48">
        <v>0.15</v>
      </c>
      <c r="AJ166" s="48">
        <v>0.2</v>
      </c>
      <c r="AK166" s="48">
        <v>0.2</v>
      </c>
      <c r="AL166" s="48">
        <v>0.15</v>
      </c>
      <c r="AM166" s="48" t="s">
        <v>977</v>
      </c>
      <c r="AN166" s="48" t="s">
        <v>992</v>
      </c>
      <c r="AO166" s="48" t="s">
        <v>3469</v>
      </c>
      <c r="AP166" s="48" t="s">
        <v>3469</v>
      </c>
      <c r="AQ166" s="48" t="s">
        <v>3450</v>
      </c>
      <c r="AR166" s="48" t="s">
        <v>3450</v>
      </c>
      <c r="AS166" s="48" t="s">
        <v>39</v>
      </c>
      <c r="AT166" s="48">
        <v>0.3</v>
      </c>
      <c r="AU166" s="48">
        <v>0.3</v>
      </c>
      <c r="AV166" s="48">
        <v>0.1</v>
      </c>
      <c r="AW166" s="48">
        <v>0.2</v>
      </c>
      <c r="AX166" s="48">
        <v>0.1</v>
      </c>
      <c r="AY166" s="48">
        <v>0.2</v>
      </c>
      <c r="AZ166" s="48">
        <v>0.1</v>
      </c>
      <c r="BA166" s="48">
        <v>0.1</v>
      </c>
      <c r="BB166" s="48">
        <v>0.1</v>
      </c>
      <c r="BC166" s="48">
        <v>0.1</v>
      </c>
      <c r="BD166" s="48">
        <v>0.1</v>
      </c>
      <c r="BE166" s="48">
        <v>0.15</v>
      </c>
      <c r="BF166" s="48">
        <v>0.2</v>
      </c>
      <c r="BG166" s="48" t="s">
        <v>2970</v>
      </c>
      <c r="BH166" s="48">
        <v>0.1</v>
      </c>
      <c r="BI166" s="48">
        <v>0.2</v>
      </c>
      <c r="BJ166" s="48">
        <v>0.18</v>
      </c>
      <c r="BK166" s="48">
        <v>0.2</v>
      </c>
      <c r="BL166" s="48">
        <v>0.2</v>
      </c>
      <c r="BM166" s="48">
        <v>0.15</v>
      </c>
      <c r="BN166" s="48">
        <v>0.15</v>
      </c>
      <c r="BO166" s="48">
        <v>0.16</v>
      </c>
    </row>
    <row r="167" spans="1:75" s="2" customFormat="1" ht="11.25" customHeight="1">
      <c r="A167" s="95" t="s">
        <v>688</v>
      </c>
      <c r="B167" s="94"/>
      <c r="C167" s="94" t="s">
        <v>3125</v>
      </c>
      <c r="D167" s="94" t="s">
        <v>3126</v>
      </c>
      <c r="E167" s="94" t="s">
        <v>1925</v>
      </c>
      <c r="F167" s="94" t="s">
        <v>1926</v>
      </c>
      <c r="G167" s="94" t="s">
        <v>3636</v>
      </c>
      <c r="H167" s="94" t="s">
        <v>2633</v>
      </c>
      <c r="I167" s="94" t="s">
        <v>2709</v>
      </c>
      <c r="J167" s="94" t="s">
        <v>2780</v>
      </c>
      <c r="K167" s="94" t="s">
        <v>2745</v>
      </c>
      <c r="L167" s="94" t="s">
        <v>2737</v>
      </c>
      <c r="M167" s="94" t="s">
        <v>2737</v>
      </c>
      <c r="N167" s="94" t="s">
        <v>1381</v>
      </c>
      <c r="O167" s="94" t="s">
        <v>2794</v>
      </c>
      <c r="P167" s="94" t="s">
        <v>1290</v>
      </c>
      <c r="Q167" s="94" t="s">
        <v>1381</v>
      </c>
      <c r="R167" s="94" t="s">
        <v>1656</v>
      </c>
      <c r="S167" s="94" t="s">
        <v>1381</v>
      </c>
      <c r="T167" s="94" t="s">
        <v>3716</v>
      </c>
      <c r="U167" s="94" t="s">
        <v>4048</v>
      </c>
      <c r="V167" s="94" t="s">
        <v>4051</v>
      </c>
      <c r="W167" s="94" t="s">
        <v>4085</v>
      </c>
      <c r="X167" s="94" t="s">
        <v>808</v>
      </c>
      <c r="Y167" s="94" t="s">
        <v>1381</v>
      </c>
      <c r="Z167" s="94" t="s">
        <v>1381</v>
      </c>
      <c r="AA167" s="94" t="s">
        <v>1381</v>
      </c>
      <c r="AB167" s="94" t="s">
        <v>4246</v>
      </c>
      <c r="AC167" s="94" t="s">
        <v>2740</v>
      </c>
      <c r="AD167" s="94" t="s">
        <v>1381</v>
      </c>
      <c r="AE167" s="94" t="s">
        <v>2369</v>
      </c>
      <c r="AF167" s="94" t="s">
        <v>2310</v>
      </c>
      <c r="AG167" s="94" t="s">
        <v>2248</v>
      </c>
      <c r="AH167" s="94" t="s">
        <v>1131</v>
      </c>
      <c r="AI167" s="94"/>
      <c r="AJ167" s="94" t="s">
        <v>2454</v>
      </c>
      <c r="AK167" s="94" t="s">
        <v>2454</v>
      </c>
      <c r="AL167" s="94" t="s">
        <v>1381</v>
      </c>
      <c r="AM167" s="94" t="s">
        <v>3315</v>
      </c>
      <c r="AN167" s="94" t="s">
        <v>3314</v>
      </c>
      <c r="AO167" s="94" t="s">
        <v>3498</v>
      </c>
      <c r="AP167" s="94" t="s">
        <v>3498</v>
      </c>
      <c r="AQ167" s="94" t="s">
        <v>3498</v>
      </c>
      <c r="AR167" s="94" t="s">
        <v>3498</v>
      </c>
      <c r="AS167" s="94"/>
      <c r="AT167" s="94"/>
      <c r="AU167" s="94"/>
      <c r="AV167" s="94" t="s">
        <v>1430</v>
      </c>
      <c r="AW167" s="94" t="s">
        <v>1430</v>
      </c>
      <c r="AX167" s="94"/>
      <c r="AY167" s="94" t="s">
        <v>2887</v>
      </c>
      <c r="AZ167" s="94" t="s">
        <v>1381</v>
      </c>
      <c r="BA167" s="94" t="s">
        <v>1381</v>
      </c>
      <c r="BB167" s="94" t="s">
        <v>1704</v>
      </c>
      <c r="BC167" s="94" t="s">
        <v>869</v>
      </c>
      <c r="BD167" s="94" t="s">
        <v>869</v>
      </c>
      <c r="BE167" s="94" t="s">
        <v>1283</v>
      </c>
      <c r="BF167" s="94" t="s">
        <v>1283</v>
      </c>
      <c r="BG167" s="94" t="s">
        <v>2959</v>
      </c>
      <c r="BH167" s="94" t="s">
        <v>3222</v>
      </c>
      <c r="BI167" s="94" t="s">
        <v>3222</v>
      </c>
      <c r="BJ167" s="94" t="s">
        <v>3400</v>
      </c>
      <c r="BK167" s="94" t="s">
        <v>2108</v>
      </c>
      <c r="BL167" s="94" t="s">
        <v>2168</v>
      </c>
      <c r="BM167" s="94" t="s">
        <v>1578</v>
      </c>
      <c r="BN167" s="94" t="s">
        <v>1578</v>
      </c>
      <c r="BO167" s="94"/>
      <c r="BR167" s="19"/>
      <c r="BS167" s="20"/>
      <c r="BT167" s="11"/>
      <c r="BU167" s="19"/>
      <c r="BV167" s="19"/>
      <c r="BW167" s="19"/>
    </row>
    <row r="168" spans="1:75" s="14" customFormat="1" ht="22.5" customHeight="1">
      <c r="A168" s="53" t="s">
        <v>11</v>
      </c>
      <c r="B168" s="48">
        <v>0.05</v>
      </c>
      <c r="C168" s="48" t="s">
        <v>3128</v>
      </c>
      <c r="D168" s="48" t="s">
        <v>3128</v>
      </c>
      <c r="E168" s="48">
        <v>0.1</v>
      </c>
      <c r="F168" s="48">
        <v>0.15</v>
      </c>
      <c r="G168" s="48" t="s">
        <v>635</v>
      </c>
      <c r="H168" s="131">
        <v>0.1</v>
      </c>
      <c r="I168" s="48">
        <v>0.1</v>
      </c>
      <c r="J168" s="48">
        <v>0.05</v>
      </c>
      <c r="K168" s="48">
        <v>0.1</v>
      </c>
      <c r="L168" s="48">
        <v>0.06</v>
      </c>
      <c r="M168" s="48">
        <v>0.06</v>
      </c>
      <c r="N168" s="48">
        <v>0.05</v>
      </c>
      <c r="O168" s="48">
        <v>0.2</v>
      </c>
      <c r="P168" s="48">
        <v>0.1</v>
      </c>
      <c r="Q168" s="48">
        <v>0.05</v>
      </c>
      <c r="R168" s="48">
        <v>0.05</v>
      </c>
      <c r="S168" s="48">
        <v>0.05</v>
      </c>
      <c r="T168" s="48">
        <v>0.15</v>
      </c>
      <c r="U168" s="131">
        <v>0.1</v>
      </c>
      <c r="V168" s="131">
        <v>0.1</v>
      </c>
      <c r="W168" s="131">
        <v>0.1</v>
      </c>
      <c r="X168" s="48">
        <v>0.1</v>
      </c>
      <c r="Y168" s="48" t="s">
        <v>3993</v>
      </c>
      <c r="Z168" s="48" t="s">
        <v>3993</v>
      </c>
      <c r="AA168" s="48" t="s">
        <v>3993</v>
      </c>
      <c r="AB168" s="48" t="s">
        <v>4253</v>
      </c>
      <c r="AC168" s="48">
        <v>0.1</v>
      </c>
      <c r="AD168" s="48">
        <v>0.05</v>
      </c>
      <c r="AE168" s="48">
        <v>0.1</v>
      </c>
      <c r="AF168" s="48">
        <v>0.1</v>
      </c>
      <c r="AG168" s="48">
        <v>0.1</v>
      </c>
      <c r="AH168" s="48">
        <v>0.1</v>
      </c>
      <c r="AI168" s="48">
        <v>0.1</v>
      </c>
      <c r="AJ168" s="48">
        <v>0.1</v>
      </c>
      <c r="AK168" s="48">
        <v>0.1</v>
      </c>
      <c r="AL168" s="48">
        <v>0.1</v>
      </c>
      <c r="AM168" s="48" t="s">
        <v>978</v>
      </c>
      <c r="AN168" s="48" t="s">
        <v>993</v>
      </c>
      <c r="AO168" s="48" t="s">
        <v>3470</v>
      </c>
      <c r="AP168" s="48" t="s">
        <v>3470</v>
      </c>
      <c r="AQ168" s="48" t="s">
        <v>3451</v>
      </c>
      <c r="AR168" s="48" t="s">
        <v>3451</v>
      </c>
      <c r="AS168" s="48" t="s">
        <v>39</v>
      </c>
      <c r="AT168" s="48">
        <v>0.15</v>
      </c>
      <c r="AU168" s="48">
        <v>0.15</v>
      </c>
      <c r="AV168" s="48">
        <v>0.05</v>
      </c>
      <c r="AW168" s="48">
        <v>0.15</v>
      </c>
      <c r="AX168" s="48">
        <v>0.05</v>
      </c>
      <c r="AY168" s="48">
        <v>0.1</v>
      </c>
      <c r="AZ168" s="48">
        <v>0.05</v>
      </c>
      <c r="BA168" s="48">
        <v>0.05</v>
      </c>
      <c r="BB168" s="48">
        <v>0.05</v>
      </c>
      <c r="BC168" s="48">
        <v>0.05</v>
      </c>
      <c r="BD168" s="48">
        <v>0.05</v>
      </c>
      <c r="BE168" s="48">
        <v>0.1</v>
      </c>
      <c r="BF168" s="48">
        <v>0.1</v>
      </c>
      <c r="BG168" s="48" t="s">
        <v>2969</v>
      </c>
      <c r="BH168" s="48">
        <v>0.05</v>
      </c>
      <c r="BI168" s="48">
        <v>0.1</v>
      </c>
      <c r="BJ168" s="48" t="s">
        <v>3399</v>
      </c>
      <c r="BK168" s="48">
        <v>0.12</v>
      </c>
      <c r="BL168" s="48">
        <v>0.15</v>
      </c>
      <c r="BM168" s="48">
        <v>0.1</v>
      </c>
      <c r="BN168" s="48">
        <v>0.1</v>
      </c>
      <c r="BO168" s="48">
        <v>0.1</v>
      </c>
    </row>
    <row r="169" spans="1:75" s="2" customFormat="1" ht="11.25" customHeight="1">
      <c r="A169" s="95" t="s">
        <v>688</v>
      </c>
      <c r="B169" s="94"/>
      <c r="C169" s="94" t="s">
        <v>3125</v>
      </c>
      <c r="D169" s="94" t="s">
        <v>3126</v>
      </c>
      <c r="E169" s="94" t="s">
        <v>1925</v>
      </c>
      <c r="F169" s="94" t="s">
        <v>1926</v>
      </c>
      <c r="G169" s="94" t="s">
        <v>3636</v>
      </c>
      <c r="H169" s="94" t="s">
        <v>2633</v>
      </c>
      <c r="I169" s="94" t="s">
        <v>2709</v>
      </c>
      <c r="J169" s="94" t="s">
        <v>2780</v>
      </c>
      <c r="K169" s="94" t="s">
        <v>2745</v>
      </c>
      <c r="L169" s="94" t="s">
        <v>2737</v>
      </c>
      <c r="M169" s="94" t="s">
        <v>2737</v>
      </c>
      <c r="N169" s="94" t="s">
        <v>1381</v>
      </c>
      <c r="O169" s="94" t="s">
        <v>2794</v>
      </c>
      <c r="P169" s="94" t="s">
        <v>1290</v>
      </c>
      <c r="Q169" s="94" t="s">
        <v>1381</v>
      </c>
      <c r="R169" s="94" t="s">
        <v>1656</v>
      </c>
      <c r="S169" s="94" t="s">
        <v>1381</v>
      </c>
      <c r="T169" s="94" t="s">
        <v>3716</v>
      </c>
      <c r="U169" s="94" t="s">
        <v>4048</v>
      </c>
      <c r="V169" s="94" t="s">
        <v>4051</v>
      </c>
      <c r="W169" s="94" t="s">
        <v>4085</v>
      </c>
      <c r="X169" s="94" t="s">
        <v>808</v>
      </c>
      <c r="Y169" s="94" t="s">
        <v>1381</v>
      </c>
      <c r="Z169" s="94" t="s">
        <v>1381</v>
      </c>
      <c r="AA169" s="94" t="s">
        <v>1381</v>
      </c>
      <c r="AB169" s="94" t="s">
        <v>4246</v>
      </c>
      <c r="AC169" s="94" t="s">
        <v>2740</v>
      </c>
      <c r="AD169" s="94" t="s">
        <v>1381</v>
      </c>
      <c r="AE169" s="94" t="s">
        <v>2369</v>
      </c>
      <c r="AF169" s="94" t="s">
        <v>2310</v>
      </c>
      <c r="AG169" s="94" t="s">
        <v>2248</v>
      </c>
      <c r="AH169" s="94" t="s">
        <v>1131</v>
      </c>
      <c r="AI169" s="94"/>
      <c r="AJ169" s="94" t="s">
        <v>2454</v>
      </c>
      <c r="AK169" s="94" t="s">
        <v>2454</v>
      </c>
      <c r="AL169" s="94" t="s">
        <v>1381</v>
      </c>
      <c r="AM169" s="94" t="s">
        <v>3315</v>
      </c>
      <c r="AN169" s="94" t="s">
        <v>3314</v>
      </c>
      <c r="AO169" s="94" t="s">
        <v>3498</v>
      </c>
      <c r="AP169" s="94" t="s">
        <v>3498</v>
      </c>
      <c r="AQ169" s="94" t="s">
        <v>3498</v>
      </c>
      <c r="AR169" s="94" t="s">
        <v>3498</v>
      </c>
      <c r="AS169" s="94"/>
      <c r="AT169" s="94"/>
      <c r="AU169" s="94"/>
      <c r="AV169" s="94" t="s">
        <v>1430</v>
      </c>
      <c r="AW169" s="94" t="s">
        <v>1430</v>
      </c>
      <c r="AX169" s="94"/>
      <c r="AY169" s="94" t="s">
        <v>2887</v>
      </c>
      <c r="AZ169" s="94" t="s">
        <v>1381</v>
      </c>
      <c r="BA169" s="94" t="s">
        <v>1381</v>
      </c>
      <c r="BB169" s="94" t="s">
        <v>1704</v>
      </c>
      <c r="BC169" s="94" t="s">
        <v>869</v>
      </c>
      <c r="BD169" s="94" t="s">
        <v>869</v>
      </c>
      <c r="BE169" s="94" t="s">
        <v>1283</v>
      </c>
      <c r="BF169" s="94" t="s">
        <v>1283</v>
      </c>
      <c r="BG169" s="94" t="s">
        <v>2959</v>
      </c>
      <c r="BH169" s="94" t="s">
        <v>3222</v>
      </c>
      <c r="BI169" s="94" t="s">
        <v>3222</v>
      </c>
      <c r="BJ169" s="94" t="s">
        <v>3400</v>
      </c>
      <c r="BK169" s="94" t="s">
        <v>2108</v>
      </c>
      <c r="BL169" s="94" t="s">
        <v>2168</v>
      </c>
      <c r="BM169" s="94" t="s">
        <v>1578</v>
      </c>
      <c r="BN169" s="94" t="s">
        <v>1578</v>
      </c>
      <c r="BO169" s="94"/>
      <c r="BR169" s="19"/>
      <c r="BS169" s="20"/>
      <c r="BT169" s="11"/>
      <c r="BU169" s="19"/>
      <c r="BV169" s="19"/>
      <c r="BW169" s="19"/>
    </row>
    <row r="170" spans="1:75" s="14" customFormat="1" ht="22.5" customHeight="1">
      <c r="A170" s="53" t="s">
        <v>29</v>
      </c>
      <c r="B170" s="48" t="s">
        <v>39</v>
      </c>
      <c r="C170" s="48" t="s">
        <v>39</v>
      </c>
      <c r="D170" s="48" t="s">
        <v>39</v>
      </c>
      <c r="E170" s="48">
        <v>0.65</v>
      </c>
      <c r="F170" s="48">
        <v>0.7</v>
      </c>
      <c r="G170" s="48" t="s">
        <v>39</v>
      </c>
      <c r="H170" s="131" t="s">
        <v>39</v>
      </c>
      <c r="I170" s="48">
        <v>0.7</v>
      </c>
      <c r="J170" s="48" t="s">
        <v>39</v>
      </c>
      <c r="K170" s="48" t="s">
        <v>39</v>
      </c>
      <c r="L170" s="48" t="s">
        <v>39</v>
      </c>
      <c r="M170" s="48" t="s">
        <v>39</v>
      </c>
      <c r="N170" s="48" t="s">
        <v>39</v>
      </c>
      <c r="O170" s="48" t="s">
        <v>39</v>
      </c>
      <c r="P170" s="48">
        <v>0.6</v>
      </c>
      <c r="Q170" s="48" t="s">
        <v>39</v>
      </c>
      <c r="R170" s="48" t="s">
        <v>39</v>
      </c>
      <c r="S170" s="48" t="s">
        <v>39</v>
      </c>
      <c r="T170" s="48">
        <v>0.7</v>
      </c>
      <c r="U170" s="131" t="s">
        <v>39</v>
      </c>
      <c r="V170" s="131">
        <v>0.7</v>
      </c>
      <c r="W170" s="131">
        <v>0.7</v>
      </c>
      <c r="X170" s="48" t="s">
        <v>39</v>
      </c>
      <c r="Y170" s="48" t="s">
        <v>3990</v>
      </c>
      <c r="Z170" s="48" t="s">
        <v>3990</v>
      </c>
      <c r="AA170" s="48" t="s">
        <v>3990</v>
      </c>
      <c r="AB170" s="48" t="s">
        <v>4209</v>
      </c>
      <c r="AC170" s="48">
        <v>0.7</v>
      </c>
      <c r="AD170" s="48" t="s">
        <v>39</v>
      </c>
      <c r="AE170" s="48" t="s">
        <v>39</v>
      </c>
      <c r="AF170" s="48" t="s">
        <v>39</v>
      </c>
      <c r="AG170" s="48" t="s">
        <v>39</v>
      </c>
      <c r="AH170" s="48">
        <v>0.55000000000000004</v>
      </c>
      <c r="AI170" s="48" t="s">
        <v>39</v>
      </c>
      <c r="AJ170" s="48">
        <v>0.75</v>
      </c>
      <c r="AK170" s="48">
        <v>0.75</v>
      </c>
      <c r="AL170" s="48">
        <v>0.6</v>
      </c>
      <c r="AM170" s="48" t="s">
        <v>39</v>
      </c>
      <c r="AN170" s="48" t="s">
        <v>39</v>
      </c>
      <c r="AO170" s="48" t="s">
        <v>3471</v>
      </c>
      <c r="AP170" s="48" t="s">
        <v>3471</v>
      </c>
      <c r="AQ170" s="48" t="s">
        <v>3448</v>
      </c>
      <c r="AR170" s="48" t="s">
        <v>3448</v>
      </c>
      <c r="AS170" s="48" t="s">
        <v>39</v>
      </c>
      <c r="AT170" s="48" t="s">
        <v>39</v>
      </c>
      <c r="AU170" s="48" t="s">
        <v>39</v>
      </c>
      <c r="AV170" s="48" t="s">
        <v>39</v>
      </c>
      <c r="AW170" s="48" t="s">
        <v>39</v>
      </c>
      <c r="AX170" s="48" t="s">
        <v>39</v>
      </c>
      <c r="AY170" s="48" t="s">
        <v>39</v>
      </c>
      <c r="AZ170" s="48" t="s">
        <v>39</v>
      </c>
      <c r="BA170" s="48" t="s">
        <v>39</v>
      </c>
      <c r="BB170" s="48" t="s">
        <v>39</v>
      </c>
      <c r="BC170" s="48" t="s">
        <v>39</v>
      </c>
      <c r="BD170" s="48" t="s">
        <v>39</v>
      </c>
      <c r="BE170" s="48">
        <v>0.6</v>
      </c>
      <c r="BF170" s="48">
        <v>0.7</v>
      </c>
      <c r="BG170" s="88" t="s">
        <v>2968</v>
      </c>
      <c r="BH170" s="88">
        <v>0.45</v>
      </c>
      <c r="BI170" s="88">
        <v>0.75</v>
      </c>
      <c r="BJ170" s="48">
        <v>0.7</v>
      </c>
      <c r="BK170" s="48">
        <v>0.75</v>
      </c>
      <c r="BL170" s="48" t="s">
        <v>39</v>
      </c>
      <c r="BM170" s="48" t="s">
        <v>39</v>
      </c>
      <c r="BN170" s="48" t="s">
        <v>39</v>
      </c>
      <c r="BO170" s="48">
        <v>0.7</v>
      </c>
    </row>
    <row r="171" spans="1:75" s="2" customFormat="1" ht="11.25" customHeight="1">
      <c r="A171" s="95" t="s">
        <v>688</v>
      </c>
      <c r="B171" s="94"/>
      <c r="C171" s="94" t="s">
        <v>39</v>
      </c>
      <c r="D171" s="94" t="s">
        <v>39</v>
      </c>
      <c r="E171" s="94" t="s">
        <v>1925</v>
      </c>
      <c r="F171" s="94" t="s">
        <v>1926</v>
      </c>
      <c r="G171" s="94" t="s">
        <v>39</v>
      </c>
      <c r="H171" s="94" t="s">
        <v>39</v>
      </c>
      <c r="I171" s="94" t="s">
        <v>2709</v>
      </c>
      <c r="J171" s="94" t="s">
        <v>39</v>
      </c>
      <c r="K171" s="94" t="s">
        <v>39</v>
      </c>
      <c r="L171" s="94" t="s">
        <v>39</v>
      </c>
      <c r="M171" s="94" t="s">
        <v>39</v>
      </c>
      <c r="N171" s="94" t="s">
        <v>39</v>
      </c>
      <c r="O171" s="94" t="s">
        <v>39</v>
      </c>
      <c r="P171" s="94" t="s">
        <v>1290</v>
      </c>
      <c r="Q171" s="94" t="s">
        <v>39</v>
      </c>
      <c r="R171" s="94" t="s">
        <v>39</v>
      </c>
      <c r="S171" s="94" t="s">
        <v>39</v>
      </c>
      <c r="T171" s="94" t="s">
        <v>3716</v>
      </c>
      <c r="U171" s="94" t="s">
        <v>39</v>
      </c>
      <c r="V171" s="94" t="s">
        <v>4051</v>
      </c>
      <c r="W171" s="94" t="s">
        <v>4085</v>
      </c>
      <c r="X171" s="94" t="s">
        <v>39</v>
      </c>
      <c r="Y171" s="94" t="s">
        <v>1381</v>
      </c>
      <c r="Z171" s="94" t="s">
        <v>1381</v>
      </c>
      <c r="AA171" s="94" t="s">
        <v>1381</v>
      </c>
      <c r="AB171" s="94"/>
      <c r="AC171" s="94" t="s">
        <v>2740</v>
      </c>
      <c r="AD171" s="94" t="s">
        <v>39</v>
      </c>
      <c r="AE171" s="94" t="s">
        <v>39</v>
      </c>
      <c r="AF171" s="94" t="s">
        <v>39</v>
      </c>
      <c r="AG171" s="94" t="s">
        <v>39</v>
      </c>
      <c r="AH171" s="94" t="s">
        <v>1131</v>
      </c>
      <c r="AI171" s="94"/>
      <c r="AJ171" s="94" t="s">
        <v>2454</v>
      </c>
      <c r="AK171" s="94" t="s">
        <v>2454</v>
      </c>
      <c r="AL171" s="94" t="s">
        <v>1381</v>
      </c>
      <c r="AM171" s="94" t="s">
        <v>39</v>
      </c>
      <c r="AN171" s="94" t="s">
        <v>39</v>
      </c>
      <c r="AO171" s="94" t="s">
        <v>3498</v>
      </c>
      <c r="AP171" s="94" t="s">
        <v>3498</v>
      </c>
      <c r="AQ171" s="94" t="s">
        <v>3498</v>
      </c>
      <c r="AR171" s="94" t="s">
        <v>3498</v>
      </c>
      <c r="AS171" s="94"/>
      <c r="AT171" s="94"/>
      <c r="AU171" s="94"/>
      <c r="AV171" s="94" t="s">
        <v>39</v>
      </c>
      <c r="AW171" s="94" t="s">
        <v>39</v>
      </c>
      <c r="AX171" s="94"/>
      <c r="AY171" s="94" t="s">
        <v>39</v>
      </c>
      <c r="AZ171" s="94" t="s">
        <v>39</v>
      </c>
      <c r="BA171" s="94" t="s">
        <v>39</v>
      </c>
      <c r="BB171" s="94" t="s">
        <v>39</v>
      </c>
      <c r="BC171" s="94" t="s">
        <v>39</v>
      </c>
      <c r="BD171" s="94" t="s">
        <v>39</v>
      </c>
      <c r="BE171" s="94" t="s">
        <v>1283</v>
      </c>
      <c r="BF171" s="94" t="s">
        <v>1283</v>
      </c>
      <c r="BG171" s="94" t="s">
        <v>2959</v>
      </c>
      <c r="BH171" s="94" t="s">
        <v>3222</v>
      </c>
      <c r="BI171" s="94" t="s">
        <v>3222</v>
      </c>
      <c r="BJ171" s="94" t="s">
        <v>3400</v>
      </c>
      <c r="BK171" s="94" t="s">
        <v>2108</v>
      </c>
      <c r="BL171" s="94" t="s">
        <v>39</v>
      </c>
      <c r="BM171" s="94" t="s">
        <v>39</v>
      </c>
      <c r="BN171" s="94" t="s">
        <v>39</v>
      </c>
      <c r="BO171" s="94"/>
      <c r="BR171" s="19"/>
      <c r="BS171" s="20"/>
      <c r="BT171" s="11"/>
      <c r="BU171" s="19"/>
      <c r="BV171" s="19"/>
      <c r="BW171" s="19"/>
    </row>
    <row r="172" spans="1:75" s="14" customFormat="1" ht="22.5" customHeight="1">
      <c r="A172" s="53" t="s">
        <v>12</v>
      </c>
      <c r="B172" s="48">
        <v>0.75</v>
      </c>
      <c r="C172" s="48" t="s">
        <v>3127</v>
      </c>
      <c r="D172" s="48" t="s">
        <v>3127</v>
      </c>
      <c r="E172" s="48">
        <v>0.8</v>
      </c>
      <c r="F172" s="48">
        <v>0.85</v>
      </c>
      <c r="G172" s="48">
        <v>0.8</v>
      </c>
      <c r="H172" s="131">
        <v>0.75</v>
      </c>
      <c r="I172" s="48" t="s">
        <v>2714</v>
      </c>
      <c r="J172" s="48">
        <v>0.7</v>
      </c>
      <c r="K172" s="48">
        <v>0.8</v>
      </c>
      <c r="L172" s="48">
        <v>0.7</v>
      </c>
      <c r="M172" s="48">
        <v>0.7</v>
      </c>
      <c r="N172" s="48">
        <v>0.7</v>
      </c>
      <c r="O172" s="48">
        <v>0.7</v>
      </c>
      <c r="P172" s="48">
        <v>0.7</v>
      </c>
      <c r="Q172" s="48">
        <v>0.7</v>
      </c>
      <c r="R172" s="48">
        <v>0.7</v>
      </c>
      <c r="S172" s="48">
        <v>0.7</v>
      </c>
      <c r="T172" s="48">
        <v>0.8</v>
      </c>
      <c r="U172" s="131">
        <v>0.7</v>
      </c>
      <c r="V172" s="131">
        <v>0.75</v>
      </c>
      <c r="W172" s="131">
        <v>0.8</v>
      </c>
      <c r="X172" s="48">
        <v>0.8</v>
      </c>
      <c r="Y172" s="48" t="s">
        <v>3987</v>
      </c>
      <c r="Z172" s="48" t="s">
        <v>3987</v>
      </c>
      <c r="AA172" s="48" t="s">
        <v>3987</v>
      </c>
      <c r="AB172" s="48" t="s">
        <v>4247</v>
      </c>
      <c r="AC172" s="48">
        <v>0.8</v>
      </c>
      <c r="AD172" s="48">
        <v>0.7</v>
      </c>
      <c r="AE172" s="48">
        <v>0.7</v>
      </c>
      <c r="AF172" s="48">
        <v>0.8</v>
      </c>
      <c r="AG172" s="48">
        <v>0.8</v>
      </c>
      <c r="AH172" s="48">
        <v>0.8</v>
      </c>
      <c r="AI172" s="48">
        <v>0.75</v>
      </c>
      <c r="AJ172" s="48">
        <v>0.8</v>
      </c>
      <c r="AK172" s="48">
        <v>0.8</v>
      </c>
      <c r="AL172" s="48">
        <v>0.75</v>
      </c>
      <c r="AM172" s="48" t="s">
        <v>974</v>
      </c>
      <c r="AN172" s="48" t="s">
        <v>989</v>
      </c>
      <c r="AO172" s="48" t="s">
        <v>3465</v>
      </c>
      <c r="AP172" s="48" t="s">
        <v>3465</v>
      </c>
      <c r="AQ172" s="48" t="s">
        <v>3448</v>
      </c>
      <c r="AR172" s="48" t="s">
        <v>3448</v>
      </c>
      <c r="AS172" s="48" t="s">
        <v>39</v>
      </c>
      <c r="AT172" s="48">
        <v>0.8</v>
      </c>
      <c r="AU172" s="48">
        <v>0.8</v>
      </c>
      <c r="AV172" s="48">
        <v>0.7</v>
      </c>
      <c r="AW172" s="48">
        <v>0.85</v>
      </c>
      <c r="AX172" s="48">
        <v>0.7</v>
      </c>
      <c r="AY172" s="48">
        <v>0.9</v>
      </c>
      <c r="AZ172" s="48">
        <v>0.7</v>
      </c>
      <c r="BA172" s="48">
        <v>0.7</v>
      </c>
      <c r="BB172" s="48">
        <v>0.7</v>
      </c>
      <c r="BC172" s="48">
        <v>0.7</v>
      </c>
      <c r="BD172" s="48">
        <v>0.7</v>
      </c>
      <c r="BE172" s="48">
        <v>0.75</v>
      </c>
      <c r="BF172" s="48">
        <v>0.8</v>
      </c>
      <c r="BG172" s="48" t="s">
        <v>2991</v>
      </c>
      <c r="BH172" s="48">
        <v>0.7</v>
      </c>
      <c r="BI172" s="48">
        <v>0.75</v>
      </c>
      <c r="BJ172" s="48">
        <v>0.8</v>
      </c>
      <c r="BK172" s="48">
        <v>0.8</v>
      </c>
      <c r="BL172" s="48">
        <v>0.8</v>
      </c>
      <c r="BM172" s="48">
        <v>0.8</v>
      </c>
      <c r="BN172" s="48">
        <v>0.8</v>
      </c>
      <c r="BO172" s="48">
        <v>0.7</v>
      </c>
    </row>
    <row r="173" spans="1:75" s="2" customFormat="1" ht="11.25" customHeight="1">
      <c r="A173" s="95" t="s">
        <v>688</v>
      </c>
      <c r="B173" s="94"/>
      <c r="C173" s="94" t="s">
        <v>3125</v>
      </c>
      <c r="D173" s="94" t="s">
        <v>3126</v>
      </c>
      <c r="E173" s="94" t="s">
        <v>1925</v>
      </c>
      <c r="F173" s="94" t="s">
        <v>1926</v>
      </c>
      <c r="G173" s="94" t="s">
        <v>3636</v>
      </c>
      <c r="H173" s="94" t="s">
        <v>2633</v>
      </c>
      <c r="I173" s="94" t="s">
        <v>2709</v>
      </c>
      <c r="J173" s="94" t="s">
        <v>2780</v>
      </c>
      <c r="K173" s="94" t="s">
        <v>2745</v>
      </c>
      <c r="L173" s="94" t="s">
        <v>2737</v>
      </c>
      <c r="M173" s="94" t="s">
        <v>2737</v>
      </c>
      <c r="N173" s="94" t="s">
        <v>1381</v>
      </c>
      <c r="O173" s="94" t="s">
        <v>2795</v>
      </c>
      <c r="P173" s="94" t="s">
        <v>1290</v>
      </c>
      <c r="Q173" s="94" t="s">
        <v>1381</v>
      </c>
      <c r="R173" s="94" t="s">
        <v>1656</v>
      </c>
      <c r="S173" s="94" t="s">
        <v>1381</v>
      </c>
      <c r="T173" s="94" t="s">
        <v>3716</v>
      </c>
      <c r="U173" s="94" t="s">
        <v>4048</v>
      </c>
      <c r="V173" s="94" t="s">
        <v>4051</v>
      </c>
      <c r="W173" s="94" t="s">
        <v>4085</v>
      </c>
      <c r="X173" s="94" t="s">
        <v>808</v>
      </c>
      <c r="Y173" s="94" t="s">
        <v>1381</v>
      </c>
      <c r="Z173" s="94" t="s">
        <v>1381</v>
      </c>
      <c r="AA173" s="94" t="s">
        <v>1381</v>
      </c>
      <c r="AB173" s="94" t="s">
        <v>4246</v>
      </c>
      <c r="AC173" s="94" t="s">
        <v>2740</v>
      </c>
      <c r="AD173" s="94" t="s">
        <v>1381</v>
      </c>
      <c r="AE173" s="94" t="s">
        <v>2369</v>
      </c>
      <c r="AF173" s="94" t="s">
        <v>2310</v>
      </c>
      <c r="AG173" s="94" t="s">
        <v>2248</v>
      </c>
      <c r="AH173" s="94" t="s">
        <v>1131</v>
      </c>
      <c r="AI173" s="94"/>
      <c r="AJ173" s="94" t="s">
        <v>2454</v>
      </c>
      <c r="AK173" s="94" t="s">
        <v>2454</v>
      </c>
      <c r="AL173" s="94" t="s">
        <v>1381</v>
      </c>
      <c r="AM173" s="94" t="s">
        <v>3315</v>
      </c>
      <c r="AN173" s="94" t="s">
        <v>3314</v>
      </c>
      <c r="AO173" s="94" t="s">
        <v>3498</v>
      </c>
      <c r="AP173" s="94" t="s">
        <v>3498</v>
      </c>
      <c r="AQ173" s="94" t="s">
        <v>3498</v>
      </c>
      <c r="AR173" s="94" t="s">
        <v>3498</v>
      </c>
      <c r="AS173" s="94"/>
      <c r="AT173" s="94"/>
      <c r="AU173" s="94"/>
      <c r="AV173" s="94" t="s">
        <v>1430</v>
      </c>
      <c r="AW173" s="94" t="s">
        <v>1430</v>
      </c>
      <c r="AX173" s="94"/>
      <c r="AY173" s="94" t="s">
        <v>2887</v>
      </c>
      <c r="AZ173" s="94" t="s">
        <v>1381</v>
      </c>
      <c r="BA173" s="94" t="s">
        <v>1381</v>
      </c>
      <c r="BB173" s="94" t="s">
        <v>1704</v>
      </c>
      <c r="BC173" s="94" t="s">
        <v>869</v>
      </c>
      <c r="BD173" s="94" t="s">
        <v>869</v>
      </c>
      <c r="BE173" s="94" t="s">
        <v>1283</v>
      </c>
      <c r="BF173" s="94" t="s">
        <v>1283</v>
      </c>
      <c r="BG173" s="94" t="s">
        <v>2959</v>
      </c>
      <c r="BH173" s="94" t="s">
        <v>3222</v>
      </c>
      <c r="BI173" s="94" t="s">
        <v>3222</v>
      </c>
      <c r="BJ173" s="94" t="s">
        <v>3400</v>
      </c>
      <c r="BK173" s="94" t="s">
        <v>2108</v>
      </c>
      <c r="BL173" s="94" t="s">
        <v>2168</v>
      </c>
      <c r="BM173" s="94" t="s">
        <v>1578</v>
      </c>
      <c r="BN173" s="94" t="s">
        <v>1578</v>
      </c>
      <c r="BO173" s="94"/>
      <c r="BR173" s="19"/>
      <c r="BS173" s="20"/>
      <c r="BT173" s="11"/>
      <c r="BU173" s="19"/>
      <c r="BV173" s="19"/>
      <c r="BW173" s="19"/>
    </row>
    <row r="174" spans="1:75" s="14" customFormat="1" ht="22.5" customHeight="1">
      <c r="A174" s="53" t="s">
        <v>13</v>
      </c>
      <c r="B174" s="48" t="s">
        <v>39</v>
      </c>
      <c r="C174" s="48">
        <v>0.8</v>
      </c>
      <c r="D174" s="48">
        <v>0.8</v>
      </c>
      <c r="E174" s="48">
        <v>0.7</v>
      </c>
      <c r="F174" s="48">
        <v>0.75</v>
      </c>
      <c r="G174" s="48">
        <v>0.7</v>
      </c>
      <c r="H174" s="131">
        <v>0.75</v>
      </c>
      <c r="I174" s="48" t="s">
        <v>2715</v>
      </c>
      <c r="J174" s="48">
        <v>0.6</v>
      </c>
      <c r="K174" s="48">
        <v>0.7</v>
      </c>
      <c r="L174" s="48">
        <v>0.65</v>
      </c>
      <c r="M174" s="48">
        <v>0.65</v>
      </c>
      <c r="N174" s="48">
        <v>0.6</v>
      </c>
      <c r="O174" s="48">
        <v>0.6</v>
      </c>
      <c r="P174" s="48">
        <v>0.7</v>
      </c>
      <c r="Q174" s="48">
        <v>0.6</v>
      </c>
      <c r="R174" s="48">
        <v>0.6</v>
      </c>
      <c r="S174" s="48">
        <v>0.6</v>
      </c>
      <c r="T174" s="48">
        <v>0.7</v>
      </c>
      <c r="U174" s="131">
        <v>0.65</v>
      </c>
      <c r="V174" s="131">
        <v>0.7</v>
      </c>
      <c r="W174" s="131">
        <v>0.7</v>
      </c>
      <c r="X174" s="48">
        <v>0.75</v>
      </c>
      <c r="Y174" s="48" t="s">
        <v>3989</v>
      </c>
      <c r="Z174" s="48" t="s">
        <v>3989</v>
      </c>
      <c r="AA174" s="48" t="s">
        <v>3989</v>
      </c>
      <c r="AB174" s="48" t="s">
        <v>4254</v>
      </c>
      <c r="AC174" s="48">
        <v>0.75</v>
      </c>
      <c r="AD174" s="48">
        <v>0.6</v>
      </c>
      <c r="AE174" s="48">
        <v>0.7</v>
      </c>
      <c r="AF174" s="48">
        <v>0.75</v>
      </c>
      <c r="AG174" s="48">
        <v>0.75</v>
      </c>
      <c r="AH174" s="48">
        <v>0.7</v>
      </c>
      <c r="AI174" s="48">
        <v>0.65</v>
      </c>
      <c r="AJ174" s="48">
        <v>0.75</v>
      </c>
      <c r="AK174" s="48">
        <v>0.75</v>
      </c>
      <c r="AL174" s="48">
        <v>0.65</v>
      </c>
      <c r="AM174" s="48" t="s">
        <v>974</v>
      </c>
      <c r="AN174" s="48" t="s">
        <v>989</v>
      </c>
      <c r="AO174" s="48" t="s">
        <v>3465</v>
      </c>
      <c r="AP174" s="48" t="s">
        <v>3465</v>
      </c>
      <c r="AQ174" s="48" t="s">
        <v>3448</v>
      </c>
      <c r="AR174" s="48" t="s">
        <v>3448</v>
      </c>
      <c r="AS174" s="48" t="s">
        <v>39</v>
      </c>
      <c r="AT174" s="48" t="s">
        <v>234</v>
      </c>
      <c r="AU174" s="48" t="s">
        <v>234</v>
      </c>
      <c r="AV174" s="48">
        <v>0.6</v>
      </c>
      <c r="AW174" s="48" t="s">
        <v>39</v>
      </c>
      <c r="AX174" s="48">
        <v>0.6</v>
      </c>
      <c r="AY174" s="48">
        <v>0.75</v>
      </c>
      <c r="AZ174" s="48">
        <v>0.6</v>
      </c>
      <c r="BA174" s="48">
        <v>0.6</v>
      </c>
      <c r="BB174" s="48">
        <v>0.6</v>
      </c>
      <c r="BC174" s="48">
        <v>0.6</v>
      </c>
      <c r="BD174" s="48">
        <v>0.6</v>
      </c>
      <c r="BE174" s="48">
        <v>0.65</v>
      </c>
      <c r="BF174" s="48">
        <v>0.75</v>
      </c>
      <c r="BG174" s="48" t="s">
        <v>2993</v>
      </c>
      <c r="BH174" s="48">
        <v>0.6</v>
      </c>
      <c r="BI174" s="48">
        <v>0.75</v>
      </c>
      <c r="BJ174" s="48">
        <v>0.7</v>
      </c>
      <c r="BK174" s="48">
        <v>0.75</v>
      </c>
      <c r="BL174" s="48">
        <v>0.7</v>
      </c>
      <c r="BM174" s="48">
        <v>0.7</v>
      </c>
      <c r="BN174" s="48">
        <v>0.7</v>
      </c>
      <c r="BO174" s="48">
        <v>0.7</v>
      </c>
    </row>
    <row r="175" spans="1:75" s="2" customFormat="1" ht="11.25" customHeight="1">
      <c r="A175" s="95" t="s">
        <v>688</v>
      </c>
      <c r="B175" s="94"/>
      <c r="C175" s="94" t="s">
        <v>3125</v>
      </c>
      <c r="D175" s="94" t="s">
        <v>3126</v>
      </c>
      <c r="E175" s="94" t="s">
        <v>1925</v>
      </c>
      <c r="F175" s="94" t="s">
        <v>1926</v>
      </c>
      <c r="G175" s="94" t="s">
        <v>3636</v>
      </c>
      <c r="H175" s="94" t="s">
        <v>2633</v>
      </c>
      <c r="I175" s="94" t="s">
        <v>2709</v>
      </c>
      <c r="J175" s="94" t="s">
        <v>2780</v>
      </c>
      <c r="K175" s="94" t="s">
        <v>2745</v>
      </c>
      <c r="L175" s="94" t="s">
        <v>2737</v>
      </c>
      <c r="M175" s="94" t="s">
        <v>2737</v>
      </c>
      <c r="N175" s="94" t="s">
        <v>1381</v>
      </c>
      <c r="O175" s="94" t="s">
        <v>2792</v>
      </c>
      <c r="P175" s="94" t="s">
        <v>1290</v>
      </c>
      <c r="Q175" s="94" t="s">
        <v>1381</v>
      </c>
      <c r="R175" s="94" t="s">
        <v>1656</v>
      </c>
      <c r="S175" s="94" t="s">
        <v>1381</v>
      </c>
      <c r="T175" s="94" t="s">
        <v>3716</v>
      </c>
      <c r="U175" s="94" t="s">
        <v>4048</v>
      </c>
      <c r="V175" s="94" t="s">
        <v>4051</v>
      </c>
      <c r="W175" s="94" t="s">
        <v>4085</v>
      </c>
      <c r="X175" s="94" t="s">
        <v>808</v>
      </c>
      <c r="Y175" s="94" t="s">
        <v>1381</v>
      </c>
      <c r="Z175" s="94" t="s">
        <v>1381</v>
      </c>
      <c r="AA175" s="94" t="s">
        <v>1381</v>
      </c>
      <c r="AB175" s="94" t="s">
        <v>4246</v>
      </c>
      <c r="AC175" s="94" t="s">
        <v>2740</v>
      </c>
      <c r="AD175" s="94" t="s">
        <v>1381</v>
      </c>
      <c r="AE175" s="94" t="s">
        <v>2369</v>
      </c>
      <c r="AF175" s="94" t="s">
        <v>2310</v>
      </c>
      <c r="AG175" s="94" t="s">
        <v>2248</v>
      </c>
      <c r="AH175" s="94" t="s">
        <v>1131</v>
      </c>
      <c r="AI175" s="94"/>
      <c r="AJ175" s="94" t="s">
        <v>2454</v>
      </c>
      <c r="AK175" s="94" t="s">
        <v>2454</v>
      </c>
      <c r="AL175" s="94" t="s">
        <v>1381</v>
      </c>
      <c r="AM175" s="94" t="s">
        <v>3315</v>
      </c>
      <c r="AN175" s="94" t="s">
        <v>3314</v>
      </c>
      <c r="AO175" s="94" t="s">
        <v>3498</v>
      </c>
      <c r="AP175" s="94" t="s">
        <v>3498</v>
      </c>
      <c r="AQ175" s="94" t="s">
        <v>3498</v>
      </c>
      <c r="AR175" s="94" t="s">
        <v>3498</v>
      </c>
      <c r="AS175" s="94"/>
      <c r="AT175" s="94"/>
      <c r="AU175" s="94"/>
      <c r="AV175" s="94" t="s">
        <v>1430</v>
      </c>
      <c r="AW175" s="94" t="s">
        <v>1513</v>
      </c>
      <c r="AX175" s="94"/>
      <c r="AY175" s="94" t="s">
        <v>2887</v>
      </c>
      <c r="AZ175" s="94" t="s">
        <v>1381</v>
      </c>
      <c r="BA175" s="94" t="s">
        <v>1381</v>
      </c>
      <c r="BB175" s="94" t="s">
        <v>1704</v>
      </c>
      <c r="BC175" s="94" t="s">
        <v>869</v>
      </c>
      <c r="BD175" s="94" t="s">
        <v>869</v>
      </c>
      <c r="BE175" s="94" t="s">
        <v>1283</v>
      </c>
      <c r="BF175" s="94" t="s">
        <v>1283</v>
      </c>
      <c r="BG175" s="94" t="s">
        <v>2959</v>
      </c>
      <c r="BH175" s="94" t="s">
        <v>3222</v>
      </c>
      <c r="BI175" s="94" t="s">
        <v>3222</v>
      </c>
      <c r="BJ175" s="94" t="s">
        <v>3400</v>
      </c>
      <c r="BK175" s="94" t="s">
        <v>2108</v>
      </c>
      <c r="BL175" s="94" t="s">
        <v>2168</v>
      </c>
      <c r="BM175" s="94" t="s">
        <v>1578</v>
      </c>
      <c r="BN175" s="94" t="s">
        <v>1578</v>
      </c>
      <c r="BO175" s="94"/>
      <c r="BR175" s="19"/>
      <c r="BS175" s="20"/>
      <c r="BT175" s="11"/>
      <c r="BU175" s="19"/>
      <c r="BV175" s="19"/>
      <c r="BW175" s="19"/>
    </row>
    <row r="176" spans="1:75" s="14" customFormat="1" ht="22.5" customHeight="1">
      <c r="A176" s="53" t="s">
        <v>169</v>
      </c>
      <c r="B176" s="48" t="s">
        <v>39</v>
      </c>
      <c r="C176" s="48">
        <v>0.75</v>
      </c>
      <c r="D176" s="48">
        <v>0.75</v>
      </c>
      <c r="E176" s="48">
        <v>0.6</v>
      </c>
      <c r="F176" s="48">
        <v>0.65</v>
      </c>
      <c r="G176" s="48">
        <v>0.6</v>
      </c>
      <c r="H176" s="131">
        <v>0.65</v>
      </c>
      <c r="I176" s="48">
        <v>0.65</v>
      </c>
      <c r="J176" s="48">
        <v>0.5</v>
      </c>
      <c r="K176" s="48">
        <v>0.7</v>
      </c>
      <c r="L176" s="48">
        <v>0.6</v>
      </c>
      <c r="M176" s="48">
        <v>0.6</v>
      </c>
      <c r="N176" s="48">
        <v>0.5</v>
      </c>
      <c r="O176" s="48">
        <v>0.5</v>
      </c>
      <c r="P176" s="48">
        <v>0.7</v>
      </c>
      <c r="Q176" s="48">
        <v>0.5</v>
      </c>
      <c r="R176" s="48">
        <v>0.5</v>
      </c>
      <c r="S176" s="48">
        <v>0.5</v>
      </c>
      <c r="T176" s="48">
        <v>0.6</v>
      </c>
      <c r="U176" s="131">
        <v>0.55000000000000004</v>
      </c>
      <c r="V176" s="131">
        <v>0.6</v>
      </c>
      <c r="W176" s="131">
        <v>0.6</v>
      </c>
      <c r="X176" s="48">
        <v>0.65</v>
      </c>
      <c r="Y176" s="48" t="s">
        <v>3994</v>
      </c>
      <c r="Z176" s="48" t="s">
        <v>3994</v>
      </c>
      <c r="AA176" s="48" t="s">
        <v>3994</v>
      </c>
      <c r="AB176" s="48" t="s">
        <v>4255</v>
      </c>
      <c r="AC176" s="48">
        <v>0.65</v>
      </c>
      <c r="AD176" s="48">
        <v>0.5</v>
      </c>
      <c r="AE176" s="48">
        <v>0.55000000000000004</v>
      </c>
      <c r="AF176" s="48">
        <v>0.65</v>
      </c>
      <c r="AG176" s="48">
        <v>0.65</v>
      </c>
      <c r="AH176" s="48">
        <v>0.6</v>
      </c>
      <c r="AI176" s="48">
        <v>0.55000000000000004</v>
      </c>
      <c r="AJ176" s="48">
        <v>0.65</v>
      </c>
      <c r="AK176" s="48">
        <v>0.65</v>
      </c>
      <c r="AL176" s="48">
        <v>0.55000000000000004</v>
      </c>
      <c r="AM176" s="48" t="s">
        <v>974</v>
      </c>
      <c r="AN176" s="48" t="s">
        <v>989</v>
      </c>
      <c r="AO176" s="48" t="s">
        <v>3467</v>
      </c>
      <c r="AP176" s="48" t="s">
        <v>3467</v>
      </c>
      <c r="AQ176" s="48" t="s">
        <v>3448</v>
      </c>
      <c r="AR176" s="48" t="s">
        <v>3448</v>
      </c>
      <c r="AS176" s="48" t="s">
        <v>39</v>
      </c>
      <c r="AT176" s="48" t="s">
        <v>234</v>
      </c>
      <c r="AU176" s="48" t="s">
        <v>234</v>
      </c>
      <c r="AV176" s="48">
        <v>0.5</v>
      </c>
      <c r="AW176" s="48" t="s">
        <v>39</v>
      </c>
      <c r="AX176" s="48">
        <v>0.5</v>
      </c>
      <c r="AY176" s="48">
        <v>0.65</v>
      </c>
      <c r="AZ176" s="48">
        <v>0.5</v>
      </c>
      <c r="BA176" s="48">
        <v>0.5</v>
      </c>
      <c r="BB176" s="48">
        <v>0.5</v>
      </c>
      <c r="BC176" s="48">
        <v>0.5</v>
      </c>
      <c r="BD176" s="48">
        <v>0.5</v>
      </c>
      <c r="BE176" s="48">
        <v>0.55000000000000004</v>
      </c>
      <c r="BF176" s="48">
        <v>0.7</v>
      </c>
      <c r="BG176" s="48" t="s">
        <v>2995</v>
      </c>
      <c r="BH176" s="48">
        <v>0.5</v>
      </c>
      <c r="BI176" s="48">
        <v>0.65</v>
      </c>
      <c r="BJ176" s="48">
        <v>0.6</v>
      </c>
      <c r="BK176" s="48">
        <v>0.65</v>
      </c>
      <c r="BL176" s="48">
        <v>0.6</v>
      </c>
      <c r="BM176" s="48">
        <v>0.6</v>
      </c>
      <c r="BN176" s="48">
        <v>0.6</v>
      </c>
      <c r="BO176" s="48">
        <v>0.7</v>
      </c>
    </row>
    <row r="177" spans="1:75" s="2" customFormat="1" ht="11.25" customHeight="1">
      <c r="A177" s="95" t="s">
        <v>688</v>
      </c>
      <c r="B177" s="94"/>
      <c r="C177" s="94" t="s">
        <v>3125</v>
      </c>
      <c r="D177" s="94" t="s">
        <v>3126</v>
      </c>
      <c r="E177" s="94" t="s">
        <v>1925</v>
      </c>
      <c r="F177" s="94" t="s">
        <v>1926</v>
      </c>
      <c r="G177" s="94" t="s">
        <v>3636</v>
      </c>
      <c r="H177" s="94" t="s">
        <v>2633</v>
      </c>
      <c r="I177" s="94" t="s">
        <v>2709</v>
      </c>
      <c r="J177" s="94" t="s">
        <v>2780</v>
      </c>
      <c r="K177" s="94" t="s">
        <v>2745</v>
      </c>
      <c r="L177" s="94" t="s">
        <v>2737</v>
      </c>
      <c r="M177" s="94" t="s">
        <v>2737</v>
      </c>
      <c r="N177" s="94" t="s">
        <v>1381</v>
      </c>
      <c r="O177" s="94" t="s">
        <v>2792</v>
      </c>
      <c r="P177" s="94" t="s">
        <v>1290</v>
      </c>
      <c r="Q177" s="94" t="s">
        <v>1381</v>
      </c>
      <c r="R177" s="94" t="s">
        <v>1656</v>
      </c>
      <c r="S177" s="94" t="s">
        <v>1381</v>
      </c>
      <c r="T177" s="94" t="s">
        <v>3716</v>
      </c>
      <c r="U177" s="94" t="s">
        <v>4048</v>
      </c>
      <c r="V177" s="94" t="s">
        <v>4051</v>
      </c>
      <c r="W177" s="94" t="s">
        <v>4085</v>
      </c>
      <c r="X177" s="94" t="s">
        <v>808</v>
      </c>
      <c r="Y177" s="94" t="s">
        <v>1381</v>
      </c>
      <c r="Z177" s="94" t="s">
        <v>1381</v>
      </c>
      <c r="AA177" s="94" t="s">
        <v>1381</v>
      </c>
      <c r="AB177" s="94" t="s">
        <v>4246</v>
      </c>
      <c r="AC177" s="94" t="s">
        <v>2740</v>
      </c>
      <c r="AD177" s="94" t="s">
        <v>1381</v>
      </c>
      <c r="AE177" s="94" t="s">
        <v>2369</v>
      </c>
      <c r="AF177" s="94" t="s">
        <v>2310</v>
      </c>
      <c r="AG177" s="94" t="s">
        <v>2248</v>
      </c>
      <c r="AH177" s="94" t="s">
        <v>1131</v>
      </c>
      <c r="AI177" s="94"/>
      <c r="AJ177" s="94" t="s">
        <v>2454</v>
      </c>
      <c r="AK177" s="94" t="s">
        <v>2454</v>
      </c>
      <c r="AL177" s="94" t="s">
        <v>1381</v>
      </c>
      <c r="AM177" s="94" t="s">
        <v>3315</v>
      </c>
      <c r="AN177" s="94" t="s">
        <v>3314</v>
      </c>
      <c r="AO177" s="94" t="s">
        <v>3498</v>
      </c>
      <c r="AP177" s="94" t="s">
        <v>3498</v>
      </c>
      <c r="AQ177" s="94" t="s">
        <v>3498</v>
      </c>
      <c r="AR177" s="94" t="s">
        <v>3498</v>
      </c>
      <c r="AS177" s="94"/>
      <c r="AT177" s="94"/>
      <c r="AU177" s="94"/>
      <c r="AV177" s="94" t="s">
        <v>1430</v>
      </c>
      <c r="AW177" s="94" t="s">
        <v>1513</v>
      </c>
      <c r="AX177" s="94"/>
      <c r="AY177" s="94" t="s">
        <v>2887</v>
      </c>
      <c r="AZ177" s="94" t="s">
        <v>1381</v>
      </c>
      <c r="BA177" s="94" t="s">
        <v>1381</v>
      </c>
      <c r="BB177" s="94" t="s">
        <v>1704</v>
      </c>
      <c r="BC177" s="94" t="s">
        <v>869</v>
      </c>
      <c r="BD177" s="94" t="s">
        <v>869</v>
      </c>
      <c r="BE177" s="94" t="s">
        <v>1283</v>
      </c>
      <c r="BF177" s="94" t="s">
        <v>1283</v>
      </c>
      <c r="BG177" s="94" t="s">
        <v>2959</v>
      </c>
      <c r="BH177" s="94" t="s">
        <v>3222</v>
      </c>
      <c r="BI177" s="94" t="s">
        <v>3222</v>
      </c>
      <c r="BJ177" s="94" t="s">
        <v>3400</v>
      </c>
      <c r="BK177" s="94" t="s">
        <v>2108</v>
      </c>
      <c r="BL177" s="94" t="s">
        <v>2168</v>
      </c>
      <c r="BM177" s="94" t="s">
        <v>1578</v>
      </c>
      <c r="BN177" s="94" t="s">
        <v>1578</v>
      </c>
      <c r="BO177" s="94"/>
      <c r="BR177" s="19"/>
      <c r="BS177" s="20"/>
      <c r="BT177" s="11"/>
      <c r="BU177" s="19"/>
      <c r="BV177" s="19"/>
      <c r="BW177" s="19"/>
    </row>
    <row r="178" spans="1:75" s="14" customFormat="1" ht="22.5" customHeight="1">
      <c r="A178" s="53" t="s">
        <v>14</v>
      </c>
      <c r="B178" s="48" t="s">
        <v>39</v>
      </c>
      <c r="C178" s="48">
        <v>0.7</v>
      </c>
      <c r="D178" s="48">
        <v>0.7</v>
      </c>
      <c r="E178" s="48">
        <v>0.55000000000000004</v>
      </c>
      <c r="F178" s="48">
        <v>0.6</v>
      </c>
      <c r="G178" s="48">
        <v>0.55000000000000004</v>
      </c>
      <c r="H178" s="131">
        <v>0.6</v>
      </c>
      <c r="I178" s="48">
        <v>0.6</v>
      </c>
      <c r="J178" s="48">
        <v>0.45</v>
      </c>
      <c r="K178" s="48">
        <v>0.7</v>
      </c>
      <c r="L178" s="48">
        <v>0.5</v>
      </c>
      <c r="M178" s="48">
        <v>0.5</v>
      </c>
      <c r="N178" s="48">
        <v>0.45</v>
      </c>
      <c r="O178" s="48">
        <v>0.45</v>
      </c>
      <c r="P178" s="48">
        <v>0.7</v>
      </c>
      <c r="Q178" s="48">
        <v>0.45</v>
      </c>
      <c r="R178" s="48">
        <v>0.45</v>
      </c>
      <c r="S178" s="48">
        <v>0.45</v>
      </c>
      <c r="T178" s="48">
        <v>0.55000000000000004</v>
      </c>
      <c r="U178" s="131">
        <v>0.5</v>
      </c>
      <c r="V178" s="131">
        <v>0.55000000000000004</v>
      </c>
      <c r="W178" s="131">
        <v>0.55000000000000004</v>
      </c>
      <c r="X178" s="48">
        <v>0.6</v>
      </c>
      <c r="Y178" s="48" t="s">
        <v>3995</v>
      </c>
      <c r="Z178" s="48" t="s">
        <v>3995</v>
      </c>
      <c r="AA178" s="48" t="s">
        <v>3995</v>
      </c>
      <c r="AB178" s="48" t="s">
        <v>4256</v>
      </c>
      <c r="AC178" s="48">
        <v>0.6</v>
      </c>
      <c r="AD178" s="48">
        <v>0.45</v>
      </c>
      <c r="AE178" s="48">
        <v>0.5</v>
      </c>
      <c r="AF178" s="48">
        <v>0.6</v>
      </c>
      <c r="AG178" s="48">
        <v>0.6</v>
      </c>
      <c r="AH178" s="48">
        <v>0.55000000000000004</v>
      </c>
      <c r="AI178" s="48">
        <v>0.5</v>
      </c>
      <c r="AJ178" s="48">
        <v>0.6</v>
      </c>
      <c r="AK178" s="48">
        <v>0.6</v>
      </c>
      <c r="AL178" s="48">
        <v>0.5</v>
      </c>
      <c r="AM178" s="48" t="s">
        <v>974</v>
      </c>
      <c r="AN178" s="48" t="s">
        <v>989</v>
      </c>
      <c r="AO178" s="48" t="s">
        <v>3471</v>
      </c>
      <c r="AP178" s="48" t="s">
        <v>3471</v>
      </c>
      <c r="AQ178" s="48" t="s">
        <v>3448</v>
      </c>
      <c r="AR178" s="48" t="s">
        <v>3448</v>
      </c>
      <c r="AS178" s="48" t="s">
        <v>39</v>
      </c>
      <c r="AT178" s="48" t="s">
        <v>234</v>
      </c>
      <c r="AU178" s="48" t="s">
        <v>234</v>
      </c>
      <c r="AV178" s="48">
        <v>0.45</v>
      </c>
      <c r="AW178" s="48" t="s">
        <v>39</v>
      </c>
      <c r="AX178" s="48">
        <v>0.45</v>
      </c>
      <c r="AY178" s="48">
        <v>0.6</v>
      </c>
      <c r="AZ178" s="48">
        <v>0.45</v>
      </c>
      <c r="BA178" s="48">
        <v>0.45</v>
      </c>
      <c r="BB178" s="48">
        <v>0.45</v>
      </c>
      <c r="BC178" s="48">
        <v>0.45</v>
      </c>
      <c r="BD178" s="48">
        <v>0.45</v>
      </c>
      <c r="BE178" s="48">
        <v>0.5</v>
      </c>
      <c r="BF178" s="48">
        <v>0.65</v>
      </c>
      <c r="BG178" s="48" t="s">
        <v>2996</v>
      </c>
      <c r="BH178" s="48">
        <v>0.45</v>
      </c>
      <c r="BI178" s="48">
        <v>0.65</v>
      </c>
      <c r="BJ178" s="48">
        <v>0.55000000000000004</v>
      </c>
      <c r="BK178" s="48">
        <v>0.6</v>
      </c>
      <c r="BL178" s="48">
        <v>0.55000000000000004</v>
      </c>
      <c r="BM178" s="48">
        <v>0.55000000000000004</v>
      </c>
      <c r="BN178" s="48">
        <v>0.55000000000000004</v>
      </c>
      <c r="BO178" s="48">
        <v>0.7</v>
      </c>
    </row>
    <row r="179" spans="1:75" s="2" customFormat="1" ht="11.25" customHeight="1">
      <c r="A179" s="95" t="s">
        <v>688</v>
      </c>
      <c r="B179" s="94"/>
      <c r="C179" s="94" t="s">
        <v>3125</v>
      </c>
      <c r="D179" s="94" t="s">
        <v>3126</v>
      </c>
      <c r="E179" s="94" t="s">
        <v>1925</v>
      </c>
      <c r="F179" s="94" t="s">
        <v>1926</v>
      </c>
      <c r="G179" s="94" t="s">
        <v>3636</v>
      </c>
      <c r="H179" s="94" t="s">
        <v>2633</v>
      </c>
      <c r="I179" s="94" t="s">
        <v>2709</v>
      </c>
      <c r="J179" s="94" t="s">
        <v>2780</v>
      </c>
      <c r="K179" s="94" t="s">
        <v>2745</v>
      </c>
      <c r="L179" s="94" t="s">
        <v>2737</v>
      </c>
      <c r="M179" s="94" t="s">
        <v>2737</v>
      </c>
      <c r="N179" s="94" t="s">
        <v>1381</v>
      </c>
      <c r="O179" s="94" t="s">
        <v>2792</v>
      </c>
      <c r="P179" s="94" t="s">
        <v>1290</v>
      </c>
      <c r="Q179" s="73" t="s">
        <v>1381</v>
      </c>
      <c r="R179" s="94" t="s">
        <v>1656</v>
      </c>
      <c r="S179" s="94" t="s">
        <v>1381</v>
      </c>
      <c r="T179" s="94" t="s">
        <v>3716</v>
      </c>
      <c r="U179" s="94" t="s">
        <v>4048</v>
      </c>
      <c r="V179" s="94" t="s">
        <v>4051</v>
      </c>
      <c r="W179" s="94" t="s">
        <v>4085</v>
      </c>
      <c r="X179" s="94" t="s">
        <v>808</v>
      </c>
      <c r="Y179" s="94" t="s">
        <v>1381</v>
      </c>
      <c r="Z179" s="94" t="s">
        <v>1381</v>
      </c>
      <c r="AA179" s="94" t="s">
        <v>1381</v>
      </c>
      <c r="AB179" s="94" t="s">
        <v>4246</v>
      </c>
      <c r="AC179" s="94" t="s">
        <v>2740</v>
      </c>
      <c r="AD179" s="94" t="s">
        <v>1381</v>
      </c>
      <c r="AE179" s="94" t="s">
        <v>2369</v>
      </c>
      <c r="AF179" s="94" t="s">
        <v>2310</v>
      </c>
      <c r="AG179" s="94" t="s">
        <v>2248</v>
      </c>
      <c r="AH179" s="94" t="s">
        <v>1131</v>
      </c>
      <c r="AI179" s="94"/>
      <c r="AJ179" s="94" t="s">
        <v>2454</v>
      </c>
      <c r="AK179" s="94" t="s">
        <v>2454</v>
      </c>
      <c r="AL179" s="94" t="s">
        <v>1381</v>
      </c>
      <c r="AM179" s="94" t="s">
        <v>3315</v>
      </c>
      <c r="AN179" s="94" t="s">
        <v>3314</v>
      </c>
      <c r="AO179" s="94" t="s">
        <v>3498</v>
      </c>
      <c r="AP179" s="94" t="s">
        <v>3498</v>
      </c>
      <c r="AQ179" s="94" t="s">
        <v>3498</v>
      </c>
      <c r="AR179" s="94" t="s">
        <v>3498</v>
      </c>
      <c r="AS179" s="94"/>
      <c r="AT179" s="94"/>
      <c r="AU179" s="94"/>
      <c r="AV179" s="94" t="s">
        <v>1430</v>
      </c>
      <c r="AW179" s="94" t="s">
        <v>1513</v>
      </c>
      <c r="AX179" s="94"/>
      <c r="AY179" s="94" t="s">
        <v>2887</v>
      </c>
      <c r="AZ179" s="94" t="s">
        <v>1381</v>
      </c>
      <c r="BA179" s="94" t="s">
        <v>1381</v>
      </c>
      <c r="BB179" s="94" t="s">
        <v>1704</v>
      </c>
      <c r="BC179" s="94" t="s">
        <v>869</v>
      </c>
      <c r="BD179" s="94" t="s">
        <v>869</v>
      </c>
      <c r="BE179" s="94" t="s">
        <v>1283</v>
      </c>
      <c r="BF179" s="94" t="s">
        <v>1283</v>
      </c>
      <c r="BG179" s="94" t="s">
        <v>2959</v>
      </c>
      <c r="BH179" s="94" t="s">
        <v>3222</v>
      </c>
      <c r="BI179" s="94" t="s">
        <v>3222</v>
      </c>
      <c r="BJ179" s="94" t="s">
        <v>3400</v>
      </c>
      <c r="BK179" s="94" t="s">
        <v>2108</v>
      </c>
      <c r="BL179" s="94" t="s">
        <v>2168</v>
      </c>
      <c r="BM179" s="94" t="s">
        <v>1578</v>
      </c>
      <c r="BN179" s="94" t="s">
        <v>1578</v>
      </c>
      <c r="BO179" s="94"/>
      <c r="BR179" s="19"/>
      <c r="BS179" s="20"/>
      <c r="BT179" s="11"/>
      <c r="BU179" s="19"/>
      <c r="BV179" s="19"/>
      <c r="BW179" s="19"/>
    </row>
    <row r="180" spans="1:75" s="14" customFormat="1" ht="22.5" customHeight="1">
      <c r="A180" s="53" t="s">
        <v>15</v>
      </c>
      <c r="B180" s="48">
        <v>0.45</v>
      </c>
      <c r="C180" s="48">
        <v>0.65</v>
      </c>
      <c r="D180" s="48">
        <v>0.65</v>
      </c>
      <c r="E180" s="48">
        <v>0.5</v>
      </c>
      <c r="F180" s="48">
        <v>0.55000000000000004</v>
      </c>
      <c r="G180" s="48">
        <v>0.5</v>
      </c>
      <c r="H180" s="131">
        <v>0.5</v>
      </c>
      <c r="I180" s="48" t="s">
        <v>2716</v>
      </c>
      <c r="J180" s="48">
        <v>0.4</v>
      </c>
      <c r="K180" s="48">
        <v>0.7</v>
      </c>
      <c r="L180" s="48">
        <v>0.45</v>
      </c>
      <c r="M180" s="48">
        <v>0.45</v>
      </c>
      <c r="N180" s="48">
        <v>0.4</v>
      </c>
      <c r="O180" s="48">
        <v>0.7</v>
      </c>
      <c r="P180" s="48">
        <v>0.7</v>
      </c>
      <c r="Q180" s="48">
        <v>0.4</v>
      </c>
      <c r="R180" s="48">
        <v>0.4</v>
      </c>
      <c r="S180" s="48">
        <v>0.4</v>
      </c>
      <c r="T180" s="48">
        <v>0.5</v>
      </c>
      <c r="U180" s="131">
        <v>0.5</v>
      </c>
      <c r="V180" s="131">
        <v>0.5</v>
      </c>
      <c r="W180" s="131">
        <v>0.5</v>
      </c>
      <c r="X180" s="48">
        <v>0.5</v>
      </c>
      <c r="Y180" s="48" t="s">
        <v>3996</v>
      </c>
      <c r="Z180" s="48" t="s">
        <v>3996</v>
      </c>
      <c r="AA180" s="48" t="s">
        <v>3996</v>
      </c>
      <c r="AB180" s="48" t="s">
        <v>4257</v>
      </c>
      <c r="AC180" s="48">
        <v>0.5</v>
      </c>
      <c r="AD180" s="48">
        <v>0.4</v>
      </c>
      <c r="AE180" s="48">
        <v>0.5</v>
      </c>
      <c r="AF180" s="48">
        <v>0.5</v>
      </c>
      <c r="AG180" s="48">
        <v>0.6</v>
      </c>
      <c r="AH180" s="48">
        <v>0.5</v>
      </c>
      <c r="AI180" s="48">
        <v>0.45</v>
      </c>
      <c r="AJ180" s="48">
        <v>0.6</v>
      </c>
      <c r="AK180" s="48">
        <v>0.6</v>
      </c>
      <c r="AL180" s="48">
        <v>0.45</v>
      </c>
      <c r="AM180" s="48" t="s">
        <v>979</v>
      </c>
      <c r="AN180" s="48" t="s">
        <v>994</v>
      </c>
      <c r="AO180" s="48" t="s">
        <v>3472</v>
      </c>
      <c r="AP180" s="48" t="s">
        <v>3472</v>
      </c>
      <c r="AQ180" s="48" t="s">
        <v>3452</v>
      </c>
      <c r="AR180" s="48" t="s">
        <v>3452</v>
      </c>
      <c r="AS180" s="48" t="s">
        <v>39</v>
      </c>
      <c r="AT180" s="48">
        <v>0.8</v>
      </c>
      <c r="AU180" s="48">
        <v>0.8</v>
      </c>
      <c r="AV180" s="48">
        <v>0.4</v>
      </c>
      <c r="AW180" s="48">
        <v>0.65</v>
      </c>
      <c r="AX180" s="48">
        <v>0.4</v>
      </c>
      <c r="AY180" s="48">
        <v>0.55000000000000004</v>
      </c>
      <c r="AZ180" s="48">
        <v>0.4</v>
      </c>
      <c r="BA180" s="48">
        <v>0.4</v>
      </c>
      <c r="BB180" s="48">
        <v>0.4</v>
      </c>
      <c r="BC180" s="48">
        <v>0.4</v>
      </c>
      <c r="BD180" s="48">
        <v>0.4</v>
      </c>
      <c r="BE180" s="48">
        <v>0.45</v>
      </c>
      <c r="BF180" s="48">
        <v>0.55000000000000004</v>
      </c>
      <c r="BG180" s="48" t="s">
        <v>2997</v>
      </c>
      <c r="BH180" s="48">
        <v>0.4</v>
      </c>
      <c r="BI180" s="48">
        <v>0.5</v>
      </c>
      <c r="BJ180" s="48">
        <v>0.5</v>
      </c>
      <c r="BK180" s="48">
        <v>0.6</v>
      </c>
      <c r="BL180" s="48">
        <v>0.5</v>
      </c>
      <c r="BM180" s="48">
        <v>0.5</v>
      </c>
      <c r="BN180" s="48">
        <v>0.5</v>
      </c>
      <c r="BO180" s="48">
        <v>0.7</v>
      </c>
    </row>
    <row r="181" spans="1:75" s="2" customFormat="1" ht="11.25" customHeight="1">
      <c r="A181" s="95" t="s">
        <v>688</v>
      </c>
      <c r="B181" s="94"/>
      <c r="C181" s="94" t="s">
        <v>3125</v>
      </c>
      <c r="D181" s="94" t="s">
        <v>3126</v>
      </c>
      <c r="E181" s="94" t="s">
        <v>1925</v>
      </c>
      <c r="F181" s="94" t="s">
        <v>1926</v>
      </c>
      <c r="G181" s="94" t="s">
        <v>3636</v>
      </c>
      <c r="H181" s="94" t="s">
        <v>2633</v>
      </c>
      <c r="I181" s="94" t="s">
        <v>2709</v>
      </c>
      <c r="J181" s="94" t="s">
        <v>2780</v>
      </c>
      <c r="K181" s="94" t="s">
        <v>2745</v>
      </c>
      <c r="L181" s="94" t="s">
        <v>2737</v>
      </c>
      <c r="M181" s="94" t="s">
        <v>2737</v>
      </c>
      <c r="N181" s="94" t="s">
        <v>1381</v>
      </c>
      <c r="O181" s="94" t="s">
        <v>2795</v>
      </c>
      <c r="P181" s="94" t="s">
        <v>1290</v>
      </c>
      <c r="Q181" s="94" t="s">
        <v>1381</v>
      </c>
      <c r="R181" s="94" t="s">
        <v>1656</v>
      </c>
      <c r="S181" s="94" t="s">
        <v>1381</v>
      </c>
      <c r="T181" s="94" t="s">
        <v>3716</v>
      </c>
      <c r="U181" s="94" t="s">
        <v>4048</v>
      </c>
      <c r="V181" s="94" t="s">
        <v>4051</v>
      </c>
      <c r="W181" s="94" t="s">
        <v>4085</v>
      </c>
      <c r="X181" s="94" t="s">
        <v>808</v>
      </c>
      <c r="Y181" s="94" t="s">
        <v>1381</v>
      </c>
      <c r="Z181" s="94" t="s">
        <v>1381</v>
      </c>
      <c r="AA181" s="94" t="s">
        <v>1381</v>
      </c>
      <c r="AB181" s="94" t="s">
        <v>4246</v>
      </c>
      <c r="AC181" s="94" t="s">
        <v>2740</v>
      </c>
      <c r="AD181" s="94" t="s">
        <v>1381</v>
      </c>
      <c r="AE181" s="94" t="s">
        <v>2369</v>
      </c>
      <c r="AF181" s="94" t="s">
        <v>2310</v>
      </c>
      <c r="AG181" s="94" t="s">
        <v>2248</v>
      </c>
      <c r="AH181" s="94" t="s">
        <v>1131</v>
      </c>
      <c r="AI181" s="94"/>
      <c r="AJ181" s="94" t="s">
        <v>2454</v>
      </c>
      <c r="AK181" s="94" t="s">
        <v>2454</v>
      </c>
      <c r="AL181" s="94" t="s">
        <v>1381</v>
      </c>
      <c r="AM181" s="94" t="s">
        <v>3315</v>
      </c>
      <c r="AN181" s="94" t="s">
        <v>3314</v>
      </c>
      <c r="AO181" s="94" t="s">
        <v>3498</v>
      </c>
      <c r="AP181" s="94" t="s">
        <v>3498</v>
      </c>
      <c r="AQ181" s="94" t="s">
        <v>3498</v>
      </c>
      <c r="AR181" s="94" t="s">
        <v>3498</v>
      </c>
      <c r="AS181" s="94"/>
      <c r="AT181" s="94"/>
      <c r="AU181" s="94"/>
      <c r="AV181" s="94" t="s">
        <v>1430</v>
      </c>
      <c r="AW181" s="94" t="s">
        <v>1430</v>
      </c>
      <c r="AX181" s="94"/>
      <c r="AY181" s="94" t="s">
        <v>2887</v>
      </c>
      <c r="AZ181" s="94" t="s">
        <v>1381</v>
      </c>
      <c r="BA181" s="94" t="s">
        <v>1381</v>
      </c>
      <c r="BB181" s="94" t="s">
        <v>1704</v>
      </c>
      <c r="BC181" s="94" t="s">
        <v>869</v>
      </c>
      <c r="BD181" s="94" t="s">
        <v>869</v>
      </c>
      <c r="BE181" s="94" t="s">
        <v>1283</v>
      </c>
      <c r="BF181" s="94" t="s">
        <v>1283</v>
      </c>
      <c r="BG181" s="94" t="s">
        <v>2959</v>
      </c>
      <c r="BH181" s="94" t="s">
        <v>3222</v>
      </c>
      <c r="BI181" s="94" t="s">
        <v>3222</v>
      </c>
      <c r="BJ181" s="94" t="s">
        <v>3400</v>
      </c>
      <c r="BK181" s="94" t="s">
        <v>2108</v>
      </c>
      <c r="BL181" s="94" t="s">
        <v>2168</v>
      </c>
      <c r="BM181" s="94" t="s">
        <v>1578</v>
      </c>
      <c r="BN181" s="94" t="s">
        <v>1578</v>
      </c>
      <c r="BO181" s="94"/>
      <c r="BR181" s="19"/>
      <c r="BS181" s="20"/>
      <c r="BT181" s="11"/>
      <c r="BU181" s="19"/>
      <c r="BV181" s="19"/>
      <c r="BW181" s="19"/>
    </row>
    <row r="182" spans="1:75" s="14" customFormat="1" ht="22.5" customHeight="1">
      <c r="A182" s="53" t="s">
        <v>16</v>
      </c>
      <c r="B182" s="48">
        <v>0.08</v>
      </c>
      <c r="C182" s="48">
        <v>0.15</v>
      </c>
      <c r="D182" s="48">
        <v>0.15</v>
      </c>
      <c r="E182" s="48">
        <v>0.15</v>
      </c>
      <c r="F182" s="48">
        <v>0.2</v>
      </c>
      <c r="G182" s="48">
        <v>0.15</v>
      </c>
      <c r="H182" s="131">
        <v>0.08</v>
      </c>
      <c r="I182" s="48">
        <v>0.15</v>
      </c>
      <c r="J182" s="48">
        <v>0.05</v>
      </c>
      <c r="K182" s="48">
        <v>0.1</v>
      </c>
      <c r="L182" s="48">
        <v>0.05</v>
      </c>
      <c r="M182" s="48">
        <v>0.05</v>
      </c>
      <c r="N182" s="48">
        <v>0.05</v>
      </c>
      <c r="O182" s="48">
        <v>0.08</v>
      </c>
      <c r="P182" s="48">
        <v>0.08</v>
      </c>
      <c r="Q182" s="48">
        <v>0.05</v>
      </c>
      <c r="R182" s="48">
        <v>0.05</v>
      </c>
      <c r="S182" s="48">
        <v>0.05</v>
      </c>
      <c r="T182" s="48">
        <v>0.15</v>
      </c>
      <c r="U182" s="131">
        <v>0.08</v>
      </c>
      <c r="V182" s="131">
        <v>0.08</v>
      </c>
      <c r="W182" s="131">
        <v>0.15</v>
      </c>
      <c r="X182" s="48">
        <v>0.15</v>
      </c>
      <c r="Y182" s="48" t="s">
        <v>3993</v>
      </c>
      <c r="Z182" s="48" t="s">
        <v>3993</v>
      </c>
      <c r="AA182" s="48" t="s">
        <v>3993</v>
      </c>
      <c r="AB182" s="48" t="s">
        <v>4258</v>
      </c>
      <c r="AC182" s="48">
        <v>0.1</v>
      </c>
      <c r="AD182" s="48">
        <v>0.05</v>
      </c>
      <c r="AE182" s="48">
        <v>0.08</v>
      </c>
      <c r="AF182" s="48">
        <v>0.15</v>
      </c>
      <c r="AG182" s="48">
        <v>0.15</v>
      </c>
      <c r="AH182" s="48">
        <v>0.12</v>
      </c>
      <c r="AI182" s="48">
        <v>0.08</v>
      </c>
      <c r="AJ182" s="48">
        <v>0.15</v>
      </c>
      <c r="AK182" s="48">
        <v>0.15</v>
      </c>
      <c r="AL182" s="48">
        <v>0.08</v>
      </c>
      <c r="AM182" s="48" t="s">
        <v>980</v>
      </c>
      <c r="AN182" s="48" t="s">
        <v>995</v>
      </c>
      <c r="AO182" s="48" t="s">
        <v>3473</v>
      </c>
      <c r="AP182" s="48" t="s">
        <v>3473</v>
      </c>
      <c r="AQ182" s="48" t="s">
        <v>3453</v>
      </c>
      <c r="AR182" s="48" t="s">
        <v>3453</v>
      </c>
      <c r="AS182" s="48" t="s">
        <v>39</v>
      </c>
      <c r="AT182" s="48">
        <v>0.15</v>
      </c>
      <c r="AU182" s="48">
        <v>0.15</v>
      </c>
      <c r="AV182" s="48">
        <v>0.05</v>
      </c>
      <c r="AW182" s="48">
        <v>0.15</v>
      </c>
      <c r="AX182" s="48">
        <v>0.05</v>
      </c>
      <c r="AY182" s="48">
        <v>0.1</v>
      </c>
      <c r="AZ182" s="48">
        <v>0.05</v>
      </c>
      <c r="BA182" s="48">
        <v>0.05</v>
      </c>
      <c r="BB182" s="48">
        <v>0.05</v>
      </c>
      <c r="BC182" s="48">
        <v>0.05</v>
      </c>
      <c r="BD182" s="48">
        <v>0.05</v>
      </c>
      <c r="BE182" s="48">
        <v>0.1</v>
      </c>
      <c r="BF182" s="48">
        <v>0.15</v>
      </c>
      <c r="BG182" s="48" t="s">
        <v>2963</v>
      </c>
      <c r="BH182" s="48">
        <v>0.05</v>
      </c>
      <c r="BI182" s="48">
        <v>0.15</v>
      </c>
      <c r="BJ182" s="48">
        <v>0.1</v>
      </c>
      <c r="BK182" s="48">
        <v>0.15</v>
      </c>
      <c r="BL182" s="48">
        <v>0.15</v>
      </c>
      <c r="BM182" s="48">
        <v>0.1</v>
      </c>
      <c r="BN182" s="48">
        <v>0.1</v>
      </c>
      <c r="BO182" s="48">
        <v>0.1</v>
      </c>
    </row>
    <row r="183" spans="1:75" s="2" customFormat="1" ht="11.25" customHeight="1">
      <c r="A183" s="95" t="s">
        <v>688</v>
      </c>
      <c r="B183" s="94"/>
      <c r="C183" s="94" t="s">
        <v>3125</v>
      </c>
      <c r="D183" s="94" t="s">
        <v>3126</v>
      </c>
      <c r="E183" s="94" t="s">
        <v>1925</v>
      </c>
      <c r="F183" s="94" t="s">
        <v>1926</v>
      </c>
      <c r="G183" s="94" t="s">
        <v>3636</v>
      </c>
      <c r="H183" s="94" t="s">
        <v>2633</v>
      </c>
      <c r="I183" s="94" t="s">
        <v>2709</v>
      </c>
      <c r="J183" s="94" t="s">
        <v>2780</v>
      </c>
      <c r="K183" s="94" t="s">
        <v>2745</v>
      </c>
      <c r="L183" s="94" t="s">
        <v>2737</v>
      </c>
      <c r="M183" s="94" t="s">
        <v>2737</v>
      </c>
      <c r="N183" s="94" t="s">
        <v>1381</v>
      </c>
      <c r="O183" s="94" t="s">
        <v>2795</v>
      </c>
      <c r="P183" s="94" t="s">
        <v>1290</v>
      </c>
      <c r="Q183" s="94" t="s">
        <v>1381</v>
      </c>
      <c r="R183" s="94" t="s">
        <v>1656</v>
      </c>
      <c r="S183" s="94" t="s">
        <v>1381</v>
      </c>
      <c r="T183" s="94" t="s">
        <v>3716</v>
      </c>
      <c r="U183" s="94" t="s">
        <v>4048</v>
      </c>
      <c r="V183" s="94" t="s">
        <v>4051</v>
      </c>
      <c r="W183" s="94" t="s">
        <v>4085</v>
      </c>
      <c r="X183" s="94" t="s">
        <v>808</v>
      </c>
      <c r="Y183" s="94" t="s">
        <v>1381</v>
      </c>
      <c r="Z183" s="94" t="s">
        <v>1381</v>
      </c>
      <c r="AA183" s="94" t="s">
        <v>1381</v>
      </c>
      <c r="AB183" s="94" t="s">
        <v>4246</v>
      </c>
      <c r="AC183" s="94" t="s">
        <v>2740</v>
      </c>
      <c r="AD183" s="94" t="s">
        <v>1381</v>
      </c>
      <c r="AE183" s="94" t="s">
        <v>2369</v>
      </c>
      <c r="AF183" s="94" t="s">
        <v>2310</v>
      </c>
      <c r="AG183" s="94" t="s">
        <v>2248</v>
      </c>
      <c r="AH183" s="94" t="s">
        <v>1131</v>
      </c>
      <c r="AI183" s="94"/>
      <c r="AJ183" s="94" t="s">
        <v>2454</v>
      </c>
      <c r="AK183" s="94" t="s">
        <v>2454</v>
      </c>
      <c r="AL183" s="94" t="s">
        <v>1381</v>
      </c>
      <c r="AM183" s="94" t="s">
        <v>3315</v>
      </c>
      <c r="AN183" s="94" t="s">
        <v>3314</v>
      </c>
      <c r="AO183" s="94" t="s">
        <v>3498</v>
      </c>
      <c r="AP183" s="94" t="s">
        <v>3498</v>
      </c>
      <c r="AQ183" s="94" t="s">
        <v>3498</v>
      </c>
      <c r="AR183" s="94" t="s">
        <v>3498</v>
      </c>
      <c r="AS183" s="94"/>
      <c r="AT183" s="94"/>
      <c r="AU183" s="94"/>
      <c r="AV183" s="94" t="s">
        <v>1430</v>
      </c>
      <c r="AW183" s="94" t="s">
        <v>1430</v>
      </c>
      <c r="AX183" s="94"/>
      <c r="AY183" s="94" t="s">
        <v>2887</v>
      </c>
      <c r="AZ183" s="94" t="s">
        <v>1381</v>
      </c>
      <c r="BA183" s="94" t="s">
        <v>1381</v>
      </c>
      <c r="BB183" s="94" t="s">
        <v>1704</v>
      </c>
      <c r="BC183" s="94" t="s">
        <v>869</v>
      </c>
      <c r="BD183" s="94" t="s">
        <v>869</v>
      </c>
      <c r="BE183" s="94" t="s">
        <v>1283</v>
      </c>
      <c r="BF183" s="94" t="s">
        <v>1283</v>
      </c>
      <c r="BG183" s="94" t="s">
        <v>2959</v>
      </c>
      <c r="BH183" s="94" t="s">
        <v>3222</v>
      </c>
      <c r="BI183" s="94" t="s">
        <v>3222</v>
      </c>
      <c r="BJ183" s="94" t="s">
        <v>3400</v>
      </c>
      <c r="BK183" s="94" t="s">
        <v>2108</v>
      </c>
      <c r="BL183" s="94" t="s">
        <v>2168</v>
      </c>
      <c r="BM183" s="94" t="s">
        <v>1578</v>
      </c>
      <c r="BN183" s="94" t="s">
        <v>1578</v>
      </c>
      <c r="BO183" s="94"/>
      <c r="BR183" s="19"/>
      <c r="BS183" s="20"/>
      <c r="BT183" s="11"/>
      <c r="BU183" s="19"/>
      <c r="BV183" s="19"/>
      <c r="BW183" s="19"/>
    </row>
    <row r="184" spans="1:75" s="14" customFormat="1" ht="22.5" customHeight="1">
      <c r="A184" s="53" t="s">
        <v>17</v>
      </c>
      <c r="B184" s="48">
        <v>0.03</v>
      </c>
      <c r="C184" s="48" t="s">
        <v>3129</v>
      </c>
      <c r="D184" s="48" t="s">
        <v>3129</v>
      </c>
      <c r="E184" s="48">
        <v>0.05</v>
      </c>
      <c r="F184" s="48">
        <v>0.1</v>
      </c>
      <c r="G184" s="48">
        <v>0.05</v>
      </c>
      <c r="H184" s="131">
        <v>0.04</v>
      </c>
      <c r="I184" s="48">
        <v>0.05</v>
      </c>
      <c r="J184" s="48">
        <v>0.02</v>
      </c>
      <c r="K184" s="48">
        <v>0.05</v>
      </c>
      <c r="L184" s="48">
        <v>0.02</v>
      </c>
      <c r="M184" s="48">
        <v>0.02</v>
      </c>
      <c r="N184" s="48">
        <v>0.02</v>
      </c>
      <c r="O184" s="48">
        <v>0.03</v>
      </c>
      <c r="P184" s="48">
        <v>0.03</v>
      </c>
      <c r="Q184" s="48">
        <v>0.02</v>
      </c>
      <c r="R184" s="48">
        <v>0.02</v>
      </c>
      <c r="S184" s="48">
        <v>0.02</v>
      </c>
      <c r="T184" s="48">
        <v>0.08</v>
      </c>
      <c r="U184" s="131">
        <v>0.03</v>
      </c>
      <c r="V184" s="131">
        <v>0.03</v>
      </c>
      <c r="W184" s="131">
        <v>0.05</v>
      </c>
      <c r="X184" s="48">
        <v>0.05</v>
      </c>
      <c r="Y184" s="48" t="s">
        <v>3997</v>
      </c>
      <c r="Z184" s="48" t="s">
        <v>3997</v>
      </c>
      <c r="AA184" s="48" t="s">
        <v>3997</v>
      </c>
      <c r="AB184" s="48" t="s">
        <v>4259</v>
      </c>
      <c r="AC184" s="48">
        <v>0.05</v>
      </c>
      <c r="AD184" s="48">
        <v>0.02</v>
      </c>
      <c r="AE184" s="48">
        <v>0.03</v>
      </c>
      <c r="AF184" s="48">
        <v>0.05</v>
      </c>
      <c r="AG184" s="48">
        <v>0.05</v>
      </c>
      <c r="AH184" s="48">
        <v>7.0000000000000007E-2</v>
      </c>
      <c r="AI184" s="48">
        <v>0.05</v>
      </c>
      <c r="AJ184" s="48">
        <v>0.05</v>
      </c>
      <c r="AK184" s="48">
        <v>0.05</v>
      </c>
      <c r="AL184" s="48">
        <v>0.05</v>
      </c>
      <c r="AM184" s="48" t="s">
        <v>981</v>
      </c>
      <c r="AN184" s="48" t="s">
        <v>996</v>
      </c>
      <c r="AO184" s="48" t="s">
        <v>3474</v>
      </c>
      <c r="AP184" s="48" t="s">
        <v>3474</v>
      </c>
      <c r="AQ184" s="48" t="s">
        <v>3454</v>
      </c>
      <c r="AR184" s="48" t="s">
        <v>3454</v>
      </c>
      <c r="AS184" s="48" t="s">
        <v>39</v>
      </c>
      <c r="AT184" s="48">
        <v>0.05</v>
      </c>
      <c r="AU184" s="48">
        <v>0.05</v>
      </c>
      <c r="AV184" s="48">
        <v>0.02</v>
      </c>
      <c r="AW184" s="48">
        <v>0.08</v>
      </c>
      <c r="AX184" s="48">
        <v>0.02</v>
      </c>
      <c r="AY184" s="48">
        <v>0.05</v>
      </c>
      <c r="AZ184" s="48">
        <v>0.02</v>
      </c>
      <c r="BA184" s="48">
        <v>0.02</v>
      </c>
      <c r="BB184" s="48">
        <v>0.02</v>
      </c>
      <c r="BC184" s="48">
        <v>0.02</v>
      </c>
      <c r="BD184" s="48">
        <v>0.02</v>
      </c>
      <c r="BE184" s="48">
        <v>0.05</v>
      </c>
      <c r="BF184" s="48">
        <v>0.05</v>
      </c>
      <c r="BG184" s="48" t="s">
        <v>2967</v>
      </c>
      <c r="BH184" s="48">
        <v>0.02</v>
      </c>
      <c r="BI184" s="48">
        <v>0.05</v>
      </c>
      <c r="BJ184" s="48">
        <v>0.05</v>
      </c>
      <c r="BK184" s="48">
        <v>0.05</v>
      </c>
      <c r="BL184" s="48">
        <v>0.05</v>
      </c>
      <c r="BM184" s="48">
        <v>0.05</v>
      </c>
      <c r="BN184" s="48">
        <v>0.05</v>
      </c>
      <c r="BO184" s="48">
        <v>0.03</v>
      </c>
    </row>
    <row r="185" spans="1:75" s="2" customFormat="1" ht="11.25" customHeight="1">
      <c r="A185" s="95" t="s">
        <v>688</v>
      </c>
      <c r="B185" s="94"/>
      <c r="C185" s="94" t="s">
        <v>3125</v>
      </c>
      <c r="D185" s="94" t="s">
        <v>3126</v>
      </c>
      <c r="E185" s="94" t="s">
        <v>1925</v>
      </c>
      <c r="F185" s="94" t="s">
        <v>1926</v>
      </c>
      <c r="G185" s="94" t="s">
        <v>3636</v>
      </c>
      <c r="H185" s="94" t="s">
        <v>2633</v>
      </c>
      <c r="I185" s="94" t="s">
        <v>2709</v>
      </c>
      <c r="J185" s="94" t="s">
        <v>2780</v>
      </c>
      <c r="K185" s="94" t="s">
        <v>2745</v>
      </c>
      <c r="L185" s="94" t="s">
        <v>2737</v>
      </c>
      <c r="M185" s="94" t="s">
        <v>2737</v>
      </c>
      <c r="N185" s="94" t="s">
        <v>1381</v>
      </c>
      <c r="O185" s="94" t="s">
        <v>2795</v>
      </c>
      <c r="P185" s="94" t="s">
        <v>1290</v>
      </c>
      <c r="Q185" s="94" t="s">
        <v>1381</v>
      </c>
      <c r="R185" s="94" t="s">
        <v>1656</v>
      </c>
      <c r="S185" s="94" t="s">
        <v>1381</v>
      </c>
      <c r="T185" s="94" t="s">
        <v>3716</v>
      </c>
      <c r="U185" s="94" t="s">
        <v>4048</v>
      </c>
      <c r="V185" s="94" t="s">
        <v>4051</v>
      </c>
      <c r="W185" s="94" t="s">
        <v>4085</v>
      </c>
      <c r="X185" s="94" t="s">
        <v>808</v>
      </c>
      <c r="Y185" s="94" t="s">
        <v>1381</v>
      </c>
      <c r="Z185" s="94" t="s">
        <v>1381</v>
      </c>
      <c r="AA185" s="94" t="s">
        <v>1381</v>
      </c>
      <c r="AB185" s="94" t="s">
        <v>4246</v>
      </c>
      <c r="AC185" s="94" t="s">
        <v>2740</v>
      </c>
      <c r="AD185" s="94" t="s">
        <v>1381</v>
      </c>
      <c r="AE185" s="94" t="s">
        <v>2369</v>
      </c>
      <c r="AF185" s="94" t="s">
        <v>2310</v>
      </c>
      <c r="AG185" s="94" t="s">
        <v>2248</v>
      </c>
      <c r="AH185" s="94" t="s">
        <v>1131</v>
      </c>
      <c r="AI185" s="94"/>
      <c r="AJ185" s="94" t="s">
        <v>2454</v>
      </c>
      <c r="AK185" s="94" t="s">
        <v>2454</v>
      </c>
      <c r="AL185" s="94" t="s">
        <v>1381</v>
      </c>
      <c r="AM185" s="94" t="s">
        <v>3315</v>
      </c>
      <c r="AN185" s="94" t="s">
        <v>3314</v>
      </c>
      <c r="AO185" s="94" t="s">
        <v>3498</v>
      </c>
      <c r="AP185" s="94" t="s">
        <v>3498</v>
      </c>
      <c r="AQ185" s="94" t="s">
        <v>3498</v>
      </c>
      <c r="AR185" s="94" t="s">
        <v>3498</v>
      </c>
      <c r="AS185" s="94"/>
      <c r="AT185" s="94"/>
      <c r="AU185" s="94"/>
      <c r="AV185" s="94" t="s">
        <v>1430</v>
      </c>
      <c r="AW185" s="94" t="s">
        <v>1430</v>
      </c>
      <c r="AX185" s="94"/>
      <c r="AY185" s="94" t="s">
        <v>2887</v>
      </c>
      <c r="AZ185" s="94" t="s">
        <v>1381</v>
      </c>
      <c r="BA185" s="94" t="s">
        <v>1381</v>
      </c>
      <c r="BB185" s="94" t="s">
        <v>1704</v>
      </c>
      <c r="BC185" s="94" t="s">
        <v>869</v>
      </c>
      <c r="BD185" s="94" t="s">
        <v>869</v>
      </c>
      <c r="BE185" s="94" t="s">
        <v>1283</v>
      </c>
      <c r="BF185" s="94" t="s">
        <v>1283</v>
      </c>
      <c r="BG185" s="94" t="s">
        <v>2959</v>
      </c>
      <c r="BH185" s="94" t="s">
        <v>3222</v>
      </c>
      <c r="BI185" s="94" t="s">
        <v>3222</v>
      </c>
      <c r="BJ185" s="94" t="s">
        <v>3400</v>
      </c>
      <c r="BK185" s="94" t="s">
        <v>2108</v>
      </c>
      <c r="BL185" s="94" t="s">
        <v>2168</v>
      </c>
      <c r="BM185" s="94" t="s">
        <v>1578</v>
      </c>
      <c r="BN185" s="94" t="s">
        <v>1578</v>
      </c>
      <c r="BO185" s="94"/>
      <c r="BR185" s="19"/>
      <c r="BS185" s="20"/>
      <c r="BT185" s="11"/>
      <c r="BU185" s="19"/>
      <c r="BV185" s="19"/>
      <c r="BW185" s="19"/>
    </row>
    <row r="186" spans="1:75" s="14" customFormat="1" ht="22.5" customHeight="1">
      <c r="A186" s="53" t="s">
        <v>18</v>
      </c>
      <c r="B186" s="48">
        <v>0.5</v>
      </c>
      <c r="C186" s="48" t="s">
        <v>3130</v>
      </c>
      <c r="D186" s="48" t="s">
        <v>3130</v>
      </c>
      <c r="E186" s="48">
        <v>0.6</v>
      </c>
      <c r="F186" s="48">
        <v>0.65</v>
      </c>
      <c r="G186" s="48">
        <v>0.6</v>
      </c>
      <c r="H186" s="131">
        <v>0.6</v>
      </c>
      <c r="I186" s="48">
        <v>0.6</v>
      </c>
      <c r="J186" s="48">
        <v>0.5</v>
      </c>
      <c r="K186" s="48">
        <v>0.55000000000000004</v>
      </c>
      <c r="L186" s="48">
        <v>0.5</v>
      </c>
      <c r="M186" s="48">
        <v>0.5</v>
      </c>
      <c r="N186" s="48">
        <v>0.5</v>
      </c>
      <c r="O186" s="48">
        <v>0.8</v>
      </c>
      <c r="P186" s="48">
        <v>0.8</v>
      </c>
      <c r="Q186" s="48">
        <v>0.5</v>
      </c>
      <c r="R186" s="48">
        <v>0.5</v>
      </c>
      <c r="S186" s="48">
        <v>0.5</v>
      </c>
      <c r="T186" s="48">
        <v>0.5</v>
      </c>
      <c r="U186" s="131">
        <v>0.55000000000000004</v>
      </c>
      <c r="V186" s="131">
        <v>0.6</v>
      </c>
      <c r="W186" s="131">
        <v>0.6</v>
      </c>
      <c r="X186" s="48">
        <v>0.6</v>
      </c>
      <c r="Y186" s="48" t="s">
        <v>3998</v>
      </c>
      <c r="Z186" s="48" t="s">
        <v>3998</v>
      </c>
      <c r="AA186" s="48" t="s">
        <v>3998</v>
      </c>
      <c r="AB186" s="48" t="s">
        <v>4260</v>
      </c>
      <c r="AC186" s="48">
        <v>0.6</v>
      </c>
      <c r="AD186" s="48">
        <v>0.5</v>
      </c>
      <c r="AE186" s="48">
        <v>0.5</v>
      </c>
      <c r="AF186" s="48">
        <v>0.6</v>
      </c>
      <c r="AG186" s="48">
        <v>0.6</v>
      </c>
      <c r="AH186" s="48">
        <v>0.6</v>
      </c>
      <c r="AI186" s="48">
        <v>0.55000000000000004</v>
      </c>
      <c r="AJ186" s="48">
        <v>0.6</v>
      </c>
      <c r="AK186" s="48">
        <v>0.6</v>
      </c>
      <c r="AL186" s="48">
        <v>0.55000000000000004</v>
      </c>
      <c r="AM186" s="48" t="s">
        <v>979</v>
      </c>
      <c r="AN186" s="48" t="s">
        <v>994</v>
      </c>
      <c r="AO186" s="48" t="s">
        <v>3461</v>
      </c>
      <c r="AP186" s="48" t="s">
        <v>3461</v>
      </c>
      <c r="AQ186" s="48" t="s">
        <v>3445</v>
      </c>
      <c r="AR186" s="48" t="s">
        <v>3445</v>
      </c>
      <c r="AS186" s="48" t="s">
        <v>39</v>
      </c>
      <c r="AT186" s="48">
        <v>0.8</v>
      </c>
      <c r="AU186" s="48">
        <v>0.8</v>
      </c>
      <c r="AV186" s="48">
        <v>0.5</v>
      </c>
      <c r="AW186" s="48">
        <v>0.6</v>
      </c>
      <c r="AX186" s="48">
        <v>0.5</v>
      </c>
      <c r="AY186" s="48">
        <v>0.7</v>
      </c>
      <c r="AZ186" s="48">
        <v>0.5</v>
      </c>
      <c r="BA186" s="48">
        <v>0.5</v>
      </c>
      <c r="BB186" s="48">
        <v>0.5</v>
      </c>
      <c r="BC186" s="48">
        <v>0.5</v>
      </c>
      <c r="BD186" s="48">
        <v>0.5</v>
      </c>
      <c r="BE186" s="48">
        <v>0.6</v>
      </c>
      <c r="BF186" s="48">
        <v>0.6</v>
      </c>
      <c r="BG186" s="48" t="s">
        <v>2966</v>
      </c>
      <c r="BH186" s="48">
        <v>0.5</v>
      </c>
      <c r="BI186" s="48">
        <v>0.6</v>
      </c>
      <c r="BJ186" s="48">
        <v>0.5</v>
      </c>
      <c r="BK186" s="48">
        <v>0.6</v>
      </c>
      <c r="BL186" s="48">
        <v>0.6</v>
      </c>
      <c r="BM186" s="48">
        <v>0.55000000000000004</v>
      </c>
      <c r="BN186" s="48">
        <v>0.55000000000000004</v>
      </c>
      <c r="BO186" s="48">
        <v>0.6</v>
      </c>
    </row>
    <row r="187" spans="1:75" s="2" customFormat="1" ht="11.25" customHeight="1">
      <c r="A187" s="95" t="s">
        <v>688</v>
      </c>
      <c r="B187" s="94"/>
      <c r="C187" s="94" t="s">
        <v>3125</v>
      </c>
      <c r="D187" s="94" t="s">
        <v>3126</v>
      </c>
      <c r="E187" s="94" t="s">
        <v>1925</v>
      </c>
      <c r="F187" s="94" t="s">
        <v>1926</v>
      </c>
      <c r="G187" s="94" t="s">
        <v>3636</v>
      </c>
      <c r="H187" s="94" t="s">
        <v>2633</v>
      </c>
      <c r="I187" s="94" t="s">
        <v>2709</v>
      </c>
      <c r="J187" s="94" t="s">
        <v>2780</v>
      </c>
      <c r="K187" s="94" t="s">
        <v>2745</v>
      </c>
      <c r="L187" s="94" t="s">
        <v>2737</v>
      </c>
      <c r="M187" s="94" t="s">
        <v>2737</v>
      </c>
      <c r="N187" s="94" t="s">
        <v>1381</v>
      </c>
      <c r="O187" s="94" t="s">
        <v>2796</v>
      </c>
      <c r="P187" s="94" t="s">
        <v>1290</v>
      </c>
      <c r="Q187" s="94" t="s">
        <v>1381</v>
      </c>
      <c r="R187" s="94" t="s">
        <v>1656</v>
      </c>
      <c r="S187" s="94" t="s">
        <v>1381</v>
      </c>
      <c r="T187" s="94" t="s">
        <v>3716</v>
      </c>
      <c r="U187" s="94" t="s">
        <v>4049</v>
      </c>
      <c r="V187" s="94" t="s">
        <v>4052</v>
      </c>
      <c r="W187" s="94" t="s">
        <v>4086</v>
      </c>
      <c r="X187" s="94" t="s">
        <v>808</v>
      </c>
      <c r="Y187" s="94" t="s">
        <v>1381</v>
      </c>
      <c r="Z187" s="94" t="s">
        <v>1381</v>
      </c>
      <c r="AA187" s="94" t="s">
        <v>1381</v>
      </c>
      <c r="AB187" s="94" t="s">
        <v>4246</v>
      </c>
      <c r="AC187" s="94" t="s">
        <v>2740</v>
      </c>
      <c r="AD187" s="94" t="s">
        <v>1381</v>
      </c>
      <c r="AE187" s="94" t="s">
        <v>2369</v>
      </c>
      <c r="AF187" s="94" t="s">
        <v>2310</v>
      </c>
      <c r="AG187" s="94" t="s">
        <v>2248</v>
      </c>
      <c r="AH187" s="94" t="s">
        <v>1131</v>
      </c>
      <c r="AI187" s="94"/>
      <c r="AJ187" s="94" t="s">
        <v>2454</v>
      </c>
      <c r="AK187" s="94" t="s">
        <v>2454</v>
      </c>
      <c r="AL187" s="94" t="s">
        <v>1381</v>
      </c>
      <c r="AM187" s="94" t="s">
        <v>3315</v>
      </c>
      <c r="AN187" s="94" t="s">
        <v>3314</v>
      </c>
      <c r="AO187" s="94" t="s">
        <v>3498</v>
      </c>
      <c r="AP187" s="94" t="s">
        <v>3498</v>
      </c>
      <c r="AQ187" s="94" t="s">
        <v>3498</v>
      </c>
      <c r="AR187" s="94" t="s">
        <v>3498</v>
      </c>
      <c r="AS187" s="94"/>
      <c r="AT187" s="94"/>
      <c r="AU187" s="94"/>
      <c r="AV187" s="94" t="s">
        <v>1430</v>
      </c>
      <c r="AW187" s="94" t="s">
        <v>1430</v>
      </c>
      <c r="AX187" s="94"/>
      <c r="AY187" s="94" t="s">
        <v>2887</v>
      </c>
      <c r="AZ187" s="94" t="s">
        <v>1381</v>
      </c>
      <c r="BA187" s="94" t="s">
        <v>1381</v>
      </c>
      <c r="BB187" s="94" t="s">
        <v>1704</v>
      </c>
      <c r="BC187" s="94" t="s">
        <v>869</v>
      </c>
      <c r="BD187" s="94" t="s">
        <v>869</v>
      </c>
      <c r="BE187" s="94" t="s">
        <v>1283</v>
      </c>
      <c r="BF187" s="94" t="s">
        <v>1283</v>
      </c>
      <c r="BG187" s="94" t="s">
        <v>2959</v>
      </c>
      <c r="BH187" s="94" t="s">
        <v>3222</v>
      </c>
      <c r="BI187" s="94" t="s">
        <v>3222</v>
      </c>
      <c r="BJ187" s="94" t="s">
        <v>3400</v>
      </c>
      <c r="BK187" s="94" t="s">
        <v>2108</v>
      </c>
      <c r="BL187" s="94" t="s">
        <v>2168</v>
      </c>
      <c r="BM187" s="94" t="s">
        <v>1578</v>
      </c>
      <c r="BN187" s="94" t="s">
        <v>1578</v>
      </c>
      <c r="BO187" s="94"/>
      <c r="BR187" s="19"/>
      <c r="BS187" s="20"/>
      <c r="BT187" s="11"/>
      <c r="BU187" s="19"/>
      <c r="BV187" s="19"/>
      <c r="BW187" s="19"/>
    </row>
    <row r="188" spans="1:75" s="14" customFormat="1" ht="22.5" customHeight="1">
      <c r="A188" s="53" t="s">
        <v>19</v>
      </c>
      <c r="B188" s="48">
        <v>0.3</v>
      </c>
      <c r="C188" s="48">
        <v>0.35</v>
      </c>
      <c r="D188" s="48">
        <v>0.35</v>
      </c>
      <c r="E188" s="48">
        <v>0.4</v>
      </c>
      <c r="F188" s="48">
        <v>0.45</v>
      </c>
      <c r="G188" s="48">
        <v>0.4</v>
      </c>
      <c r="H188" s="131">
        <v>0.4</v>
      </c>
      <c r="I188" s="48">
        <v>0.4</v>
      </c>
      <c r="J188" s="48">
        <v>0.3</v>
      </c>
      <c r="K188" s="48">
        <v>0.35</v>
      </c>
      <c r="L188" s="48">
        <v>0.3</v>
      </c>
      <c r="M188" s="48">
        <v>0.3</v>
      </c>
      <c r="N188" s="48">
        <v>0.3</v>
      </c>
      <c r="O188" s="48">
        <v>0.3</v>
      </c>
      <c r="P188" s="48">
        <v>0.4</v>
      </c>
      <c r="Q188" s="48">
        <v>0.3</v>
      </c>
      <c r="R188" s="48">
        <v>0.3</v>
      </c>
      <c r="S188" s="48">
        <v>0.3</v>
      </c>
      <c r="T188" s="48">
        <v>0.3</v>
      </c>
      <c r="U188" s="131">
        <v>0.35</v>
      </c>
      <c r="V188" s="131">
        <v>0.4</v>
      </c>
      <c r="W188" s="131">
        <v>0.4</v>
      </c>
      <c r="X188" s="48">
        <v>0.4</v>
      </c>
      <c r="Y188" s="48" t="s">
        <v>3999</v>
      </c>
      <c r="Z188" s="48" t="s">
        <v>3999</v>
      </c>
      <c r="AA188" s="48" t="s">
        <v>3999</v>
      </c>
      <c r="AB188" s="48" t="s">
        <v>4261</v>
      </c>
      <c r="AC188" s="48">
        <v>0.4</v>
      </c>
      <c r="AD188" s="48">
        <v>0.3</v>
      </c>
      <c r="AE188" s="48">
        <v>0.35</v>
      </c>
      <c r="AF188" s="48">
        <v>0.4</v>
      </c>
      <c r="AG188" s="48">
        <v>0.45</v>
      </c>
      <c r="AH188" s="48">
        <v>0.4</v>
      </c>
      <c r="AI188" s="48">
        <v>0.35</v>
      </c>
      <c r="AJ188" s="48">
        <v>0.45</v>
      </c>
      <c r="AK188" s="48">
        <v>0.45</v>
      </c>
      <c r="AL188" s="48">
        <v>0.35</v>
      </c>
      <c r="AM188" s="48" t="s">
        <v>982</v>
      </c>
      <c r="AN188" s="48" t="s">
        <v>997</v>
      </c>
      <c r="AO188" s="48" t="s">
        <v>3462</v>
      </c>
      <c r="AP188" s="48" t="s">
        <v>3462</v>
      </c>
      <c r="AQ188" s="48" t="s">
        <v>3444</v>
      </c>
      <c r="AR188" s="48" t="s">
        <v>3444</v>
      </c>
      <c r="AS188" s="48" t="s">
        <v>39</v>
      </c>
      <c r="AT188" s="48">
        <v>0.4</v>
      </c>
      <c r="AU188" s="48">
        <v>0.4</v>
      </c>
      <c r="AV188" s="48">
        <v>0.3</v>
      </c>
      <c r="AW188" s="48">
        <v>0.4</v>
      </c>
      <c r="AX188" s="48">
        <v>0.3</v>
      </c>
      <c r="AY188" s="48">
        <v>0.4</v>
      </c>
      <c r="AZ188" s="48">
        <v>0.3</v>
      </c>
      <c r="BA188" s="48">
        <v>0.3</v>
      </c>
      <c r="BB188" s="48">
        <v>0.3</v>
      </c>
      <c r="BC188" s="48">
        <v>0.3</v>
      </c>
      <c r="BD188" s="48">
        <v>0.3</v>
      </c>
      <c r="BE188" s="48">
        <v>0.4</v>
      </c>
      <c r="BF188" s="48">
        <v>0.45</v>
      </c>
      <c r="BG188" s="48" t="s">
        <v>2965</v>
      </c>
      <c r="BH188" s="48">
        <v>0.3</v>
      </c>
      <c r="BI188" s="48">
        <v>0.4</v>
      </c>
      <c r="BJ188" s="48">
        <v>0.4</v>
      </c>
      <c r="BK188" s="48">
        <v>0.45</v>
      </c>
      <c r="BL188" s="48">
        <v>0.4</v>
      </c>
      <c r="BM188" s="48">
        <v>0.4</v>
      </c>
      <c r="BN188" s="48">
        <v>0.4</v>
      </c>
      <c r="BO188" s="48">
        <v>0.4</v>
      </c>
    </row>
    <row r="189" spans="1:75" s="2" customFormat="1" ht="11.25" customHeight="1">
      <c r="A189" s="95" t="s">
        <v>688</v>
      </c>
      <c r="B189" s="94"/>
      <c r="C189" s="94" t="s">
        <v>3125</v>
      </c>
      <c r="D189" s="94" t="s">
        <v>3126</v>
      </c>
      <c r="E189" s="94" t="s">
        <v>1925</v>
      </c>
      <c r="F189" s="94" t="s">
        <v>1926</v>
      </c>
      <c r="G189" s="94" t="s">
        <v>3636</v>
      </c>
      <c r="H189" s="94" t="s">
        <v>2633</v>
      </c>
      <c r="I189" s="94" t="s">
        <v>2709</v>
      </c>
      <c r="J189" s="94" t="s">
        <v>2780</v>
      </c>
      <c r="K189" s="94" t="s">
        <v>2745</v>
      </c>
      <c r="L189" s="94" t="s">
        <v>2737</v>
      </c>
      <c r="M189" s="94" t="s">
        <v>2737</v>
      </c>
      <c r="N189" s="94" t="s">
        <v>1381</v>
      </c>
      <c r="O189" s="94" t="s">
        <v>2792</v>
      </c>
      <c r="P189" s="94" t="s">
        <v>1290</v>
      </c>
      <c r="Q189" s="94" t="s">
        <v>1381</v>
      </c>
      <c r="R189" s="94" t="s">
        <v>1656</v>
      </c>
      <c r="S189" s="94" t="s">
        <v>1381</v>
      </c>
      <c r="T189" s="94" t="s">
        <v>3716</v>
      </c>
      <c r="U189" s="94" t="s">
        <v>4049</v>
      </c>
      <c r="V189" s="94" t="s">
        <v>4052</v>
      </c>
      <c r="W189" s="94" t="s">
        <v>4086</v>
      </c>
      <c r="X189" s="94" t="s">
        <v>808</v>
      </c>
      <c r="Y189" s="94" t="s">
        <v>1381</v>
      </c>
      <c r="Z189" s="94" t="s">
        <v>1381</v>
      </c>
      <c r="AA189" s="94" t="s">
        <v>1381</v>
      </c>
      <c r="AB189" s="94" t="s">
        <v>4246</v>
      </c>
      <c r="AC189" s="94" t="s">
        <v>2740</v>
      </c>
      <c r="AD189" s="94" t="s">
        <v>1381</v>
      </c>
      <c r="AE189" s="94" t="s">
        <v>2369</v>
      </c>
      <c r="AF189" s="94" t="s">
        <v>2310</v>
      </c>
      <c r="AG189" s="94" t="s">
        <v>2248</v>
      </c>
      <c r="AH189" s="94" t="s">
        <v>1131</v>
      </c>
      <c r="AI189" s="94"/>
      <c r="AJ189" s="94" t="s">
        <v>2454</v>
      </c>
      <c r="AK189" s="94" t="s">
        <v>2454</v>
      </c>
      <c r="AL189" s="94" t="s">
        <v>1381</v>
      </c>
      <c r="AM189" s="94" t="s">
        <v>3315</v>
      </c>
      <c r="AN189" s="94" t="s">
        <v>3314</v>
      </c>
      <c r="AO189" s="94" t="s">
        <v>3498</v>
      </c>
      <c r="AP189" s="94" t="s">
        <v>3498</v>
      </c>
      <c r="AQ189" s="94" t="s">
        <v>3498</v>
      </c>
      <c r="AR189" s="94" t="s">
        <v>3498</v>
      </c>
      <c r="AS189" s="94"/>
      <c r="AT189" s="94"/>
      <c r="AU189" s="94"/>
      <c r="AV189" s="94" t="s">
        <v>1430</v>
      </c>
      <c r="AW189" s="94" t="s">
        <v>1430</v>
      </c>
      <c r="AX189" s="94"/>
      <c r="AY189" s="94" t="s">
        <v>2887</v>
      </c>
      <c r="AZ189" s="94" t="s">
        <v>1381</v>
      </c>
      <c r="BA189" s="94" t="s">
        <v>1381</v>
      </c>
      <c r="BB189" s="94" t="s">
        <v>1704</v>
      </c>
      <c r="BC189" s="94" t="s">
        <v>869</v>
      </c>
      <c r="BD189" s="94" t="s">
        <v>869</v>
      </c>
      <c r="BE189" s="94" t="s">
        <v>1283</v>
      </c>
      <c r="BF189" s="94" t="s">
        <v>1283</v>
      </c>
      <c r="BG189" s="94" t="s">
        <v>2959</v>
      </c>
      <c r="BH189" s="94" t="s">
        <v>3222</v>
      </c>
      <c r="BI189" s="94" t="s">
        <v>3222</v>
      </c>
      <c r="BJ189" s="94" t="s">
        <v>3400</v>
      </c>
      <c r="BK189" s="94" t="s">
        <v>2108</v>
      </c>
      <c r="BL189" s="94" t="s">
        <v>2168</v>
      </c>
      <c r="BM189" s="94" t="s">
        <v>1578</v>
      </c>
      <c r="BN189" s="94" t="s">
        <v>1578</v>
      </c>
      <c r="BO189" s="94"/>
      <c r="BR189" s="19"/>
      <c r="BS189" s="20"/>
      <c r="BT189" s="11"/>
      <c r="BU189" s="19"/>
      <c r="BV189" s="19"/>
      <c r="BW189" s="19"/>
    </row>
    <row r="190" spans="1:75" s="14" customFormat="1" ht="22.5" customHeight="1">
      <c r="A190" s="53" t="s">
        <v>20</v>
      </c>
      <c r="B190" s="48">
        <v>0.15</v>
      </c>
      <c r="C190" s="48">
        <v>0.15</v>
      </c>
      <c r="D190" s="48">
        <v>0.15</v>
      </c>
      <c r="E190" s="48">
        <v>0.15</v>
      </c>
      <c r="F190" s="48">
        <v>0.2</v>
      </c>
      <c r="G190" s="48">
        <v>0.1</v>
      </c>
      <c r="H190" s="131">
        <v>0.15</v>
      </c>
      <c r="I190" s="48">
        <v>0.15</v>
      </c>
      <c r="J190" s="48">
        <v>0.1</v>
      </c>
      <c r="K190" s="48">
        <v>0.15</v>
      </c>
      <c r="L190" s="48">
        <v>0.1</v>
      </c>
      <c r="M190" s="48">
        <v>0.1</v>
      </c>
      <c r="N190" s="48">
        <v>0.1</v>
      </c>
      <c r="O190" s="48">
        <v>0.1</v>
      </c>
      <c r="P190" s="48">
        <v>0.1</v>
      </c>
      <c r="Q190" s="48">
        <v>0.1</v>
      </c>
      <c r="R190" s="48">
        <v>0.1</v>
      </c>
      <c r="S190" s="48">
        <v>0.1</v>
      </c>
      <c r="T190" s="48">
        <v>0.2</v>
      </c>
      <c r="U190" s="131">
        <v>0.1</v>
      </c>
      <c r="V190" s="131">
        <v>0.15</v>
      </c>
      <c r="W190" s="131">
        <v>0.15</v>
      </c>
      <c r="X190" s="48">
        <v>0.15</v>
      </c>
      <c r="Y190" s="48" t="s">
        <v>3992</v>
      </c>
      <c r="Z190" s="48" t="s">
        <v>3992</v>
      </c>
      <c r="AA190" s="48" t="s">
        <v>3992</v>
      </c>
      <c r="AB190" s="48" t="s">
        <v>4262</v>
      </c>
      <c r="AC190" s="48">
        <v>0.15</v>
      </c>
      <c r="AD190" s="48">
        <v>0.1</v>
      </c>
      <c r="AE190" s="48">
        <v>0.1</v>
      </c>
      <c r="AF190" s="48">
        <v>0.15</v>
      </c>
      <c r="AG190" s="48">
        <v>0.2</v>
      </c>
      <c r="AH190" s="48">
        <v>0.2</v>
      </c>
      <c r="AI190" s="118">
        <v>0.125</v>
      </c>
      <c r="AJ190" s="48">
        <v>0.2</v>
      </c>
      <c r="AK190" s="48">
        <v>0.2</v>
      </c>
      <c r="AL190" s="118">
        <v>0.125</v>
      </c>
      <c r="AM190" s="48" t="s">
        <v>983</v>
      </c>
      <c r="AN190" s="48" t="s">
        <v>998</v>
      </c>
      <c r="AO190" s="48" t="s">
        <v>3463</v>
      </c>
      <c r="AP190" s="48" t="s">
        <v>3463</v>
      </c>
      <c r="AQ190" s="48" t="s">
        <v>3446</v>
      </c>
      <c r="AR190" s="48" t="s">
        <v>3446</v>
      </c>
      <c r="AS190" s="48" t="s">
        <v>39</v>
      </c>
      <c r="AT190" s="48">
        <v>0.15</v>
      </c>
      <c r="AU190" s="48">
        <v>0.15</v>
      </c>
      <c r="AV190" s="48">
        <v>0.1</v>
      </c>
      <c r="AW190" s="48">
        <v>0.2</v>
      </c>
      <c r="AX190" s="48">
        <v>0.1</v>
      </c>
      <c r="AY190" s="48">
        <v>0.15</v>
      </c>
      <c r="AZ190" s="48">
        <v>0.1</v>
      </c>
      <c r="BA190" s="48">
        <v>0.1</v>
      </c>
      <c r="BB190" s="48">
        <v>0.1</v>
      </c>
      <c r="BC190" s="48">
        <v>0.1</v>
      </c>
      <c r="BD190" s="48">
        <v>0.1</v>
      </c>
      <c r="BE190" s="48">
        <v>0.1</v>
      </c>
      <c r="BF190" s="48">
        <v>0.15</v>
      </c>
      <c r="BG190" s="48" t="s">
        <v>2964</v>
      </c>
      <c r="BH190" s="48">
        <v>0.1</v>
      </c>
      <c r="BI190" s="48">
        <v>0.15</v>
      </c>
      <c r="BJ190" s="48">
        <v>0.1</v>
      </c>
      <c r="BK190" s="48">
        <v>0.2</v>
      </c>
      <c r="BL190" s="48">
        <v>0.15</v>
      </c>
      <c r="BM190" s="48">
        <v>0.15</v>
      </c>
      <c r="BN190" s="48">
        <v>0.15</v>
      </c>
      <c r="BO190" s="48">
        <v>0.15</v>
      </c>
    </row>
    <row r="191" spans="1:75" s="2" customFormat="1" ht="11.25" customHeight="1">
      <c r="A191" s="95" t="s">
        <v>688</v>
      </c>
      <c r="B191" s="94"/>
      <c r="C191" s="94" t="s">
        <v>3125</v>
      </c>
      <c r="D191" s="94" t="s">
        <v>3126</v>
      </c>
      <c r="E191" s="94" t="s">
        <v>1925</v>
      </c>
      <c r="F191" s="94" t="s">
        <v>1926</v>
      </c>
      <c r="G191" s="94" t="s">
        <v>3636</v>
      </c>
      <c r="H191" s="94" t="s">
        <v>2633</v>
      </c>
      <c r="I191" s="94" t="s">
        <v>2709</v>
      </c>
      <c r="J191" s="94" t="s">
        <v>2780</v>
      </c>
      <c r="K191" s="94" t="s">
        <v>2745</v>
      </c>
      <c r="L191" s="94" t="s">
        <v>2737</v>
      </c>
      <c r="M191" s="94" t="s">
        <v>2737</v>
      </c>
      <c r="N191" s="94" t="s">
        <v>1381</v>
      </c>
      <c r="O191" s="94" t="s">
        <v>2792</v>
      </c>
      <c r="P191" s="94" t="s">
        <v>1290</v>
      </c>
      <c r="Q191" s="94" t="s">
        <v>1381</v>
      </c>
      <c r="R191" s="94" t="s">
        <v>1656</v>
      </c>
      <c r="S191" s="94" t="s">
        <v>1381</v>
      </c>
      <c r="T191" s="94" t="s">
        <v>3716</v>
      </c>
      <c r="U191" s="94" t="s">
        <v>4049</v>
      </c>
      <c r="V191" s="94" t="s">
        <v>4052</v>
      </c>
      <c r="W191" s="94" t="s">
        <v>4086</v>
      </c>
      <c r="X191" s="94" t="s">
        <v>808</v>
      </c>
      <c r="Y191" s="94" t="s">
        <v>1381</v>
      </c>
      <c r="Z191" s="94" t="s">
        <v>1381</v>
      </c>
      <c r="AA191" s="94" t="s">
        <v>1381</v>
      </c>
      <c r="AB191" s="94" t="s">
        <v>4246</v>
      </c>
      <c r="AC191" s="94" t="s">
        <v>2740</v>
      </c>
      <c r="AD191" s="94" t="s">
        <v>1381</v>
      </c>
      <c r="AE191" s="94" t="s">
        <v>2369</v>
      </c>
      <c r="AF191" s="94" t="s">
        <v>2310</v>
      </c>
      <c r="AG191" s="94" t="s">
        <v>2248</v>
      </c>
      <c r="AH191" s="94" t="s">
        <v>1131</v>
      </c>
      <c r="AI191" s="94"/>
      <c r="AJ191" s="94" t="s">
        <v>2454</v>
      </c>
      <c r="AK191" s="94" t="s">
        <v>2454</v>
      </c>
      <c r="AL191" s="94" t="s">
        <v>1381</v>
      </c>
      <c r="AM191" s="94" t="s">
        <v>3315</v>
      </c>
      <c r="AN191" s="94" t="s">
        <v>3314</v>
      </c>
      <c r="AO191" s="94" t="s">
        <v>3498</v>
      </c>
      <c r="AP191" s="94" t="s">
        <v>3498</v>
      </c>
      <c r="AQ191" s="94" t="s">
        <v>3498</v>
      </c>
      <c r="AR191" s="94" t="s">
        <v>3498</v>
      </c>
      <c r="AS191" s="94"/>
      <c r="AT191" s="94"/>
      <c r="AU191" s="94"/>
      <c r="AV191" s="94" t="s">
        <v>1430</v>
      </c>
      <c r="AW191" s="94" t="s">
        <v>1430</v>
      </c>
      <c r="AX191" s="94"/>
      <c r="AY191" s="94" t="s">
        <v>2887</v>
      </c>
      <c r="AZ191" s="94" t="s">
        <v>1381</v>
      </c>
      <c r="BA191" s="94" t="s">
        <v>1381</v>
      </c>
      <c r="BB191" s="94" t="s">
        <v>1704</v>
      </c>
      <c r="BC191" s="94" t="s">
        <v>869</v>
      </c>
      <c r="BD191" s="94" t="s">
        <v>869</v>
      </c>
      <c r="BE191" s="94" t="s">
        <v>1283</v>
      </c>
      <c r="BF191" s="94" t="s">
        <v>1283</v>
      </c>
      <c r="BG191" s="94" t="s">
        <v>2959</v>
      </c>
      <c r="BH191" s="94" t="s">
        <v>3222</v>
      </c>
      <c r="BI191" s="94" t="s">
        <v>3222</v>
      </c>
      <c r="BJ191" s="94" t="s">
        <v>3400</v>
      </c>
      <c r="BK191" s="94" t="s">
        <v>2108</v>
      </c>
      <c r="BL191" s="94" t="s">
        <v>2168</v>
      </c>
      <c r="BM191" s="94" t="s">
        <v>1578</v>
      </c>
      <c r="BN191" s="94" t="s">
        <v>1578</v>
      </c>
      <c r="BO191" s="94"/>
      <c r="BR191" s="19"/>
      <c r="BS191" s="20"/>
      <c r="BT191" s="11"/>
      <c r="BU191" s="19"/>
      <c r="BV191" s="19"/>
      <c r="BW191" s="19"/>
    </row>
    <row r="192" spans="1:75" s="14" customFormat="1" ht="22.5" customHeight="1">
      <c r="A192" s="53" t="s">
        <v>21</v>
      </c>
      <c r="B192" s="48">
        <v>0.1</v>
      </c>
      <c r="C192" s="48">
        <v>0.1</v>
      </c>
      <c r="D192" s="48">
        <v>0.1</v>
      </c>
      <c r="E192" s="48">
        <v>0.15</v>
      </c>
      <c r="F192" s="48">
        <v>0.2</v>
      </c>
      <c r="G192" s="48">
        <v>0.1</v>
      </c>
      <c r="H192" s="131">
        <v>0.15</v>
      </c>
      <c r="I192" s="48">
        <v>0.15</v>
      </c>
      <c r="J192" s="48">
        <v>0.05</v>
      </c>
      <c r="K192" s="48">
        <v>0.1</v>
      </c>
      <c r="L192" s="48">
        <v>0.05</v>
      </c>
      <c r="M192" s="48">
        <v>0.05</v>
      </c>
      <c r="N192" s="48">
        <v>0.05</v>
      </c>
      <c r="O192" s="48">
        <v>0.05</v>
      </c>
      <c r="P192" s="48">
        <v>0.1</v>
      </c>
      <c r="Q192" s="48">
        <v>0.05</v>
      </c>
      <c r="R192" s="48">
        <v>0.05</v>
      </c>
      <c r="S192" s="48">
        <v>0.05</v>
      </c>
      <c r="T192" s="48">
        <v>0.15</v>
      </c>
      <c r="U192" s="131">
        <v>0.05</v>
      </c>
      <c r="V192" s="131">
        <v>0.1</v>
      </c>
      <c r="W192" s="131">
        <v>0.15</v>
      </c>
      <c r="X192" s="48">
        <v>0.15</v>
      </c>
      <c r="Y192" s="48" t="s">
        <v>4000</v>
      </c>
      <c r="Z192" s="48" t="s">
        <v>4000</v>
      </c>
      <c r="AA192" s="48" t="s">
        <v>4000</v>
      </c>
      <c r="AB192" s="48" t="s">
        <v>4263</v>
      </c>
      <c r="AC192" s="48">
        <v>0.1</v>
      </c>
      <c r="AD192" s="48">
        <v>0.05</v>
      </c>
      <c r="AE192" s="48">
        <v>0.05</v>
      </c>
      <c r="AF192" s="48">
        <v>0.15</v>
      </c>
      <c r="AG192" s="48">
        <v>0.2</v>
      </c>
      <c r="AH192" s="48">
        <v>0.15</v>
      </c>
      <c r="AI192" s="118">
        <v>7.4999999999999997E-2</v>
      </c>
      <c r="AJ192" s="48">
        <v>0.2</v>
      </c>
      <c r="AK192" s="48">
        <v>0.2</v>
      </c>
      <c r="AL192" s="118">
        <v>7.4999999999999997E-2</v>
      </c>
      <c r="AM192" s="48" t="s">
        <v>983</v>
      </c>
      <c r="AN192" s="48" t="s">
        <v>998</v>
      </c>
      <c r="AO192" s="48" t="s">
        <v>3463</v>
      </c>
      <c r="AP192" s="48" t="s">
        <v>3463</v>
      </c>
      <c r="AQ192" s="48" t="s">
        <v>3446</v>
      </c>
      <c r="AR192" s="48" t="s">
        <v>3446</v>
      </c>
      <c r="AS192" s="48" t="s">
        <v>39</v>
      </c>
      <c r="AT192" s="48">
        <v>0.15</v>
      </c>
      <c r="AU192" s="48">
        <v>0.15</v>
      </c>
      <c r="AV192" s="48">
        <v>0.05</v>
      </c>
      <c r="AW192" s="48">
        <v>0.2</v>
      </c>
      <c r="AX192" s="48">
        <v>0.05</v>
      </c>
      <c r="AY192" s="48">
        <v>0.1</v>
      </c>
      <c r="AZ192" s="48">
        <v>0.05</v>
      </c>
      <c r="BA192" s="48">
        <v>0.05</v>
      </c>
      <c r="BB192" s="48">
        <v>0.05</v>
      </c>
      <c r="BC192" s="48">
        <v>0.05</v>
      </c>
      <c r="BD192" s="48">
        <v>0.05</v>
      </c>
      <c r="BE192" s="48">
        <v>0.1</v>
      </c>
      <c r="BF192" s="48">
        <v>0.15</v>
      </c>
      <c r="BG192" s="48" t="s">
        <v>2963</v>
      </c>
      <c r="BH192" s="48">
        <v>0.05</v>
      </c>
      <c r="BI192" s="48">
        <v>0.15</v>
      </c>
      <c r="BJ192" s="48">
        <v>0.1</v>
      </c>
      <c r="BK192" s="48">
        <v>0.2</v>
      </c>
      <c r="BL192" s="48">
        <v>0.15</v>
      </c>
      <c r="BM192" s="48">
        <v>0.15</v>
      </c>
      <c r="BN192" s="48">
        <v>0.15</v>
      </c>
      <c r="BO192" s="48">
        <v>0.1</v>
      </c>
    </row>
    <row r="193" spans="1:75" s="2" customFormat="1" ht="11.25" customHeight="1">
      <c r="A193" s="95" t="s">
        <v>688</v>
      </c>
      <c r="B193" s="94"/>
      <c r="C193" s="94" t="s">
        <v>3125</v>
      </c>
      <c r="D193" s="94" t="s">
        <v>3126</v>
      </c>
      <c r="E193" s="94" t="s">
        <v>1925</v>
      </c>
      <c r="F193" s="94" t="s">
        <v>1926</v>
      </c>
      <c r="G193" s="94" t="s">
        <v>3636</v>
      </c>
      <c r="H193" s="94" t="s">
        <v>2633</v>
      </c>
      <c r="I193" s="94" t="s">
        <v>2709</v>
      </c>
      <c r="J193" s="94" t="s">
        <v>2780</v>
      </c>
      <c r="K193" s="94" t="s">
        <v>2745</v>
      </c>
      <c r="L193" s="94" t="s">
        <v>2737</v>
      </c>
      <c r="M193" s="94" t="s">
        <v>2737</v>
      </c>
      <c r="N193" s="94" t="s">
        <v>1381</v>
      </c>
      <c r="O193" s="94" t="s">
        <v>2792</v>
      </c>
      <c r="P193" s="94" t="s">
        <v>1290</v>
      </c>
      <c r="Q193" s="94" t="s">
        <v>1381</v>
      </c>
      <c r="R193" s="94" t="s">
        <v>1656</v>
      </c>
      <c r="S193" s="94" t="s">
        <v>1381</v>
      </c>
      <c r="T193" s="94" t="s">
        <v>3716</v>
      </c>
      <c r="U193" s="94" t="s">
        <v>4049</v>
      </c>
      <c r="V193" s="94" t="s">
        <v>4052</v>
      </c>
      <c r="W193" s="94" t="s">
        <v>4086</v>
      </c>
      <c r="X193" s="94" t="s">
        <v>808</v>
      </c>
      <c r="Y193" s="94" t="s">
        <v>1381</v>
      </c>
      <c r="Z193" s="94" t="s">
        <v>1381</v>
      </c>
      <c r="AA193" s="94" t="s">
        <v>1381</v>
      </c>
      <c r="AB193" s="94" t="s">
        <v>4246</v>
      </c>
      <c r="AC193" s="94" t="s">
        <v>2740</v>
      </c>
      <c r="AD193" s="94" t="s">
        <v>1381</v>
      </c>
      <c r="AE193" s="94" t="s">
        <v>2369</v>
      </c>
      <c r="AF193" s="94" t="s">
        <v>2310</v>
      </c>
      <c r="AG193" s="94" t="s">
        <v>2248</v>
      </c>
      <c r="AH193" s="94" t="s">
        <v>1131</v>
      </c>
      <c r="AI193" s="94"/>
      <c r="AJ193" s="94" t="s">
        <v>2454</v>
      </c>
      <c r="AK193" s="94" t="s">
        <v>2454</v>
      </c>
      <c r="AL193" s="94" t="s">
        <v>1381</v>
      </c>
      <c r="AM193" s="94" t="s">
        <v>3315</v>
      </c>
      <c r="AN193" s="94" t="s">
        <v>3314</v>
      </c>
      <c r="AO193" s="94" t="s">
        <v>3498</v>
      </c>
      <c r="AP193" s="94" t="s">
        <v>3498</v>
      </c>
      <c r="AQ193" s="94" t="s">
        <v>3498</v>
      </c>
      <c r="AR193" s="94" t="s">
        <v>3498</v>
      </c>
      <c r="AS193" s="94"/>
      <c r="AT193" s="94"/>
      <c r="AU193" s="94"/>
      <c r="AV193" s="94" t="s">
        <v>1430</v>
      </c>
      <c r="AW193" s="94" t="s">
        <v>1430</v>
      </c>
      <c r="AX193" s="94"/>
      <c r="AY193" s="94" t="s">
        <v>2887</v>
      </c>
      <c r="AZ193" s="94" t="s">
        <v>1381</v>
      </c>
      <c r="BA193" s="94" t="s">
        <v>1381</v>
      </c>
      <c r="BB193" s="94" t="s">
        <v>1704</v>
      </c>
      <c r="BC193" s="94" t="s">
        <v>869</v>
      </c>
      <c r="BD193" s="94" t="s">
        <v>869</v>
      </c>
      <c r="BE193" s="94" t="s">
        <v>1283</v>
      </c>
      <c r="BF193" s="94" t="s">
        <v>1283</v>
      </c>
      <c r="BG193" s="94" t="s">
        <v>2959</v>
      </c>
      <c r="BH193" s="94" t="s">
        <v>3222</v>
      </c>
      <c r="BI193" s="94" t="s">
        <v>3222</v>
      </c>
      <c r="BJ193" s="94" t="s">
        <v>3400</v>
      </c>
      <c r="BK193" s="94" t="s">
        <v>2108</v>
      </c>
      <c r="BL193" s="94" t="s">
        <v>2168</v>
      </c>
      <c r="BM193" s="94" t="s">
        <v>1578</v>
      </c>
      <c r="BN193" s="94" t="s">
        <v>1578</v>
      </c>
      <c r="BO193" s="94"/>
      <c r="BR193" s="19"/>
      <c r="BS193" s="20"/>
      <c r="BT193" s="11"/>
      <c r="BU193" s="19"/>
      <c r="BV193" s="19"/>
      <c r="BW193" s="19"/>
    </row>
    <row r="194" spans="1:75" s="14" customFormat="1" ht="22.5" customHeight="1">
      <c r="A194" s="53" t="s">
        <v>28</v>
      </c>
      <c r="B194" s="48">
        <v>1</v>
      </c>
      <c r="C194" s="48">
        <v>0.5</v>
      </c>
      <c r="D194" s="48">
        <v>0.5</v>
      </c>
      <c r="E194" s="48">
        <v>1</v>
      </c>
      <c r="F194" s="48">
        <v>1</v>
      </c>
      <c r="G194" s="48">
        <v>1</v>
      </c>
      <c r="H194" s="131">
        <v>1</v>
      </c>
      <c r="I194" s="48">
        <v>1</v>
      </c>
      <c r="J194" s="48" t="s">
        <v>39</v>
      </c>
      <c r="K194" s="48">
        <v>1</v>
      </c>
      <c r="L194" s="48" t="s">
        <v>39</v>
      </c>
      <c r="M194" s="48" t="s">
        <v>39</v>
      </c>
      <c r="N194" s="48">
        <v>1</v>
      </c>
      <c r="O194" s="48" t="s">
        <v>39</v>
      </c>
      <c r="P194" s="48">
        <v>1</v>
      </c>
      <c r="Q194" s="48" t="s">
        <v>39</v>
      </c>
      <c r="R194" s="48" t="s">
        <v>39</v>
      </c>
      <c r="S194" s="48" t="s">
        <v>39</v>
      </c>
      <c r="T194" s="48">
        <v>1</v>
      </c>
      <c r="U194" s="131">
        <v>0.4</v>
      </c>
      <c r="V194" s="131">
        <v>0.8</v>
      </c>
      <c r="W194" s="131">
        <v>1</v>
      </c>
      <c r="X194" s="48">
        <v>1</v>
      </c>
      <c r="Y194" s="48" t="s">
        <v>4001</v>
      </c>
      <c r="Z194" s="48" t="s">
        <v>4001</v>
      </c>
      <c r="AA194" s="48" t="s">
        <v>4001</v>
      </c>
      <c r="AB194" s="48" t="s">
        <v>4264</v>
      </c>
      <c r="AC194" s="48">
        <v>1</v>
      </c>
      <c r="AD194" s="48" t="s">
        <v>39</v>
      </c>
      <c r="AE194" s="48">
        <v>0.4</v>
      </c>
      <c r="AF194" s="48">
        <v>1</v>
      </c>
      <c r="AG194" s="48">
        <v>1</v>
      </c>
      <c r="AH194" s="48">
        <v>0.6</v>
      </c>
      <c r="AI194" s="48" t="s">
        <v>39</v>
      </c>
      <c r="AJ194" s="48">
        <v>1</v>
      </c>
      <c r="AK194" s="48">
        <v>1</v>
      </c>
      <c r="AL194" s="48" t="s">
        <v>39</v>
      </c>
      <c r="AM194" s="48" t="s">
        <v>984</v>
      </c>
      <c r="AN194" s="48" t="s">
        <v>999</v>
      </c>
      <c r="AO194" s="48" t="s">
        <v>3464</v>
      </c>
      <c r="AP194" s="48" t="s">
        <v>3464</v>
      </c>
      <c r="AQ194" s="48" t="s">
        <v>3447</v>
      </c>
      <c r="AR194" s="48" t="s">
        <v>3447</v>
      </c>
      <c r="AS194" s="48" t="s">
        <v>39</v>
      </c>
      <c r="AT194" s="48">
        <v>1</v>
      </c>
      <c r="AU194" s="48">
        <v>1</v>
      </c>
      <c r="AV194" s="48" t="s">
        <v>39</v>
      </c>
      <c r="AW194" s="48">
        <v>1</v>
      </c>
      <c r="AX194" s="48" t="s">
        <v>39</v>
      </c>
      <c r="AY194" s="48">
        <v>0.6</v>
      </c>
      <c r="AZ194" s="48">
        <v>0.5</v>
      </c>
      <c r="BA194" s="48" t="s">
        <v>39</v>
      </c>
      <c r="BB194" s="48" t="s">
        <v>39</v>
      </c>
      <c r="BC194" s="48" t="s">
        <v>39</v>
      </c>
      <c r="BD194" s="48" t="s">
        <v>39</v>
      </c>
      <c r="BE194" s="48">
        <v>1</v>
      </c>
      <c r="BF194" s="48">
        <v>1</v>
      </c>
      <c r="BG194" s="48" t="s">
        <v>2962</v>
      </c>
      <c r="BH194" s="48">
        <v>0.5</v>
      </c>
      <c r="BI194" s="48">
        <v>1</v>
      </c>
      <c r="BJ194" s="48">
        <v>1</v>
      </c>
      <c r="BK194" s="48">
        <v>1</v>
      </c>
      <c r="BL194" s="48">
        <v>1</v>
      </c>
      <c r="BM194" s="48">
        <v>1</v>
      </c>
      <c r="BN194" s="48">
        <v>0.5</v>
      </c>
      <c r="BO194" s="48">
        <v>0.9</v>
      </c>
    </row>
    <row r="195" spans="1:75" s="2" customFormat="1" ht="11.25" customHeight="1">
      <c r="A195" s="95" t="s">
        <v>688</v>
      </c>
      <c r="B195" s="94"/>
      <c r="C195" s="94" t="s">
        <v>3125</v>
      </c>
      <c r="D195" s="94" t="s">
        <v>3126</v>
      </c>
      <c r="E195" s="94" t="s">
        <v>1925</v>
      </c>
      <c r="F195" s="94" t="s">
        <v>1926</v>
      </c>
      <c r="G195" s="94" t="s">
        <v>3636</v>
      </c>
      <c r="H195" s="94" t="s">
        <v>2633</v>
      </c>
      <c r="I195" s="94" t="s">
        <v>2709</v>
      </c>
      <c r="J195" s="94" t="s">
        <v>39</v>
      </c>
      <c r="K195" s="94" t="s">
        <v>2745</v>
      </c>
      <c r="L195" s="94" t="s">
        <v>39</v>
      </c>
      <c r="M195" s="94" t="s">
        <v>39</v>
      </c>
      <c r="N195" s="94" t="s">
        <v>1381</v>
      </c>
      <c r="O195" s="94" t="s">
        <v>39</v>
      </c>
      <c r="P195" s="94" t="s">
        <v>1290</v>
      </c>
      <c r="Q195" s="94" t="s">
        <v>39</v>
      </c>
      <c r="R195" s="94" t="s">
        <v>39</v>
      </c>
      <c r="S195" s="94" t="s">
        <v>39</v>
      </c>
      <c r="T195" s="94" t="s">
        <v>3716</v>
      </c>
      <c r="U195" s="94" t="s">
        <v>4050</v>
      </c>
      <c r="V195" s="94" t="s">
        <v>4053</v>
      </c>
      <c r="W195" s="94" t="s">
        <v>4087</v>
      </c>
      <c r="X195" s="94" t="s">
        <v>808</v>
      </c>
      <c r="Y195" s="94" t="s">
        <v>1381</v>
      </c>
      <c r="Z195" s="94" t="s">
        <v>1381</v>
      </c>
      <c r="AA195" s="94" t="s">
        <v>1381</v>
      </c>
      <c r="AB195" s="94"/>
      <c r="AC195" s="94" t="s">
        <v>2740</v>
      </c>
      <c r="AD195" s="94" t="s">
        <v>39</v>
      </c>
      <c r="AE195" s="94" t="s">
        <v>2369</v>
      </c>
      <c r="AF195" s="94" t="s">
        <v>2310</v>
      </c>
      <c r="AG195" s="94" t="s">
        <v>2248</v>
      </c>
      <c r="AH195" s="94" t="s">
        <v>1131</v>
      </c>
      <c r="AI195" s="94"/>
      <c r="AJ195" s="94" t="s">
        <v>2454</v>
      </c>
      <c r="AK195" s="94" t="s">
        <v>2454</v>
      </c>
      <c r="AL195" s="94" t="s">
        <v>39</v>
      </c>
      <c r="AM195" s="94" t="s">
        <v>3315</v>
      </c>
      <c r="AN195" s="94" t="s">
        <v>3314</v>
      </c>
      <c r="AO195" s="94" t="s">
        <v>3498</v>
      </c>
      <c r="AP195" s="94" t="s">
        <v>3498</v>
      </c>
      <c r="AQ195" s="94" t="s">
        <v>3498</v>
      </c>
      <c r="AR195" s="94" t="s">
        <v>3498</v>
      </c>
      <c r="AS195" s="94"/>
      <c r="AT195" s="94"/>
      <c r="AU195" s="94"/>
      <c r="AV195" s="94" t="s">
        <v>39</v>
      </c>
      <c r="AW195" s="94" t="s">
        <v>1430</v>
      </c>
      <c r="AX195" s="94"/>
      <c r="AY195" s="94" t="s">
        <v>2887</v>
      </c>
      <c r="AZ195" s="94" t="s">
        <v>1381</v>
      </c>
      <c r="BA195" s="94" t="s">
        <v>39</v>
      </c>
      <c r="BB195" s="94" t="s">
        <v>39</v>
      </c>
      <c r="BC195" s="94" t="s">
        <v>39</v>
      </c>
      <c r="BD195" s="94" t="s">
        <v>39</v>
      </c>
      <c r="BE195" s="94" t="s">
        <v>1283</v>
      </c>
      <c r="BF195" s="94" t="s">
        <v>1283</v>
      </c>
      <c r="BG195" s="94" t="s">
        <v>2959</v>
      </c>
      <c r="BH195" s="94" t="s">
        <v>3222</v>
      </c>
      <c r="BI195" s="94" t="s">
        <v>3222</v>
      </c>
      <c r="BJ195" s="94" t="s">
        <v>3400</v>
      </c>
      <c r="BK195" s="94" t="s">
        <v>2108</v>
      </c>
      <c r="BL195" s="94" t="s">
        <v>2168</v>
      </c>
      <c r="BM195" s="94" t="s">
        <v>1586</v>
      </c>
      <c r="BN195" s="94" t="s">
        <v>1578</v>
      </c>
      <c r="BO195" s="94"/>
      <c r="BR195" s="19"/>
      <c r="BS195" s="20"/>
      <c r="BT195" s="11"/>
      <c r="BU195" s="19"/>
      <c r="BV195" s="19"/>
      <c r="BW195" s="19"/>
    </row>
    <row r="196" spans="1:75" s="14" customFormat="1" ht="22.5" customHeight="1">
      <c r="A196" s="53" t="s">
        <v>110</v>
      </c>
      <c r="B196" s="48">
        <v>0.3</v>
      </c>
      <c r="C196" s="48">
        <v>0.25</v>
      </c>
      <c r="D196" s="48">
        <v>0.25</v>
      </c>
      <c r="E196" s="48">
        <v>0.25</v>
      </c>
      <c r="F196" s="48">
        <v>0.3</v>
      </c>
      <c r="G196" s="48" t="s">
        <v>39</v>
      </c>
      <c r="H196" s="131" t="s">
        <v>39</v>
      </c>
      <c r="I196" s="48">
        <v>0.25</v>
      </c>
      <c r="J196" s="48" t="s">
        <v>39</v>
      </c>
      <c r="K196" s="48" t="s">
        <v>39</v>
      </c>
      <c r="L196" s="48">
        <v>0.2</v>
      </c>
      <c r="M196" s="48">
        <v>0.2</v>
      </c>
      <c r="N196" s="48">
        <v>0.15</v>
      </c>
      <c r="O196" s="48" t="s">
        <v>39</v>
      </c>
      <c r="P196" s="48" t="s">
        <v>39</v>
      </c>
      <c r="Q196" s="48" t="s">
        <v>39</v>
      </c>
      <c r="R196" s="48">
        <v>0.2</v>
      </c>
      <c r="S196" s="48" t="s">
        <v>39</v>
      </c>
      <c r="T196" s="48">
        <v>0.2</v>
      </c>
      <c r="U196" s="131" t="s">
        <v>39</v>
      </c>
      <c r="V196" s="131" t="s">
        <v>39</v>
      </c>
      <c r="W196" s="131">
        <v>0.3</v>
      </c>
      <c r="X196" s="48">
        <v>0.25</v>
      </c>
      <c r="Y196" s="48" t="s">
        <v>4002</v>
      </c>
      <c r="Z196" s="48" t="s">
        <v>4002</v>
      </c>
      <c r="AA196" s="48" t="s">
        <v>4002</v>
      </c>
      <c r="AB196" s="48" t="s">
        <v>4264</v>
      </c>
      <c r="AC196" s="48">
        <v>0.25</v>
      </c>
      <c r="AD196" s="48" t="s">
        <v>39</v>
      </c>
      <c r="AE196" s="48" t="s">
        <v>39</v>
      </c>
      <c r="AF196" s="48">
        <v>0.25</v>
      </c>
      <c r="AG196" s="48">
        <v>0.25</v>
      </c>
      <c r="AH196" s="48">
        <v>0.25</v>
      </c>
      <c r="AI196" s="48" t="s">
        <v>39</v>
      </c>
      <c r="AJ196" s="48">
        <v>0.25</v>
      </c>
      <c r="AK196" s="48">
        <v>0.25</v>
      </c>
      <c r="AL196" s="48" t="s">
        <v>39</v>
      </c>
      <c r="AM196" s="48" t="s">
        <v>985</v>
      </c>
      <c r="AN196" s="48" t="s">
        <v>1000</v>
      </c>
      <c r="AO196" s="48" t="s">
        <v>3476</v>
      </c>
      <c r="AP196" s="48" t="s">
        <v>3476</v>
      </c>
      <c r="AQ196" s="48" t="s">
        <v>3455</v>
      </c>
      <c r="AR196" s="48" t="s">
        <v>3455</v>
      </c>
      <c r="AS196" s="48" t="s">
        <v>39</v>
      </c>
      <c r="AT196" s="48" t="s">
        <v>39</v>
      </c>
      <c r="AU196" s="48" t="s">
        <v>39</v>
      </c>
      <c r="AV196" s="48" t="s">
        <v>39</v>
      </c>
      <c r="AW196" s="48" t="s">
        <v>39</v>
      </c>
      <c r="AX196" s="48" t="s">
        <v>39</v>
      </c>
      <c r="AY196" s="48" t="s">
        <v>39</v>
      </c>
      <c r="AZ196" s="48">
        <v>0.2</v>
      </c>
      <c r="BA196" s="48" t="s">
        <v>39</v>
      </c>
      <c r="BB196" s="48" t="s">
        <v>39</v>
      </c>
      <c r="BC196" s="48" t="s">
        <v>39</v>
      </c>
      <c r="BD196" s="48" t="s">
        <v>39</v>
      </c>
      <c r="BE196" s="48">
        <v>0.25</v>
      </c>
      <c r="BF196" s="48">
        <v>0.25</v>
      </c>
      <c r="BG196" s="48" t="s">
        <v>2961</v>
      </c>
      <c r="BH196" s="48">
        <v>0.1</v>
      </c>
      <c r="BI196" s="48">
        <v>0.2</v>
      </c>
      <c r="BJ196" s="48" t="s">
        <v>39</v>
      </c>
      <c r="BK196" s="48">
        <v>0.25</v>
      </c>
      <c r="BL196" s="48">
        <v>0.25</v>
      </c>
      <c r="BM196" s="48">
        <v>0.2</v>
      </c>
      <c r="BN196" s="48">
        <v>0.2</v>
      </c>
      <c r="BO196" s="48" t="s">
        <v>39</v>
      </c>
    </row>
    <row r="197" spans="1:75" s="2" customFormat="1" ht="11.25" customHeight="1">
      <c r="A197" s="95" t="s">
        <v>688</v>
      </c>
      <c r="B197" s="94"/>
      <c r="C197" s="94" t="s">
        <v>3125</v>
      </c>
      <c r="D197" s="94" t="s">
        <v>3126</v>
      </c>
      <c r="E197" s="94" t="s">
        <v>1925</v>
      </c>
      <c r="F197" s="94" t="s">
        <v>1926</v>
      </c>
      <c r="G197" s="94" t="s">
        <v>39</v>
      </c>
      <c r="H197" s="94" t="s">
        <v>39</v>
      </c>
      <c r="I197" s="94" t="s">
        <v>2709</v>
      </c>
      <c r="J197" s="94" t="s">
        <v>39</v>
      </c>
      <c r="K197" s="94" t="s">
        <v>39</v>
      </c>
      <c r="L197" s="94" t="s">
        <v>2737</v>
      </c>
      <c r="M197" s="94" t="s">
        <v>2737</v>
      </c>
      <c r="N197" s="94" t="s">
        <v>1381</v>
      </c>
      <c r="O197" s="94" t="s">
        <v>39</v>
      </c>
      <c r="P197" s="94" t="s">
        <v>39</v>
      </c>
      <c r="Q197" s="94" t="s">
        <v>39</v>
      </c>
      <c r="R197" s="94" t="s">
        <v>1656</v>
      </c>
      <c r="S197" s="94" t="s">
        <v>39</v>
      </c>
      <c r="T197" s="94" t="s">
        <v>3716</v>
      </c>
      <c r="U197" s="94" t="s">
        <v>39</v>
      </c>
      <c r="V197" s="94" t="s">
        <v>39</v>
      </c>
      <c r="W197" s="94" t="s">
        <v>4085</v>
      </c>
      <c r="X197" s="94" t="s">
        <v>808</v>
      </c>
      <c r="Y197" s="94" t="s">
        <v>1381</v>
      </c>
      <c r="Z197" s="94" t="s">
        <v>1381</v>
      </c>
      <c r="AA197" s="94" t="s">
        <v>1381</v>
      </c>
      <c r="AB197" s="94"/>
      <c r="AC197" s="94" t="s">
        <v>2740</v>
      </c>
      <c r="AD197" s="94" t="s">
        <v>39</v>
      </c>
      <c r="AE197" s="94" t="s">
        <v>39</v>
      </c>
      <c r="AF197" s="94" t="s">
        <v>2310</v>
      </c>
      <c r="AG197" s="94" t="s">
        <v>2248</v>
      </c>
      <c r="AH197" s="94" t="s">
        <v>1131</v>
      </c>
      <c r="AI197" s="94"/>
      <c r="AJ197" s="94" t="s">
        <v>2454</v>
      </c>
      <c r="AK197" s="94" t="s">
        <v>2454</v>
      </c>
      <c r="AL197" s="94" t="s">
        <v>39</v>
      </c>
      <c r="AM197" s="94" t="s">
        <v>3315</v>
      </c>
      <c r="AN197" s="94" t="s">
        <v>3314</v>
      </c>
      <c r="AO197" s="94" t="s">
        <v>3498</v>
      </c>
      <c r="AP197" s="94" t="s">
        <v>3498</v>
      </c>
      <c r="AQ197" s="94" t="s">
        <v>3498</v>
      </c>
      <c r="AR197" s="94" t="s">
        <v>3498</v>
      </c>
      <c r="AS197" s="94"/>
      <c r="AT197" s="94"/>
      <c r="AU197" s="94"/>
      <c r="AV197" s="94" t="s">
        <v>39</v>
      </c>
      <c r="AW197" s="94" t="s">
        <v>39</v>
      </c>
      <c r="AX197" s="94"/>
      <c r="AY197" s="94" t="s">
        <v>39</v>
      </c>
      <c r="AZ197" s="94" t="s">
        <v>1218</v>
      </c>
      <c r="BA197" s="94" t="s">
        <v>39</v>
      </c>
      <c r="BB197" s="94" t="s">
        <v>39</v>
      </c>
      <c r="BC197" s="94" t="s">
        <v>39</v>
      </c>
      <c r="BD197" s="94" t="s">
        <v>39</v>
      </c>
      <c r="BE197" s="94" t="s">
        <v>1284</v>
      </c>
      <c r="BF197" s="94" t="s">
        <v>1284</v>
      </c>
      <c r="BG197" s="94" t="s">
        <v>2959</v>
      </c>
      <c r="BH197" s="94" t="s">
        <v>3222</v>
      </c>
      <c r="BI197" s="94" t="s">
        <v>3222</v>
      </c>
      <c r="BJ197" s="94" t="s">
        <v>39</v>
      </c>
      <c r="BK197" s="94" t="s">
        <v>2108</v>
      </c>
      <c r="BL197" s="94" t="s">
        <v>2168</v>
      </c>
      <c r="BM197" s="94" t="s">
        <v>1578</v>
      </c>
      <c r="BN197" s="94" t="s">
        <v>1578</v>
      </c>
      <c r="BO197" s="94"/>
      <c r="BR197" s="19"/>
      <c r="BS197" s="20"/>
      <c r="BT197" s="11"/>
      <c r="BU197" s="19"/>
      <c r="BV197" s="19"/>
      <c r="BW197" s="19"/>
    </row>
    <row r="198" spans="1:75" s="14" customFormat="1" ht="22.5" customHeight="1">
      <c r="A198" s="53" t="s">
        <v>111</v>
      </c>
      <c r="B198" s="48">
        <v>0.8</v>
      </c>
      <c r="C198" s="48">
        <v>1</v>
      </c>
      <c r="D198" s="48">
        <v>1</v>
      </c>
      <c r="E198" s="48" t="s">
        <v>39</v>
      </c>
      <c r="F198" s="48" t="s">
        <v>39</v>
      </c>
      <c r="G198" s="48" t="s">
        <v>39</v>
      </c>
      <c r="H198" s="131" t="s">
        <v>39</v>
      </c>
      <c r="I198" s="48">
        <v>1</v>
      </c>
      <c r="J198" s="48" t="s">
        <v>39</v>
      </c>
      <c r="K198" s="48" t="s">
        <v>39</v>
      </c>
      <c r="L198" s="48">
        <v>1</v>
      </c>
      <c r="M198" s="48">
        <v>1</v>
      </c>
      <c r="N198" s="48">
        <v>1</v>
      </c>
      <c r="O198" s="48" t="s">
        <v>39</v>
      </c>
      <c r="P198" s="48" t="s">
        <v>39</v>
      </c>
      <c r="Q198" s="48" t="s">
        <v>39</v>
      </c>
      <c r="R198" s="48" t="s">
        <v>39</v>
      </c>
      <c r="S198" s="48" t="s">
        <v>39</v>
      </c>
      <c r="T198" s="48" t="s">
        <v>39</v>
      </c>
      <c r="U198" s="131" t="s">
        <v>39</v>
      </c>
      <c r="V198" s="131" t="s">
        <v>39</v>
      </c>
      <c r="W198" s="131" t="s">
        <v>4088</v>
      </c>
      <c r="X198" s="48">
        <v>1</v>
      </c>
      <c r="Y198" s="48" t="s">
        <v>4003</v>
      </c>
      <c r="Z198" s="48" t="s">
        <v>4003</v>
      </c>
      <c r="AA198" s="48" t="s">
        <v>4003</v>
      </c>
      <c r="AB198" s="48" t="s">
        <v>4264</v>
      </c>
      <c r="AC198" s="48" t="s">
        <v>3651</v>
      </c>
      <c r="AD198" s="48" t="s">
        <v>39</v>
      </c>
      <c r="AE198" s="48" t="s">
        <v>39</v>
      </c>
      <c r="AF198" s="48">
        <v>1</v>
      </c>
      <c r="AG198" s="48">
        <v>1</v>
      </c>
      <c r="AH198" s="48" t="s">
        <v>39</v>
      </c>
      <c r="AI198" s="48" t="s">
        <v>39</v>
      </c>
      <c r="AJ198" s="48">
        <v>1</v>
      </c>
      <c r="AK198" s="48">
        <v>1</v>
      </c>
      <c r="AL198" s="48" t="s">
        <v>39</v>
      </c>
      <c r="AM198" s="48" t="s">
        <v>984</v>
      </c>
      <c r="AN198" s="48" t="s">
        <v>999</v>
      </c>
      <c r="AO198" s="48" t="s">
        <v>3475</v>
      </c>
      <c r="AP198" s="48" t="s">
        <v>3475</v>
      </c>
      <c r="AQ198" s="48" t="s">
        <v>3447</v>
      </c>
      <c r="AR198" s="48" t="s">
        <v>3447</v>
      </c>
      <c r="AS198" s="48" t="s">
        <v>39</v>
      </c>
      <c r="AT198" s="48" t="s">
        <v>39</v>
      </c>
      <c r="AU198" s="48" t="s">
        <v>39</v>
      </c>
      <c r="AV198" s="48" t="s">
        <v>39</v>
      </c>
      <c r="AW198" s="48" t="s">
        <v>39</v>
      </c>
      <c r="AX198" s="48" t="s">
        <v>39</v>
      </c>
      <c r="AY198" s="48" t="s">
        <v>39</v>
      </c>
      <c r="AZ198" s="48">
        <v>1</v>
      </c>
      <c r="BA198" s="48" t="s">
        <v>39</v>
      </c>
      <c r="BB198" s="48" t="s">
        <v>39</v>
      </c>
      <c r="BC198" s="48" t="s">
        <v>39</v>
      </c>
      <c r="BD198" s="48" t="s">
        <v>39</v>
      </c>
      <c r="BE198" s="48">
        <v>1</v>
      </c>
      <c r="BF198" s="48">
        <v>1</v>
      </c>
      <c r="BG198" s="48">
        <v>1</v>
      </c>
      <c r="BH198" s="48">
        <v>0.5</v>
      </c>
      <c r="BI198" s="48">
        <v>1</v>
      </c>
      <c r="BJ198" s="48" t="s">
        <v>39</v>
      </c>
      <c r="BK198" s="48">
        <v>1</v>
      </c>
      <c r="BL198" s="48">
        <v>1</v>
      </c>
      <c r="BM198" s="48" t="s">
        <v>39</v>
      </c>
      <c r="BN198" s="48" t="s">
        <v>39</v>
      </c>
      <c r="BO198" s="48" t="s">
        <v>39</v>
      </c>
    </row>
    <row r="199" spans="1:75" s="2" customFormat="1" ht="11.25" customHeight="1">
      <c r="A199" s="95" t="s">
        <v>688</v>
      </c>
      <c r="B199" s="94"/>
      <c r="C199" s="94" t="s">
        <v>3125</v>
      </c>
      <c r="D199" s="94" t="s">
        <v>3126</v>
      </c>
      <c r="E199" s="94" t="s">
        <v>39</v>
      </c>
      <c r="F199" s="94" t="s">
        <v>39</v>
      </c>
      <c r="G199" s="94" t="s">
        <v>39</v>
      </c>
      <c r="H199" s="94" t="s">
        <v>39</v>
      </c>
      <c r="I199" s="94" t="s">
        <v>2709</v>
      </c>
      <c r="J199" s="94" t="s">
        <v>39</v>
      </c>
      <c r="K199" s="94" t="s">
        <v>39</v>
      </c>
      <c r="L199" s="94" t="s">
        <v>2737</v>
      </c>
      <c r="M199" s="94" t="s">
        <v>2737</v>
      </c>
      <c r="N199" s="94" t="s">
        <v>1381</v>
      </c>
      <c r="O199" s="94" t="s">
        <v>39</v>
      </c>
      <c r="P199" s="94" t="s">
        <v>39</v>
      </c>
      <c r="Q199" s="94" t="s">
        <v>39</v>
      </c>
      <c r="R199" s="94" t="s">
        <v>39</v>
      </c>
      <c r="S199" s="94" t="s">
        <v>39</v>
      </c>
      <c r="T199" s="94" t="s">
        <v>39</v>
      </c>
      <c r="U199" s="94" t="s">
        <v>39</v>
      </c>
      <c r="V199" s="94" t="s">
        <v>39</v>
      </c>
      <c r="W199" s="94" t="s">
        <v>4085</v>
      </c>
      <c r="X199" s="94" t="s">
        <v>808</v>
      </c>
      <c r="Y199" s="94" t="s">
        <v>1381</v>
      </c>
      <c r="Z199" s="94" t="s">
        <v>1381</v>
      </c>
      <c r="AA199" s="94" t="s">
        <v>1381</v>
      </c>
      <c r="AB199" s="94"/>
      <c r="AC199" s="94" t="s">
        <v>2740</v>
      </c>
      <c r="AD199" s="94" t="s">
        <v>39</v>
      </c>
      <c r="AE199" s="94" t="s">
        <v>39</v>
      </c>
      <c r="AF199" s="94" t="s">
        <v>2310</v>
      </c>
      <c r="AG199" s="94" t="s">
        <v>2248</v>
      </c>
      <c r="AH199" s="94" t="s">
        <v>39</v>
      </c>
      <c r="AI199" s="94"/>
      <c r="AJ199" s="94" t="s">
        <v>2454</v>
      </c>
      <c r="AK199" s="94" t="s">
        <v>2454</v>
      </c>
      <c r="AL199" s="94" t="s">
        <v>39</v>
      </c>
      <c r="AM199" s="94" t="s">
        <v>3315</v>
      </c>
      <c r="AN199" s="94" t="s">
        <v>3314</v>
      </c>
      <c r="AO199" s="94" t="s">
        <v>3498</v>
      </c>
      <c r="AP199" s="94" t="s">
        <v>3498</v>
      </c>
      <c r="AQ199" s="94" t="s">
        <v>3498</v>
      </c>
      <c r="AR199" s="94" t="s">
        <v>3498</v>
      </c>
      <c r="AS199" s="94"/>
      <c r="AT199" s="94"/>
      <c r="AU199" s="94"/>
      <c r="AV199" s="94" t="s">
        <v>39</v>
      </c>
      <c r="AW199" s="94" t="s">
        <v>39</v>
      </c>
      <c r="AX199" s="94"/>
      <c r="AY199" s="94" t="s">
        <v>39</v>
      </c>
      <c r="AZ199" s="94" t="s">
        <v>1218</v>
      </c>
      <c r="BA199" s="94" t="s">
        <v>39</v>
      </c>
      <c r="BB199" s="94" t="s">
        <v>39</v>
      </c>
      <c r="BC199" s="94" t="s">
        <v>39</v>
      </c>
      <c r="BD199" s="94" t="s">
        <v>39</v>
      </c>
      <c r="BE199" s="94" t="s">
        <v>1284</v>
      </c>
      <c r="BF199" s="94" t="s">
        <v>1284</v>
      </c>
      <c r="BG199" s="94" t="s">
        <v>2959</v>
      </c>
      <c r="BH199" s="94" t="s">
        <v>3222</v>
      </c>
      <c r="BI199" s="94" t="s">
        <v>3222</v>
      </c>
      <c r="BJ199" s="94" t="s">
        <v>39</v>
      </c>
      <c r="BK199" s="94" t="s">
        <v>2108</v>
      </c>
      <c r="BL199" s="94" t="s">
        <v>2168</v>
      </c>
      <c r="BM199" s="94" t="s">
        <v>39</v>
      </c>
      <c r="BN199" s="94" t="s">
        <v>39</v>
      </c>
      <c r="BO199" s="94"/>
      <c r="BR199" s="19"/>
      <c r="BS199" s="20"/>
      <c r="BT199" s="11"/>
      <c r="BU199" s="19"/>
      <c r="BV199" s="19"/>
      <c r="BW199" s="19"/>
    </row>
    <row r="200" spans="1:75" s="14" customFormat="1" ht="22.5" customHeight="1">
      <c r="A200" s="53" t="s">
        <v>112</v>
      </c>
      <c r="B200" s="48">
        <v>0.1</v>
      </c>
      <c r="C200" s="48">
        <v>0.1</v>
      </c>
      <c r="D200" s="48">
        <v>0.1</v>
      </c>
      <c r="E200" s="48">
        <v>0.1</v>
      </c>
      <c r="F200" s="48">
        <v>0.15</v>
      </c>
      <c r="G200" s="48" t="s">
        <v>39</v>
      </c>
      <c r="H200" s="131" t="s">
        <v>39</v>
      </c>
      <c r="I200" s="48">
        <v>0.1</v>
      </c>
      <c r="J200" s="48" t="s">
        <v>39</v>
      </c>
      <c r="K200" s="48" t="s">
        <v>39</v>
      </c>
      <c r="L200" s="48">
        <v>0.1</v>
      </c>
      <c r="M200" s="48">
        <v>0.1</v>
      </c>
      <c r="N200" s="48">
        <v>0.05</v>
      </c>
      <c r="O200" s="48" t="s">
        <v>39</v>
      </c>
      <c r="P200" s="48" t="s">
        <v>39</v>
      </c>
      <c r="Q200" s="48" t="s">
        <v>39</v>
      </c>
      <c r="R200" s="48">
        <v>0.1</v>
      </c>
      <c r="S200" s="48" t="s">
        <v>39</v>
      </c>
      <c r="T200" s="48">
        <v>0.1</v>
      </c>
      <c r="U200" s="131" t="s">
        <v>39</v>
      </c>
      <c r="V200" s="131" t="s">
        <v>39</v>
      </c>
      <c r="W200" s="131">
        <v>0.2</v>
      </c>
      <c r="X200" s="48">
        <v>0.1</v>
      </c>
      <c r="Y200" s="48" t="s">
        <v>4004</v>
      </c>
      <c r="Z200" s="48" t="s">
        <v>4004</v>
      </c>
      <c r="AA200" s="48" t="s">
        <v>4004</v>
      </c>
      <c r="AB200" s="48" t="s">
        <v>4264</v>
      </c>
      <c r="AC200" s="48">
        <v>0.1</v>
      </c>
      <c r="AD200" s="48" t="s">
        <v>39</v>
      </c>
      <c r="AE200" s="48" t="s">
        <v>39</v>
      </c>
      <c r="AF200" s="48">
        <v>0.1</v>
      </c>
      <c r="AG200" s="48">
        <v>0.1</v>
      </c>
      <c r="AH200" s="48">
        <v>0.1</v>
      </c>
      <c r="AI200" s="48" t="s">
        <v>39</v>
      </c>
      <c r="AJ200" s="48">
        <v>0.1</v>
      </c>
      <c r="AK200" s="48">
        <v>0.1</v>
      </c>
      <c r="AL200" s="48" t="s">
        <v>39</v>
      </c>
      <c r="AM200" s="48" t="s">
        <v>986</v>
      </c>
      <c r="AN200" s="48" t="s">
        <v>1001</v>
      </c>
      <c r="AO200" s="48" t="s">
        <v>3477</v>
      </c>
      <c r="AP200" s="48" t="s">
        <v>3477</v>
      </c>
      <c r="AQ200" s="48" t="s">
        <v>3456</v>
      </c>
      <c r="AR200" s="48" t="s">
        <v>3456</v>
      </c>
      <c r="AS200" s="48" t="s">
        <v>39</v>
      </c>
      <c r="AT200" s="48" t="s">
        <v>39</v>
      </c>
      <c r="AU200" s="48" t="s">
        <v>39</v>
      </c>
      <c r="AV200" s="48" t="s">
        <v>39</v>
      </c>
      <c r="AW200" s="48">
        <v>0.1</v>
      </c>
      <c r="AX200" s="48" t="s">
        <v>39</v>
      </c>
      <c r="AY200" s="48" t="s">
        <v>39</v>
      </c>
      <c r="AZ200" s="48">
        <v>0.1</v>
      </c>
      <c r="BA200" s="48" t="s">
        <v>39</v>
      </c>
      <c r="BB200" s="48" t="s">
        <v>39</v>
      </c>
      <c r="BC200" s="48" t="s">
        <v>39</v>
      </c>
      <c r="BD200" s="48" t="s">
        <v>39</v>
      </c>
      <c r="BE200" s="48">
        <v>0.1</v>
      </c>
      <c r="BF200" s="48">
        <v>0.1</v>
      </c>
      <c r="BG200" s="48">
        <v>0.1</v>
      </c>
      <c r="BH200" s="48">
        <v>0.05</v>
      </c>
      <c r="BI200" s="48">
        <v>0.1</v>
      </c>
      <c r="BJ200" s="48" t="s">
        <v>39</v>
      </c>
      <c r="BK200" s="48">
        <v>0.1</v>
      </c>
      <c r="BL200" s="48">
        <v>0.1</v>
      </c>
      <c r="BM200" s="48">
        <v>0.1</v>
      </c>
      <c r="BN200" s="48">
        <v>0.1</v>
      </c>
      <c r="BO200" s="48" t="s">
        <v>39</v>
      </c>
    </row>
    <row r="201" spans="1:75" s="2" customFormat="1" ht="11.25" customHeight="1">
      <c r="A201" s="95" t="s">
        <v>688</v>
      </c>
      <c r="B201" s="94"/>
      <c r="C201" s="94" t="s">
        <v>3125</v>
      </c>
      <c r="D201" s="94" t="s">
        <v>3126</v>
      </c>
      <c r="E201" s="94" t="s">
        <v>1925</v>
      </c>
      <c r="F201" s="94" t="s">
        <v>1926</v>
      </c>
      <c r="G201" s="94" t="s">
        <v>39</v>
      </c>
      <c r="H201" s="94" t="s">
        <v>39</v>
      </c>
      <c r="I201" s="94" t="s">
        <v>2709</v>
      </c>
      <c r="J201" s="94" t="s">
        <v>39</v>
      </c>
      <c r="K201" s="94" t="s">
        <v>39</v>
      </c>
      <c r="L201" s="94" t="s">
        <v>2737</v>
      </c>
      <c r="M201" s="94" t="s">
        <v>2737</v>
      </c>
      <c r="N201" s="94" t="s">
        <v>1381</v>
      </c>
      <c r="O201" s="94" t="s">
        <v>39</v>
      </c>
      <c r="P201" s="94" t="s">
        <v>39</v>
      </c>
      <c r="Q201" s="94" t="s">
        <v>39</v>
      </c>
      <c r="R201" s="94" t="s">
        <v>1656</v>
      </c>
      <c r="S201" s="94" t="s">
        <v>39</v>
      </c>
      <c r="T201" s="94" t="s">
        <v>3716</v>
      </c>
      <c r="U201" s="94" t="s">
        <v>39</v>
      </c>
      <c r="V201" s="94" t="s">
        <v>39</v>
      </c>
      <c r="W201" s="94" t="s">
        <v>4085</v>
      </c>
      <c r="X201" s="94" t="s">
        <v>808</v>
      </c>
      <c r="Y201" s="94" t="s">
        <v>1381</v>
      </c>
      <c r="Z201" s="94" t="s">
        <v>1381</v>
      </c>
      <c r="AA201" s="94" t="s">
        <v>1381</v>
      </c>
      <c r="AB201" s="94"/>
      <c r="AC201" s="94" t="s">
        <v>2740</v>
      </c>
      <c r="AD201" s="94" t="s">
        <v>39</v>
      </c>
      <c r="AE201" s="94" t="s">
        <v>39</v>
      </c>
      <c r="AF201" s="94" t="s">
        <v>2310</v>
      </c>
      <c r="AG201" s="94" t="s">
        <v>2248</v>
      </c>
      <c r="AH201" s="94" t="s">
        <v>1131</v>
      </c>
      <c r="AI201" s="94"/>
      <c r="AJ201" s="94" t="s">
        <v>2454</v>
      </c>
      <c r="AK201" s="94" t="s">
        <v>2454</v>
      </c>
      <c r="AL201" s="94" t="s">
        <v>39</v>
      </c>
      <c r="AM201" s="94" t="s">
        <v>3315</v>
      </c>
      <c r="AN201" s="94" t="s">
        <v>3314</v>
      </c>
      <c r="AO201" s="94" t="s">
        <v>3498</v>
      </c>
      <c r="AP201" s="94" t="s">
        <v>3498</v>
      </c>
      <c r="AQ201" s="94" t="s">
        <v>3498</v>
      </c>
      <c r="AR201" s="94" t="s">
        <v>3498</v>
      </c>
      <c r="AS201" s="94"/>
      <c r="AT201" s="94"/>
      <c r="AU201" s="94"/>
      <c r="AV201" s="94" t="s">
        <v>39</v>
      </c>
      <c r="AW201" s="94" t="s">
        <v>1430</v>
      </c>
      <c r="AX201" s="94"/>
      <c r="AY201" s="94" t="s">
        <v>39</v>
      </c>
      <c r="AZ201" s="94" t="s">
        <v>1218</v>
      </c>
      <c r="BA201" s="94" t="s">
        <v>39</v>
      </c>
      <c r="BB201" s="94" t="s">
        <v>39</v>
      </c>
      <c r="BC201" s="94" t="s">
        <v>39</v>
      </c>
      <c r="BD201" s="94" t="s">
        <v>39</v>
      </c>
      <c r="BE201" s="94" t="s">
        <v>1284</v>
      </c>
      <c r="BF201" s="94" t="s">
        <v>1284</v>
      </c>
      <c r="BG201" s="94" t="s">
        <v>2959</v>
      </c>
      <c r="BH201" s="94" t="s">
        <v>3222</v>
      </c>
      <c r="BI201" s="94" t="s">
        <v>3222</v>
      </c>
      <c r="BJ201" s="94" t="s">
        <v>39</v>
      </c>
      <c r="BK201" s="94" t="s">
        <v>2108</v>
      </c>
      <c r="BL201" s="94" t="s">
        <v>2168</v>
      </c>
      <c r="BM201" s="94" t="s">
        <v>1578</v>
      </c>
      <c r="BN201" s="94" t="s">
        <v>1578</v>
      </c>
      <c r="BO201" s="94"/>
      <c r="BR201" s="19"/>
      <c r="BS201" s="20"/>
      <c r="BT201" s="11"/>
      <c r="BU201" s="19"/>
      <c r="BV201" s="19"/>
      <c r="BW201" s="19"/>
    </row>
    <row r="202" spans="1:75" s="14" customFormat="1" ht="22.5" customHeight="1">
      <c r="A202" s="53" t="s">
        <v>113</v>
      </c>
      <c r="B202" s="48" t="s">
        <v>262</v>
      </c>
      <c r="C202" s="48" t="s">
        <v>39</v>
      </c>
      <c r="D202" s="48" t="s">
        <v>39</v>
      </c>
      <c r="E202" s="48" t="s">
        <v>39</v>
      </c>
      <c r="F202" s="48" t="s">
        <v>39</v>
      </c>
      <c r="G202" s="48" t="s">
        <v>39</v>
      </c>
      <c r="H202" s="131" t="s">
        <v>39</v>
      </c>
      <c r="I202" s="48">
        <v>0.2</v>
      </c>
      <c r="J202" s="48" t="s">
        <v>39</v>
      </c>
      <c r="K202" s="48" t="s">
        <v>39</v>
      </c>
      <c r="L202" s="48" t="s">
        <v>39</v>
      </c>
      <c r="M202" s="48" t="s">
        <v>39</v>
      </c>
      <c r="N202" s="48">
        <v>0.1</v>
      </c>
      <c r="O202" s="48" t="s">
        <v>39</v>
      </c>
      <c r="P202" s="48" t="s">
        <v>39</v>
      </c>
      <c r="Q202" s="48" t="s">
        <v>39</v>
      </c>
      <c r="R202" s="48" t="s">
        <v>39</v>
      </c>
      <c r="S202" s="48" t="s">
        <v>39</v>
      </c>
      <c r="T202" s="48" t="s">
        <v>39</v>
      </c>
      <c r="U202" s="131" t="s">
        <v>39</v>
      </c>
      <c r="V202" s="131" t="s">
        <v>39</v>
      </c>
      <c r="W202" s="131" t="s">
        <v>39</v>
      </c>
      <c r="X202" s="48">
        <v>0.2</v>
      </c>
      <c r="Y202" s="48" t="s">
        <v>4005</v>
      </c>
      <c r="Z202" s="48" t="s">
        <v>4005</v>
      </c>
      <c r="AA202" s="48" t="s">
        <v>4005</v>
      </c>
      <c r="AB202" s="48" t="s">
        <v>4264</v>
      </c>
      <c r="AC202" s="48">
        <v>0.2</v>
      </c>
      <c r="AD202" s="48" t="s">
        <v>39</v>
      </c>
      <c r="AE202" s="48" t="s">
        <v>39</v>
      </c>
      <c r="AF202" s="48">
        <v>0.2</v>
      </c>
      <c r="AG202" s="48">
        <v>0.2</v>
      </c>
      <c r="AH202" s="48" t="s">
        <v>39</v>
      </c>
      <c r="AI202" s="48" t="s">
        <v>39</v>
      </c>
      <c r="AJ202" s="48">
        <v>0.2</v>
      </c>
      <c r="AK202" s="48">
        <v>0.2</v>
      </c>
      <c r="AL202" s="48" t="s">
        <v>39</v>
      </c>
      <c r="AM202" s="48" t="s">
        <v>987</v>
      </c>
      <c r="AN202" s="48" t="s">
        <v>1002</v>
      </c>
      <c r="AO202" s="48" t="s">
        <v>3478</v>
      </c>
      <c r="AP202" s="48" t="s">
        <v>3478</v>
      </c>
      <c r="AQ202" s="48" t="s">
        <v>3457</v>
      </c>
      <c r="AR202" s="48" t="s">
        <v>3457</v>
      </c>
      <c r="AS202" s="48" t="s">
        <v>39</v>
      </c>
      <c r="AT202" s="48" t="s">
        <v>39</v>
      </c>
      <c r="AU202" s="48" t="s">
        <v>39</v>
      </c>
      <c r="AV202" s="48" t="s">
        <v>39</v>
      </c>
      <c r="AW202" s="48" t="s">
        <v>39</v>
      </c>
      <c r="AX202" s="48" t="s">
        <v>39</v>
      </c>
      <c r="AY202" s="48" t="s">
        <v>39</v>
      </c>
      <c r="AZ202" s="48">
        <v>0.2</v>
      </c>
      <c r="BA202" s="48" t="s">
        <v>39</v>
      </c>
      <c r="BB202" s="48" t="s">
        <v>39</v>
      </c>
      <c r="BC202" s="48" t="s">
        <v>39</v>
      </c>
      <c r="BD202" s="48" t="s">
        <v>39</v>
      </c>
      <c r="BE202" s="48" t="s">
        <v>39</v>
      </c>
      <c r="BF202" s="48" t="s">
        <v>39</v>
      </c>
      <c r="BG202" s="88" t="s">
        <v>2960</v>
      </c>
      <c r="BH202" s="48" t="s">
        <v>39</v>
      </c>
      <c r="BI202" s="48" t="s">
        <v>39</v>
      </c>
      <c r="BJ202" s="48" t="s">
        <v>39</v>
      </c>
      <c r="BK202" s="48" t="s">
        <v>39</v>
      </c>
      <c r="BL202" s="48">
        <v>0.2</v>
      </c>
      <c r="BM202" s="48" t="s">
        <v>39</v>
      </c>
      <c r="BN202" s="48" t="s">
        <v>39</v>
      </c>
      <c r="BO202" s="48" t="s">
        <v>39</v>
      </c>
    </row>
    <row r="203" spans="1:75" s="2" customFormat="1" ht="11.25" customHeight="1">
      <c r="A203" s="95" t="s">
        <v>688</v>
      </c>
      <c r="B203" s="94"/>
      <c r="C203" s="94" t="s">
        <v>39</v>
      </c>
      <c r="D203" s="94" t="s">
        <v>39</v>
      </c>
      <c r="E203" s="94" t="s">
        <v>39</v>
      </c>
      <c r="F203" s="94" t="s">
        <v>39</v>
      </c>
      <c r="G203" s="94" t="s">
        <v>39</v>
      </c>
      <c r="H203" s="94" t="s">
        <v>39</v>
      </c>
      <c r="I203" s="94" t="s">
        <v>2709</v>
      </c>
      <c r="J203" s="94" t="s">
        <v>39</v>
      </c>
      <c r="K203" s="94" t="s">
        <v>39</v>
      </c>
      <c r="L203" s="94" t="s">
        <v>39</v>
      </c>
      <c r="M203" s="94" t="s">
        <v>39</v>
      </c>
      <c r="N203" s="94" t="s">
        <v>1381</v>
      </c>
      <c r="O203" s="94" t="s">
        <v>39</v>
      </c>
      <c r="P203" s="94" t="s">
        <v>39</v>
      </c>
      <c r="Q203" s="94" t="s">
        <v>39</v>
      </c>
      <c r="R203" s="94" t="s">
        <v>39</v>
      </c>
      <c r="S203" s="94" t="s">
        <v>39</v>
      </c>
      <c r="T203" s="94" t="s">
        <v>39</v>
      </c>
      <c r="U203" s="94" t="s">
        <v>39</v>
      </c>
      <c r="V203" s="94" t="s">
        <v>39</v>
      </c>
      <c r="W203" s="94" t="s">
        <v>39</v>
      </c>
      <c r="X203" s="94" t="s">
        <v>808</v>
      </c>
      <c r="Y203" s="94" t="s">
        <v>1381</v>
      </c>
      <c r="Z203" s="94" t="s">
        <v>1381</v>
      </c>
      <c r="AA203" s="94" t="s">
        <v>1381</v>
      </c>
      <c r="AB203" s="94"/>
      <c r="AC203" s="94" t="s">
        <v>2740</v>
      </c>
      <c r="AD203" s="94" t="s">
        <v>39</v>
      </c>
      <c r="AE203" s="94" t="s">
        <v>39</v>
      </c>
      <c r="AF203" s="94" t="s">
        <v>2310</v>
      </c>
      <c r="AG203" s="94" t="s">
        <v>2248</v>
      </c>
      <c r="AH203" s="94" t="s">
        <v>39</v>
      </c>
      <c r="AI203" s="94"/>
      <c r="AJ203" s="94" t="s">
        <v>2454</v>
      </c>
      <c r="AK203" s="94" t="s">
        <v>2454</v>
      </c>
      <c r="AL203" s="94" t="s">
        <v>39</v>
      </c>
      <c r="AM203" s="94" t="s">
        <v>3315</v>
      </c>
      <c r="AN203" s="94" t="s">
        <v>3314</v>
      </c>
      <c r="AO203" s="94" t="s">
        <v>3498</v>
      </c>
      <c r="AP203" s="94" t="s">
        <v>3498</v>
      </c>
      <c r="AQ203" s="94" t="s">
        <v>3498</v>
      </c>
      <c r="AR203" s="94" t="s">
        <v>3498</v>
      </c>
      <c r="AS203" s="94"/>
      <c r="AT203" s="94"/>
      <c r="AU203" s="94"/>
      <c r="AV203" s="94" t="s">
        <v>39</v>
      </c>
      <c r="AW203" s="94" t="s">
        <v>39</v>
      </c>
      <c r="AX203" s="94"/>
      <c r="AY203" s="94" t="s">
        <v>39</v>
      </c>
      <c r="AZ203" s="94" t="s">
        <v>1218</v>
      </c>
      <c r="BA203" s="94" t="s">
        <v>39</v>
      </c>
      <c r="BB203" s="94" t="s">
        <v>39</v>
      </c>
      <c r="BC203" s="94" t="s">
        <v>39</v>
      </c>
      <c r="BD203" s="94" t="s">
        <v>39</v>
      </c>
      <c r="BE203" s="94" t="s">
        <v>39</v>
      </c>
      <c r="BF203" s="94" t="s">
        <v>39</v>
      </c>
      <c r="BG203" s="94" t="s">
        <v>2959</v>
      </c>
      <c r="BH203" s="94" t="s">
        <v>39</v>
      </c>
      <c r="BI203" s="94" t="s">
        <v>39</v>
      </c>
      <c r="BJ203" s="94" t="s">
        <v>39</v>
      </c>
      <c r="BK203" s="94" t="s">
        <v>39</v>
      </c>
      <c r="BL203" s="94" t="s">
        <v>2168</v>
      </c>
      <c r="BM203" s="94" t="s">
        <v>39</v>
      </c>
      <c r="BN203" s="94" t="s">
        <v>39</v>
      </c>
      <c r="BO203" s="94"/>
      <c r="BR203" s="19"/>
      <c r="BS203" s="20"/>
      <c r="BT203" s="11"/>
      <c r="BU203" s="19"/>
      <c r="BV203" s="19"/>
      <c r="BW203" s="19"/>
    </row>
    <row r="204" spans="1:75" s="14" customFormat="1" ht="22.5" customHeight="1">
      <c r="A204" s="53" t="s">
        <v>114</v>
      </c>
      <c r="B204" s="48" t="s">
        <v>39</v>
      </c>
      <c r="C204" s="48" t="s">
        <v>39</v>
      </c>
      <c r="D204" s="48" t="s">
        <v>39</v>
      </c>
      <c r="E204" s="48">
        <v>0.1</v>
      </c>
      <c r="F204" s="48">
        <v>0.15</v>
      </c>
      <c r="G204" s="48" t="s">
        <v>39</v>
      </c>
      <c r="H204" s="131" t="s">
        <v>39</v>
      </c>
      <c r="I204" s="48">
        <v>0.1</v>
      </c>
      <c r="J204" s="48" t="s">
        <v>39</v>
      </c>
      <c r="K204" s="48" t="s">
        <v>39</v>
      </c>
      <c r="L204" s="48" t="s">
        <v>39</v>
      </c>
      <c r="M204" s="48" t="s">
        <v>39</v>
      </c>
      <c r="N204" s="48" t="s">
        <v>39</v>
      </c>
      <c r="O204" s="48" t="s">
        <v>39</v>
      </c>
      <c r="P204" s="48" t="s">
        <v>39</v>
      </c>
      <c r="Q204" s="48" t="s">
        <v>39</v>
      </c>
      <c r="R204" s="48" t="s">
        <v>39</v>
      </c>
      <c r="S204" s="48" t="s">
        <v>39</v>
      </c>
      <c r="T204" s="48" t="s">
        <v>39</v>
      </c>
      <c r="U204" s="131" t="s">
        <v>39</v>
      </c>
      <c r="V204" s="131" t="s">
        <v>39</v>
      </c>
      <c r="W204" s="131" t="s">
        <v>39</v>
      </c>
      <c r="X204" s="48">
        <v>0.1</v>
      </c>
      <c r="Y204" s="48" t="s">
        <v>4006</v>
      </c>
      <c r="Z204" s="48" t="s">
        <v>4006</v>
      </c>
      <c r="AA204" s="48" t="s">
        <v>4006</v>
      </c>
      <c r="AB204" s="48" t="s">
        <v>4264</v>
      </c>
      <c r="AC204" s="48" t="s">
        <v>39</v>
      </c>
      <c r="AD204" s="48" t="s">
        <v>39</v>
      </c>
      <c r="AE204" s="48" t="s">
        <v>39</v>
      </c>
      <c r="AF204" s="48" t="s">
        <v>39</v>
      </c>
      <c r="AG204" s="48">
        <v>0.1</v>
      </c>
      <c r="AH204" s="48">
        <v>0.1</v>
      </c>
      <c r="AI204" s="48" t="s">
        <v>39</v>
      </c>
      <c r="AJ204" s="48">
        <v>0.1</v>
      </c>
      <c r="AK204" s="48">
        <v>0.1</v>
      </c>
      <c r="AL204" s="48" t="s">
        <v>39</v>
      </c>
      <c r="AM204" s="48" t="s">
        <v>986</v>
      </c>
      <c r="AN204" s="48" t="s">
        <v>1001</v>
      </c>
      <c r="AO204" s="48" t="s">
        <v>3479</v>
      </c>
      <c r="AP204" s="48" t="s">
        <v>3479</v>
      </c>
      <c r="AQ204" s="48" t="s">
        <v>3456</v>
      </c>
      <c r="AR204" s="48" t="s">
        <v>3456</v>
      </c>
      <c r="AS204" s="48" t="s">
        <v>39</v>
      </c>
      <c r="AT204" s="48" t="s">
        <v>39</v>
      </c>
      <c r="AU204" s="48" t="s">
        <v>39</v>
      </c>
      <c r="AV204" s="48" t="s">
        <v>39</v>
      </c>
      <c r="AW204" s="48" t="s">
        <v>39</v>
      </c>
      <c r="AX204" s="48" t="s">
        <v>39</v>
      </c>
      <c r="AY204" s="48" t="s">
        <v>39</v>
      </c>
      <c r="AZ204" s="48" t="s">
        <v>39</v>
      </c>
      <c r="BA204" s="48" t="s">
        <v>39</v>
      </c>
      <c r="BB204" s="48" t="s">
        <v>39</v>
      </c>
      <c r="BC204" s="48" t="s">
        <v>39</v>
      </c>
      <c r="BD204" s="48" t="s">
        <v>39</v>
      </c>
      <c r="BE204" s="48" t="s">
        <v>39</v>
      </c>
      <c r="BF204" s="48" t="s">
        <v>39</v>
      </c>
      <c r="BG204" s="48" t="s">
        <v>39</v>
      </c>
      <c r="BH204" s="48" t="s">
        <v>39</v>
      </c>
      <c r="BI204" s="48" t="s">
        <v>39</v>
      </c>
      <c r="BJ204" s="48" t="s">
        <v>39</v>
      </c>
      <c r="BK204" s="48" t="s">
        <v>39</v>
      </c>
      <c r="BL204" s="48" t="s">
        <v>39</v>
      </c>
      <c r="BM204" s="48" t="s">
        <v>39</v>
      </c>
      <c r="BN204" s="48" t="s">
        <v>39</v>
      </c>
      <c r="BO204" s="48" t="s">
        <v>39</v>
      </c>
    </row>
    <row r="205" spans="1:75" s="2" customFormat="1" ht="11.25" customHeight="1">
      <c r="A205" s="95" t="s">
        <v>688</v>
      </c>
      <c r="B205" s="94"/>
      <c r="C205" s="94" t="s">
        <v>39</v>
      </c>
      <c r="D205" s="94" t="s">
        <v>39</v>
      </c>
      <c r="E205" s="94" t="s">
        <v>1925</v>
      </c>
      <c r="F205" s="94" t="s">
        <v>1926</v>
      </c>
      <c r="G205" s="94" t="s">
        <v>39</v>
      </c>
      <c r="H205" s="94" t="s">
        <v>39</v>
      </c>
      <c r="I205" s="94" t="s">
        <v>2709</v>
      </c>
      <c r="J205" s="94" t="s">
        <v>39</v>
      </c>
      <c r="K205" s="94" t="s">
        <v>39</v>
      </c>
      <c r="L205" s="94" t="s">
        <v>39</v>
      </c>
      <c r="M205" s="94" t="s">
        <v>39</v>
      </c>
      <c r="N205" s="94" t="s">
        <v>39</v>
      </c>
      <c r="O205" s="94" t="s">
        <v>39</v>
      </c>
      <c r="P205" s="94" t="s">
        <v>39</v>
      </c>
      <c r="Q205" s="94" t="s">
        <v>39</v>
      </c>
      <c r="R205" s="94" t="s">
        <v>39</v>
      </c>
      <c r="S205" s="94" t="s">
        <v>39</v>
      </c>
      <c r="T205" s="94" t="s">
        <v>39</v>
      </c>
      <c r="U205" s="94" t="s">
        <v>39</v>
      </c>
      <c r="V205" s="94" t="s">
        <v>39</v>
      </c>
      <c r="W205" s="94" t="s">
        <v>39</v>
      </c>
      <c r="X205" s="94" t="s">
        <v>808</v>
      </c>
      <c r="Y205" s="94" t="s">
        <v>1381</v>
      </c>
      <c r="Z205" s="94" t="s">
        <v>1381</v>
      </c>
      <c r="AA205" s="94" t="s">
        <v>1381</v>
      </c>
      <c r="AB205" s="94"/>
      <c r="AC205" s="94" t="s">
        <v>39</v>
      </c>
      <c r="AD205" s="94" t="s">
        <v>39</v>
      </c>
      <c r="AE205" s="94" t="s">
        <v>39</v>
      </c>
      <c r="AF205" s="94" t="s">
        <v>39</v>
      </c>
      <c r="AG205" s="94" t="s">
        <v>2248</v>
      </c>
      <c r="AH205" s="94" t="s">
        <v>1131</v>
      </c>
      <c r="AI205" s="94"/>
      <c r="AJ205" s="94" t="s">
        <v>2454</v>
      </c>
      <c r="AK205" s="94" t="s">
        <v>2454</v>
      </c>
      <c r="AL205" s="94" t="s">
        <v>39</v>
      </c>
      <c r="AM205" s="94" t="s">
        <v>3315</v>
      </c>
      <c r="AN205" s="94" t="s">
        <v>3314</v>
      </c>
      <c r="AO205" s="94" t="s">
        <v>3498</v>
      </c>
      <c r="AP205" s="94" t="s">
        <v>3498</v>
      </c>
      <c r="AQ205" s="94" t="s">
        <v>3498</v>
      </c>
      <c r="AR205" s="94" t="s">
        <v>3498</v>
      </c>
      <c r="AS205" s="94"/>
      <c r="AT205" s="94"/>
      <c r="AU205" s="94"/>
      <c r="AV205" s="94" t="s">
        <v>39</v>
      </c>
      <c r="AW205" s="94" t="s">
        <v>39</v>
      </c>
      <c r="AX205" s="94"/>
      <c r="AY205" s="94" t="s">
        <v>39</v>
      </c>
      <c r="AZ205" s="94" t="s">
        <v>39</v>
      </c>
      <c r="BA205" s="94" t="s">
        <v>39</v>
      </c>
      <c r="BB205" s="94" t="s">
        <v>39</v>
      </c>
      <c r="BC205" s="94" t="s">
        <v>39</v>
      </c>
      <c r="BD205" s="94" t="s">
        <v>39</v>
      </c>
      <c r="BE205" s="94" t="s">
        <v>39</v>
      </c>
      <c r="BF205" s="94" t="s">
        <v>39</v>
      </c>
      <c r="BG205" s="94" t="s">
        <v>39</v>
      </c>
      <c r="BH205" s="94" t="s">
        <v>39</v>
      </c>
      <c r="BI205" s="94" t="s">
        <v>39</v>
      </c>
      <c r="BJ205" s="94" t="s">
        <v>39</v>
      </c>
      <c r="BK205" s="94" t="s">
        <v>39</v>
      </c>
      <c r="BL205" s="94" t="s">
        <v>39</v>
      </c>
      <c r="BM205" s="94" t="s">
        <v>39</v>
      </c>
      <c r="BN205" s="94" t="s">
        <v>39</v>
      </c>
      <c r="BO205" s="94"/>
      <c r="BR205" s="19"/>
      <c r="BS205" s="20"/>
      <c r="BT205" s="11"/>
      <c r="BU205" s="19"/>
      <c r="BV205" s="19"/>
      <c r="BW205" s="19"/>
    </row>
    <row r="206" spans="1:75" s="14" customFormat="1" ht="22.5" customHeight="1">
      <c r="A206" s="53" t="s">
        <v>115</v>
      </c>
      <c r="B206" s="48" t="s">
        <v>39</v>
      </c>
      <c r="C206" s="48" t="s">
        <v>39</v>
      </c>
      <c r="D206" s="48" t="s">
        <v>39</v>
      </c>
      <c r="E206" s="48">
        <v>0.2</v>
      </c>
      <c r="F206" s="48">
        <v>0.25</v>
      </c>
      <c r="G206" s="48" t="s">
        <v>39</v>
      </c>
      <c r="H206" s="131" t="s">
        <v>39</v>
      </c>
      <c r="I206" s="48">
        <v>0.2</v>
      </c>
      <c r="J206" s="48" t="s">
        <v>39</v>
      </c>
      <c r="K206" s="48" t="s">
        <v>39</v>
      </c>
      <c r="L206" s="48" t="s">
        <v>39</v>
      </c>
      <c r="M206" s="48" t="s">
        <v>39</v>
      </c>
      <c r="N206" s="48" t="s">
        <v>39</v>
      </c>
      <c r="O206" s="48" t="s">
        <v>39</v>
      </c>
      <c r="P206" s="48" t="s">
        <v>39</v>
      </c>
      <c r="Q206" s="48" t="s">
        <v>39</v>
      </c>
      <c r="R206" s="48" t="s">
        <v>39</v>
      </c>
      <c r="S206" s="48" t="s">
        <v>39</v>
      </c>
      <c r="T206" s="48" t="s">
        <v>39</v>
      </c>
      <c r="U206" s="131" t="s">
        <v>39</v>
      </c>
      <c r="V206" s="131" t="s">
        <v>39</v>
      </c>
      <c r="W206" s="131" t="s">
        <v>39</v>
      </c>
      <c r="X206" s="48">
        <v>0.2</v>
      </c>
      <c r="Y206" s="48" t="s">
        <v>4007</v>
      </c>
      <c r="Z206" s="48" t="s">
        <v>4007</v>
      </c>
      <c r="AA206" s="48" t="s">
        <v>4007</v>
      </c>
      <c r="AB206" s="48" t="s">
        <v>4264</v>
      </c>
      <c r="AC206" s="48" t="s">
        <v>39</v>
      </c>
      <c r="AD206" s="48" t="s">
        <v>39</v>
      </c>
      <c r="AE206" s="48" t="s">
        <v>39</v>
      </c>
      <c r="AF206" s="48" t="s">
        <v>39</v>
      </c>
      <c r="AG206" s="48">
        <v>0.2</v>
      </c>
      <c r="AH206" s="48" t="s">
        <v>1132</v>
      </c>
      <c r="AI206" s="48" t="s">
        <v>39</v>
      </c>
      <c r="AJ206" s="48">
        <v>0.2</v>
      </c>
      <c r="AK206" s="48">
        <v>0.2</v>
      </c>
      <c r="AL206" s="48" t="s">
        <v>39</v>
      </c>
      <c r="AM206" s="48" t="s">
        <v>987</v>
      </c>
      <c r="AN206" s="48" t="s">
        <v>1002</v>
      </c>
      <c r="AO206" s="48" t="s">
        <v>3482</v>
      </c>
      <c r="AP206" s="48" t="s">
        <v>3482</v>
      </c>
      <c r="AQ206" s="48" t="s">
        <v>3459</v>
      </c>
      <c r="AR206" s="48" t="s">
        <v>3459</v>
      </c>
      <c r="AS206" s="48" t="s">
        <v>39</v>
      </c>
      <c r="AT206" s="48" t="s">
        <v>39</v>
      </c>
      <c r="AU206" s="48" t="s">
        <v>39</v>
      </c>
      <c r="AV206" s="48" t="s">
        <v>39</v>
      </c>
      <c r="AW206" s="48" t="s">
        <v>39</v>
      </c>
      <c r="AX206" s="48" t="s">
        <v>39</v>
      </c>
      <c r="AY206" s="48" t="s">
        <v>39</v>
      </c>
      <c r="AZ206" s="48" t="s">
        <v>39</v>
      </c>
      <c r="BA206" s="48" t="s">
        <v>39</v>
      </c>
      <c r="BB206" s="48" t="s">
        <v>39</v>
      </c>
      <c r="BC206" s="48" t="s">
        <v>39</v>
      </c>
      <c r="BD206" s="48" t="s">
        <v>39</v>
      </c>
      <c r="BE206" s="48" t="s">
        <v>39</v>
      </c>
      <c r="BF206" s="48" t="s">
        <v>39</v>
      </c>
      <c r="BG206" s="48" t="s">
        <v>39</v>
      </c>
      <c r="BH206" s="48" t="s">
        <v>39</v>
      </c>
      <c r="BI206" s="48" t="s">
        <v>39</v>
      </c>
      <c r="BJ206" s="48" t="s">
        <v>39</v>
      </c>
      <c r="BK206" s="48" t="s">
        <v>39</v>
      </c>
      <c r="BL206" s="48" t="s">
        <v>39</v>
      </c>
      <c r="BM206" s="48" t="s">
        <v>39</v>
      </c>
      <c r="BN206" s="48" t="s">
        <v>39</v>
      </c>
      <c r="BO206" s="48" t="s">
        <v>39</v>
      </c>
    </row>
    <row r="207" spans="1:75" s="2" customFormat="1" ht="11.25" customHeight="1">
      <c r="A207" s="95" t="s">
        <v>688</v>
      </c>
      <c r="B207" s="94"/>
      <c r="C207" s="94" t="s">
        <v>39</v>
      </c>
      <c r="D207" s="94" t="s">
        <v>39</v>
      </c>
      <c r="E207" s="94" t="s">
        <v>1925</v>
      </c>
      <c r="F207" s="94" t="s">
        <v>1926</v>
      </c>
      <c r="G207" s="94" t="s">
        <v>39</v>
      </c>
      <c r="H207" s="94" t="s">
        <v>39</v>
      </c>
      <c r="I207" s="94" t="s">
        <v>2709</v>
      </c>
      <c r="J207" s="94" t="s">
        <v>39</v>
      </c>
      <c r="K207" s="94" t="s">
        <v>39</v>
      </c>
      <c r="L207" s="94" t="s">
        <v>39</v>
      </c>
      <c r="M207" s="94" t="s">
        <v>39</v>
      </c>
      <c r="N207" s="94" t="s">
        <v>39</v>
      </c>
      <c r="O207" s="94" t="s">
        <v>39</v>
      </c>
      <c r="P207" s="94" t="s">
        <v>39</v>
      </c>
      <c r="Q207" s="94" t="s">
        <v>39</v>
      </c>
      <c r="R207" s="94" t="s">
        <v>39</v>
      </c>
      <c r="S207" s="94" t="s">
        <v>39</v>
      </c>
      <c r="T207" s="94" t="s">
        <v>39</v>
      </c>
      <c r="U207" s="94" t="s">
        <v>39</v>
      </c>
      <c r="V207" s="94" t="s">
        <v>39</v>
      </c>
      <c r="W207" s="94" t="s">
        <v>39</v>
      </c>
      <c r="X207" s="94" t="s">
        <v>808</v>
      </c>
      <c r="Y207" s="94" t="s">
        <v>1381</v>
      </c>
      <c r="Z207" s="94" t="s">
        <v>1381</v>
      </c>
      <c r="AA207" s="94" t="s">
        <v>1381</v>
      </c>
      <c r="AB207" s="94"/>
      <c r="AC207" s="94" t="s">
        <v>39</v>
      </c>
      <c r="AD207" s="94" t="s">
        <v>39</v>
      </c>
      <c r="AE207" s="94" t="s">
        <v>39</v>
      </c>
      <c r="AF207" s="94" t="s">
        <v>39</v>
      </c>
      <c r="AG207" s="94" t="s">
        <v>2248</v>
      </c>
      <c r="AH207" s="94" t="s">
        <v>1131</v>
      </c>
      <c r="AI207" s="94"/>
      <c r="AJ207" s="94" t="s">
        <v>2454</v>
      </c>
      <c r="AK207" s="94" t="s">
        <v>2454</v>
      </c>
      <c r="AL207" s="94" t="s">
        <v>39</v>
      </c>
      <c r="AM207" s="94" t="s">
        <v>3315</v>
      </c>
      <c r="AN207" s="94" t="s">
        <v>3314</v>
      </c>
      <c r="AO207" s="94" t="s">
        <v>3498</v>
      </c>
      <c r="AP207" s="94" t="s">
        <v>3498</v>
      </c>
      <c r="AQ207" s="94" t="s">
        <v>3498</v>
      </c>
      <c r="AR207" s="94" t="s">
        <v>3498</v>
      </c>
      <c r="AS207" s="94"/>
      <c r="AT207" s="94"/>
      <c r="AU207" s="94"/>
      <c r="AV207" s="94" t="s">
        <v>39</v>
      </c>
      <c r="AW207" s="94" t="s">
        <v>39</v>
      </c>
      <c r="AX207" s="94"/>
      <c r="AY207" s="94" t="s">
        <v>39</v>
      </c>
      <c r="AZ207" s="94" t="s">
        <v>39</v>
      </c>
      <c r="BA207" s="94" t="s">
        <v>39</v>
      </c>
      <c r="BB207" s="94" t="s">
        <v>39</v>
      </c>
      <c r="BC207" s="94" t="s">
        <v>39</v>
      </c>
      <c r="BD207" s="94" t="s">
        <v>39</v>
      </c>
      <c r="BE207" s="94" t="s">
        <v>39</v>
      </c>
      <c r="BF207" s="94" t="s">
        <v>39</v>
      </c>
      <c r="BG207" s="94" t="s">
        <v>39</v>
      </c>
      <c r="BH207" s="94" t="s">
        <v>39</v>
      </c>
      <c r="BI207" s="94" t="s">
        <v>39</v>
      </c>
      <c r="BJ207" s="94" t="s">
        <v>39</v>
      </c>
      <c r="BK207" s="94" t="s">
        <v>39</v>
      </c>
      <c r="BL207" s="94" t="s">
        <v>39</v>
      </c>
      <c r="BM207" s="94" t="s">
        <v>39</v>
      </c>
      <c r="BN207" s="94" t="s">
        <v>39</v>
      </c>
      <c r="BO207" s="94"/>
      <c r="BR207" s="19"/>
      <c r="BS207" s="20"/>
      <c r="BT207" s="11"/>
      <c r="BU207" s="19"/>
      <c r="BV207" s="19"/>
      <c r="BW207" s="19"/>
    </row>
    <row r="208" spans="1:75" s="14" customFormat="1" ht="22.5" customHeight="1">
      <c r="A208" s="53" t="s">
        <v>116</v>
      </c>
      <c r="B208" s="48" t="s">
        <v>39</v>
      </c>
      <c r="C208" s="48" t="s">
        <v>39</v>
      </c>
      <c r="D208" s="48" t="s">
        <v>39</v>
      </c>
      <c r="E208" s="48">
        <v>0.25</v>
      </c>
      <c r="F208" s="48">
        <v>0.3</v>
      </c>
      <c r="G208" s="48" t="s">
        <v>39</v>
      </c>
      <c r="H208" s="131" t="s">
        <v>39</v>
      </c>
      <c r="I208" s="48">
        <v>0.25</v>
      </c>
      <c r="J208" s="48" t="s">
        <v>39</v>
      </c>
      <c r="K208" s="48" t="s">
        <v>39</v>
      </c>
      <c r="L208" s="48" t="s">
        <v>39</v>
      </c>
      <c r="M208" s="48" t="s">
        <v>39</v>
      </c>
      <c r="N208" s="48" t="s">
        <v>39</v>
      </c>
      <c r="O208" s="48" t="s">
        <v>39</v>
      </c>
      <c r="P208" s="48" t="s">
        <v>39</v>
      </c>
      <c r="Q208" s="48" t="s">
        <v>39</v>
      </c>
      <c r="R208" s="48" t="s">
        <v>39</v>
      </c>
      <c r="S208" s="48" t="s">
        <v>39</v>
      </c>
      <c r="T208" s="48" t="s">
        <v>39</v>
      </c>
      <c r="U208" s="131" t="s">
        <v>39</v>
      </c>
      <c r="V208" s="131" t="s">
        <v>39</v>
      </c>
      <c r="W208" s="131" t="s">
        <v>39</v>
      </c>
      <c r="X208" s="48" t="s">
        <v>39</v>
      </c>
      <c r="Y208" s="48" t="s">
        <v>4007</v>
      </c>
      <c r="Z208" s="48" t="s">
        <v>4007</v>
      </c>
      <c r="AA208" s="48" t="s">
        <v>4007</v>
      </c>
      <c r="AB208" s="48" t="s">
        <v>4264</v>
      </c>
      <c r="AC208" s="48" t="s">
        <v>39</v>
      </c>
      <c r="AD208" s="48" t="s">
        <v>39</v>
      </c>
      <c r="AE208" s="48" t="s">
        <v>39</v>
      </c>
      <c r="AF208" s="48" t="s">
        <v>39</v>
      </c>
      <c r="AG208" s="48">
        <v>0.25</v>
      </c>
      <c r="AH208" s="48">
        <v>0.1</v>
      </c>
      <c r="AI208" s="48" t="s">
        <v>39</v>
      </c>
      <c r="AJ208" s="48">
        <v>0.25</v>
      </c>
      <c r="AK208" s="48">
        <v>0.25</v>
      </c>
      <c r="AL208" s="48" t="s">
        <v>39</v>
      </c>
      <c r="AM208" s="48" t="s">
        <v>985</v>
      </c>
      <c r="AN208" s="48" t="s">
        <v>1000</v>
      </c>
      <c r="AO208" s="48" t="s">
        <v>3480</v>
      </c>
      <c r="AP208" s="48" t="s">
        <v>3480</v>
      </c>
      <c r="AQ208" s="48" t="s">
        <v>3458</v>
      </c>
      <c r="AR208" s="48" t="s">
        <v>3458</v>
      </c>
      <c r="AS208" s="48" t="s">
        <v>39</v>
      </c>
      <c r="AT208" s="48" t="s">
        <v>39</v>
      </c>
      <c r="AU208" s="48" t="s">
        <v>39</v>
      </c>
      <c r="AV208" s="48" t="s">
        <v>39</v>
      </c>
      <c r="AW208" s="48" t="s">
        <v>39</v>
      </c>
      <c r="AX208" s="48" t="s">
        <v>39</v>
      </c>
      <c r="AY208" s="48" t="s">
        <v>39</v>
      </c>
      <c r="AZ208" s="48" t="s">
        <v>39</v>
      </c>
      <c r="BA208" s="48" t="s">
        <v>39</v>
      </c>
      <c r="BB208" s="48" t="s">
        <v>39</v>
      </c>
      <c r="BC208" s="48" t="s">
        <v>39</v>
      </c>
      <c r="BD208" s="48" t="s">
        <v>39</v>
      </c>
      <c r="BE208" s="48" t="s">
        <v>39</v>
      </c>
      <c r="BF208" s="48" t="s">
        <v>39</v>
      </c>
      <c r="BG208" s="48" t="s">
        <v>39</v>
      </c>
      <c r="BH208" s="48" t="s">
        <v>39</v>
      </c>
      <c r="BI208" s="48" t="s">
        <v>39</v>
      </c>
      <c r="BJ208" s="48" t="s">
        <v>39</v>
      </c>
      <c r="BK208" s="48" t="s">
        <v>39</v>
      </c>
      <c r="BL208" s="48" t="s">
        <v>39</v>
      </c>
      <c r="BM208" s="48" t="s">
        <v>39</v>
      </c>
      <c r="BN208" s="48" t="s">
        <v>39</v>
      </c>
      <c r="BO208" s="48" t="s">
        <v>39</v>
      </c>
    </row>
    <row r="209" spans="1:75" s="2" customFormat="1" ht="11.25" customHeight="1">
      <c r="A209" s="95" t="s">
        <v>688</v>
      </c>
      <c r="B209" s="94"/>
      <c r="C209" s="94" t="s">
        <v>39</v>
      </c>
      <c r="D209" s="94" t="s">
        <v>39</v>
      </c>
      <c r="E209" s="94" t="s">
        <v>1925</v>
      </c>
      <c r="F209" s="94" t="s">
        <v>1926</v>
      </c>
      <c r="G209" s="94" t="s">
        <v>39</v>
      </c>
      <c r="H209" s="94" t="s">
        <v>39</v>
      </c>
      <c r="I209" s="94" t="s">
        <v>2709</v>
      </c>
      <c r="J209" s="94" t="s">
        <v>39</v>
      </c>
      <c r="K209" s="94" t="s">
        <v>39</v>
      </c>
      <c r="L209" s="94" t="s">
        <v>39</v>
      </c>
      <c r="M209" s="94" t="s">
        <v>39</v>
      </c>
      <c r="N209" s="94" t="s">
        <v>39</v>
      </c>
      <c r="O209" s="94" t="s">
        <v>39</v>
      </c>
      <c r="P209" s="94" t="s">
        <v>39</v>
      </c>
      <c r="Q209" s="94" t="s">
        <v>39</v>
      </c>
      <c r="R209" s="94" t="s">
        <v>39</v>
      </c>
      <c r="S209" s="94" t="s">
        <v>39</v>
      </c>
      <c r="T209" s="94" t="s">
        <v>39</v>
      </c>
      <c r="U209" s="94" t="s">
        <v>39</v>
      </c>
      <c r="V209" s="94" t="s">
        <v>39</v>
      </c>
      <c r="W209" s="94" t="s">
        <v>39</v>
      </c>
      <c r="X209" s="94" t="s">
        <v>39</v>
      </c>
      <c r="Y209" s="94" t="s">
        <v>1381</v>
      </c>
      <c r="Z209" s="94" t="s">
        <v>1381</v>
      </c>
      <c r="AA209" s="94" t="s">
        <v>1381</v>
      </c>
      <c r="AB209" s="94"/>
      <c r="AC209" s="94" t="s">
        <v>39</v>
      </c>
      <c r="AD209" s="94" t="s">
        <v>39</v>
      </c>
      <c r="AE209" s="94" t="s">
        <v>39</v>
      </c>
      <c r="AF209" s="94" t="s">
        <v>39</v>
      </c>
      <c r="AG209" s="94" t="s">
        <v>2248</v>
      </c>
      <c r="AH209" s="94" t="s">
        <v>1131</v>
      </c>
      <c r="AI209" s="94"/>
      <c r="AJ209" s="94" t="s">
        <v>2454</v>
      </c>
      <c r="AK209" s="94" t="s">
        <v>2454</v>
      </c>
      <c r="AL209" s="94" t="s">
        <v>39</v>
      </c>
      <c r="AM209" s="94" t="s">
        <v>3315</v>
      </c>
      <c r="AN209" s="94" t="s">
        <v>3314</v>
      </c>
      <c r="AO209" s="94" t="s">
        <v>3498</v>
      </c>
      <c r="AP209" s="94" t="s">
        <v>3498</v>
      </c>
      <c r="AQ209" s="94" t="s">
        <v>3498</v>
      </c>
      <c r="AR209" s="94" t="s">
        <v>3498</v>
      </c>
      <c r="AS209" s="94"/>
      <c r="AT209" s="94"/>
      <c r="AU209" s="94"/>
      <c r="AV209" s="94" t="s">
        <v>39</v>
      </c>
      <c r="AW209" s="94" t="s">
        <v>39</v>
      </c>
      <c r="AX209" s="94"/>
      <c r="AY209" s="94" t="s">
        <v>39</v>
      </c>
      <c r="AZ209" s="94" t="s">
        <v>39</v>
      </c>
      <c r="BA209" s="94" t="s">
        <v>39</v>
      </c>
      <c r="BB209" s="94" t="s">
        <v>39</v>
      </c>
      <c r="BC209" s="94" t="s">
        <v>39</v>
      </c>
      <c r="BD209" s="94" t="s">
        <v>39</v>
      </c>
      <c r="BE209" s="94" t="s">
        <v>39</v>
      </c>
      <c r="BF209" s="94" t="s">
        <v>39</v>
      </c>
      <c r="BG209" s="94" t="s">
        <v>39</v>
      </c>
      <c r="BH209" s="94" t="s">
        <v>39</v>
      </c>
      <c r="BI209" s="94" t="s">
        <v>39</v>
      </c>
      <c r="BJ209" s="94" t="s">
        <v>39</v>
      </c>
      <c r="BK209" s="94" t="s">
        <v>39</v>
      </c>
      <c r="BL209" s="94" t="s">
        <v>39</v>
      </c>
      <c r="BM209" s="94" t="s">
        <v>39</v>
      </c>
      <c r="BN209" s="94" t="s">
        <v>39</v>
      </c>
      <c r="BO209" s="94"/>
      <c r="BR209" s="19"/>
      <c r="BS209" s="20"/>
      <c r="BT209" s="11"/>
      <c r="BU209" s="19"/>
      <c r="BV209" s="19"/>
      <c r="BW209" s="19"/>
    </row>
    <row r="210" spans="1:75" s="14" customFormat="1" ht="22.5" customHeight="1">
      <c r="A210" s="53" t="s">
        <v>117</v>
      </c>
      <c r="B210" s="48" t="s">
        <v>39</v>
      </c>
      <c r="C210" s="48" t="s">
        <v>39</v>
      </c>
      <c r="D210" s="48" t="s">
        <v>39</v>
      </c>
      <c r="E210" s="48">
        <v>0.5</v>
      </c>
      <c r="F210" s="48">
        <v>0.55000000000000004</v>
      </c>
      <c r="G210" s="48" t="s">
        <v>39</v>
      </c>
      <c r="H210" s="131" t="s">
        <v>39</v>
      </c>
      <c r="I210" s="48">
        <v>0.5</v>
      </c>
      <c r="J210" s="48" t="s">
        <v>39</v>
      </c>
      <c r="K210" s="48" t="s">
        <v>39</v>
      </c>
      <c r="L210" s="48" t="s">
        <v>39</v>
      </c>
      <c r="M210" s="48" t="s">
        <v>39</v>
      </c>
      <c r="N210" s="48" t="s">
        <v>39</v>
      </c>
      <c r="O210" s="48" t="s">
        <v>39</v>
      </c>
      <c r="P210" s="48" t="s">
        <v>39</v>
      </c>
      <c r="Q210" s="48" t="s">
        <v>39</v>
      </c>
      <c r="R210" s="48" t="s">
        <v>39</v>
      </c>
      <c r="S210" s="48" t="s">
        <v>39</v>
      </c>
      <c r="T210" s="48" t="s">
        <v>39</v>
      </c>
      <c r="U210" s="131" t="s">
        <v>39</v>
      </c>
      <c r="V210" s="131" t="s">
        <v>39</v>
      </c>
      <c r="W210" s="131">
        <v>0.3</v>
      </c>
      <c r="X210" s="48">
        <v>0.5</v>
      </c>
      <c r="Y210" s="48" t="s">
        <v>4008</v>
      </c>
      <c r="Z210" s="48" t="s">
        <v>4008</v>
      </c>
      <c r="AA210" s="48" t="s">
        <v>4008</v>
      </c>
      <c r="AB210" s="48" t="s">
        <v>4264</v>
      </c>
      <c r="AC210" s="48" t="s">
        <v>39</v>
      </c>
      <c r="AD210" s="48" t="s">
        <v>39</v>
      </c>
      <c r="AE210" s="48" t="s">
        <v>39</v>
      </c>
      <c r="AF210" s="48" t="s">
        <v>39</v>
      </c>
      <c r="AG210" s="48">
        <v>0.5</v>
      </c>
      <c r="AH210" s="48" t="s">
        <v>1133</v>
      </c>
      <c r="AI210" s="48" t="s">
        <v>39</v>
      </c>
      <c r="AJ210" s="48">
        <v>0.5</v>
      </c>
      <c r="AK210" s="48">
        <v>0.5</v>
      </c>
      <c r="AL210" s="48" t="s">
        <v>39</v>
      </c>
      <c r="AM210" s="48" t="s">
        <v>988</v>
      </c>
      <c r="AN210" s="48" t="s">
        <v>1003</v>
      </c>
      <c r="AO210" s="48" t="s">
        <v>3481</v>
      </c>
      <c r="AP210" s="48" t="s">
        <v>3481</v>
      </c>
      <c r="AQ210" s="48" t="s">
        <v>3460</v>
      </c>
      <c r="AR210" s="48" t="s">
        <v>3460</v>
      </c>
      <c r="AS210" s="48" t="s">
        <v>39</v>
      </c>
      <c r="AT210" s="48" t="s">
        <v>39</v>
      </c>
      <c r="AU210" s="48" t="s">
        <v>39</v>
      </c>
      <c r="AV210" s="48" t="s">
        <v>39</v>
      </c>
      <c r="AW210" s="48" t="s">
        <v>39</v>
      </c>
      <c r="AX210" s="48" t="s">
        <v>39</v>
      </c>
      <c r="AY210" s="48" t="s">
        <v>39</v>
      </c>
      <c r="AZ210" s="48" t="s">
        <v>39</v>
      </c>
      <c r="BA210" s="48" t="s">
        <v>39</v>
      </c>
      <c r="BB210" s="48" t="s">
        <v>39</v>
      </c>
      <c r="BC210" s="48" t="s">
        <v>39</v>
      </c>
      <c r="BD210" s="48" t="s">
        <v>39</v>
      </c>
      <c r="BE210" s="48" t="s">
        <v>39</v>
      </c>
      <c r="BF210" s="48" t="s">
        <v>39</v>
      </c>
      <c r="BG210" s="48" t="s">
        <v>39</v>
      </c>
      <c r="BH210" s="48" t="s">
        <v>39</v>
      </c>
      <c r="BI210" s="48" t="s">
        <v>39</v>
      </c>
      <c r="BJ210" s="48" t="s">
        <v>39</v>
      </c>
      <c r="BK210" s="48" t="s">
        <v>39</v>
      </c>
      <c r="BL210" s="48" t="s">
        <v>39</v>
      </c>
      <c r="BM210" s="48" t="s">
        <v>39</v>
      </c>
      <c r="BN210" s="48" t="s">
        <v>39</v>
      </c>
      <c r="BO210" s="48" t="s">
        <v>39</v>
      </c>
    </row>
    <row r="211" spans="1:75" s="2" customFormat="1" ht="11.25" customHeight="1">
      <c r="A211" s="95" t="s">
        <v>688</v>
      </c>
      <c r="B211" s="94"/>
      <c r="C211" s="94" t="s">
        <v>39</v>
      </c>
      <c r="D211" s="94" t="s">
        <v>39</v>
      </c>
      <c r="E211" s="94" t="s">
        <v>1925</v>
      </c>
      <c r="F211" s="94" t="s">
        <v>1926</v>
      </c>
      <c r="G211" s="94" t="s">
        <v>39</v>
      </c>
      <c r="H211" s="94" t="s">
        <v>39</v>
      </c>
      <c r="I211" s="94" t="s">
        <v>2709</v>
      </c>
      <c r="J211" s="94" t="s">
        <v>39</v>
      </c>
      <c r="K211" s="94" t="s">
        <v>39</v>
      </c>
      <c r="L211" s="94" t="s">
        <v>39</v>
      </c>
      <c r="M211" s="94" t="s">
        <v>39</v>
      </c>
      <c r="N211" s="94" t="s">
        <v>39</v>
      </c>
      <c r="O211" s="94" t="s">
        <v>39</v>
      </c>
      <c r="P211" s="94" t="s">
        <v>39</v>
      </c>
      <c r="Q211" s="94" t="s">
        <v>39</v>
      </c>
      <c r="R211" s="94" t="s">
        <v>39</v>
      </c>
      <c r="S211" s="94" t="s">
        <v>39</v>
      </c>
      <c r="T211" s="94" t="s">
        <v>39</v>
      </c>
      <c r="U211" s="94" t="s">
        <v>39</v>
      </c>
      <c r="V211" s="94" t="s">
        <v>39</v>
      </c>
      <c r="W211" s="94" t="s">
        <v>4085</v>
      </c>
      <c r="X211" s="94" t="s">
        <v>808</v>
      </c>
      <c r="Y211" s="94" t="s">
        <v>1381</v>
      </c>
      <c r="Z211" s="94" t="s">
        <v>1381</v>
      </c>
      <c r="AA211" s="94" t="s">
        <v>1381</v>
      </c>
      <c r="AB211" s="94"/>
      <c r="AC211" s="94" t="s">
        <v>39</v>
      </c>
      <c r="AD211" s="94" t="s">
        <v>39</v>
      </c>
      <c r="AE211" s="94" t="s">
        <v>39</v>
      </c>
      <c r="AF211" s="94" t="s">
        <v>39</v>
      </c>
      <c r="AG211" s="94" t="s">
        <v>2248</v>
      </c>
      <c r="AH211" s="94" t="s">
        <v>1131</v>
      </c>
      <c r="AI211" s="94"/>
      <c r="AJ211" s="94" t="s">
        <v>2454</v>
      </c>
      <c r="AK211" s="94" t="s">
        <v>2454</v>
      </c>
      <c r="AL211" s="94" t="s">
        <v>39</v>
      </c>
      <c r="AM211" s="94" t="s">
        <v>3315</v>
      </c>
      <c r="AN211" s="94" t="s">
        <v>3314</v>
      </c>
      <c r="AO211" s="94" t="s">
        <v>3498</v>
      </c>
      <c r="AP211" s="94" t="s">
        <v>3498</v>
      </c>
      <c r="AQ211" s="94" t="s">
        <v>3498</v>
      </c>
      <c r="AR211" s="94" t="s">
        <v>3498</v>
      </c>
      <c r="AS211" s="94"/>
      <c r="AT211" s="94"/>
      <c r="AU211" s="94"/>
      <c r="AV211" s="94" t="s">
        <v>39</v>
      </c>
      <c r="AW211" s="94" t="s">
        <v>39</v>
      </c>
      <c r="AX211" s="94"/>
      <c r="AY211" s="94" t="s">
        <v>39</v>
      </c>
      <c r="AZ211" s="94" t="s">
        <v>39</v>
      </c>
      <c r="BA211" s="94" t="s">
        <v>39</v>
      </c>
      <c r="BB211" s="94" t="s">
        <v>39</v>
      </c>
      <c r="BC211" s="94" t="s">
        <v>39</v>
      </c>
      <c r="BD211" s="94" t="s">
        <v>39</v>
      </c>
      <c r="BE211" s="94" t="s">
        <v>39</v>
      </c>
      <c r="BF211" s="94" t="s">
        <v>39</v>
      </c>
      <c r="BG211" s="94" t="s">
        <v>39</v>
      </c>
      <c r="BH211" s="94" t="s">
        <v>39</v>
      </c>
      <c r="BI211" s="94" t="s">
        <v>39</v>
      </c>
      <c r="BJ211" s="94" t="s">
        <v>39</v>
      </c>
      <c r="BK211" s="94" t="s">
        <v>39</v>
      </c>
      <c r="BL211" s="94" t="s">
        <v>39</v>
      </c>
      <c r="BM211" s="94" t="s">
        <v>39</v>
      </c>
      <c r="BN211" s="94" t="s">
        <v>39</v>
      </c>
      <c r="BO211" s="94"/>
      <c r="BR211" s="19"/>
      <c r="BS211" s="20"/>
      <c r="BT211" s="11"/>
      <c r="BU211" s="19"/>
      <c r="BV211" s="19"/>
      <c r="BW211" s="19"/>
    </row>
    <row r="212" spans="1:75" ht="15" customHeight="1">
      <c r="BO212" s="52"/>
    </row>
    <row r="213" spans="1:75" s="2" customFormat="1" ht="22.5" customHeight="1">
      <c r="A213" s="66" t="s">
        <v>201</v>
      </c>
      <c r="B213" s="67" t="str">
        <f t="shared" ref="B213:AX213" si="14">B1</f>
        <v>Alte Leipziger XXL</v>
      </c>
      <c r="C213" s="67" t="str">
        <f t="shared" si="14"/>
        <v>Ammerländer Excellent</v>
      </c>
      <c r="D213" s="67" t="str">
        <f t="shared" si="14"/>
        <v>Ammerländer Exclusiv</v>
      </c>
      <c r="E213" s="67" t="str">
        <f t="shared" si="14"/>
        <v>ARAG Komfort</v>
      </c>
      <c r="F213" s="67" t="str">
        <f t="shared" si="14"/>
        <v>ARAG Premium</v>
      </c>
      <c r="G213" s="67" t="str">
        <f t="shared" si="14"/>
        <v>AXA Komfort ohne BR</v>
      </c>
      <c r="H213" s="67" t="str">
        <f t="shared" si="14"/>
        <v>Baden Badener Top 2013</v>
      </c>
      <c r="I213" s="67" t="str">
        <f t="shared" si="14"/>
        <v>Basler UnfallProtect - Max</v>
      </c>
      <c r="J213" s="67" t="str">
        <f t="shared" si="14"/>
        <v>Condor Comfort</v>
      </c>
      <c r="K213" s="67" t="str">
        <f t="shared" si="14"/>
        <v>Condor Premium</v>
      </c>
      <c r="L213" s="67" t="str">
        <f t="shared" si="14"/>
        <v>Cosmos Comfort-Schutz</v>
      </c>
      <c r="M213" s="67" t="str">
        <f t="shared" si="14"/>
        <v>Cosmos Comfort-Schutz Plus</v>
      </c>
      <c r="N213" s="67" t="str">
        <f t="shared" si="14"/>
        <v>Debeka</v>
      </c>
      <c r="O213" s="67" t="str">
        <f t="shared" si="14"/>
        <v>DEVK Komplett</v>
      </c>
      <c r="P213" s="67" t="str">
        <f>P1</f>
        <v>die Bayerische Komfort</v>
      </c>
      <c r="Q213" s="67" t="str">
        <f>Q1</f>
        <v>die Bayerische Standard</v>
      </c>
      <c r="R213" s="67" t="str">
        <f t="shared" si="14"/>
        <v>ERGO Unfallschutz Familie</v>
      </c>
      <c r="S213" s="67" t="str">
        <f t="shared" si="14"/>
        <v>GDV Musterbedingungen</v>
      </c>
      <c r="T213" s="67" t="str">
        <f t="shared" si="14"/>
        <v>Generali Komfort Plus</v>
      </c>
      <c r="U213" s="67" t="str">
        <f t="shared" si="14"/>
        <v>Gothaer Unfall 2014</v>
      </c>
      <c r="V213" s="67" t="str">
        <f t="shared" si="14"/>
        <v>Gothaer UnfallTop 2014</v>
      </c>
      <c r="W213" s="67" t="str">
        <f t="shared" si="14"/>
        <v>Gothaer UnfallTop 2014 Plus</v>
      </c>
      <c r="X213" s="67" t="str">
        <f>X1</f>
        <v>Häger Top</v>
      </c>
      <c r="Y213" s="67" t="str">
        <f>Y1</f>
        <v>HanseMerkur Grund-Schutz</v>
      </c>
      <c r="Z213" s="67" t="str">
        <f>Z1</f>
        <v>HanseMerkur Kompakt-Schutz</v>
      </c>
      <c r="AA213" s="67" t="str">
        <f>AA1</f>
        <v>HanseMerkur Top-Schutz</v>
      </c>
      <c r="AB213" s="67" t="s">
        <v>4170</v>
      </c>
      <c r="AC213" s="67" t="str">
        <f>AC1</f>
        <v>Helvetia Komfort</v>
      </c>
      <c r="AD213" s="67" t="str">
        <f t="shared" si="14"/>
        <v>HKD Basisschutz</v>
      </c>
      <c r="AE213" s="67" t="str">
        <f t="shared" si="14"/>
        <v>HKD Komfortschutz</v>
      </c>
      <c r="AF213" s="67" t="str">
        <f t="shared" si="14"/>
        <v>HKD Komfortschutz Plus</v>
      </c>
      <c r="AG213" s="67" t="str">
        <f t="shared" si="14"/>
        <v>HKD Vollschutz</v>
      </c>
      <c r="AH213" s="67" t="str">
        <f t="shared" si="14"/>
        <v>Ideal Unfall Rente Exklusiv</v>
      </c>
      <c r="AI213" s="67" t="str">
        <f t="shared" si="14"/>
        <v>Interlloyd AUB 2000</v>
      </c>
      <c r="AJ213" s="67" t="str">
        <f t="shared" si="14"/>
        <v>Interlloyd Premium</v>
      </c>
      <c r="AK213" s="67" t="str">
        <f t="shared" si="14"/>
        <v>Interlloyd Premium Plus</v>
      </c>
      <c r="AL213" s="67" t="str">
        <f t="shared" si="14"/>
        <v>Interlloyd Protect</v>
      </c>
      <c r="AM213" s="67" t="str">
        <f t="shared" si="14"/>
        <v>Interrisk XL (Plus-Taxe)</v>
      </c>
      <c r="AN213" s="67" t="str">
        <f t="shared" si="14"/>
        <v>Interrisk XXL (Maxi-Taxe)</v>
      </c>
      <c r="AO213" s="67" t="str">
        <f t="shared" si="14"/>
        <v>Janitos Balance</v>
      </c>
      <c r="AP213" s="67" t="str">
        <f>AP1</f>
        <v>Janitos Balance Plus</v>
      </c>
      <c r="AQ213" s="67" t="str">
        <f>AQ1</f>
        <v>Janitos Best Selection</v>
      </c>
      <c r="AR213" s="67" t="str">
        <f>AR1</f>
        <v>Janitos Best Selection Plus</v>
      </c>
      <c r="AS213" s="67" t="str">
        <f t="shared" si="14"/>
        <v>Keine</v>
      </c>
      <c r="AT213" s="67" t="str">
        <f t="shared" si="14"/>
        <v>KRAVAG Familien-UV 2011</v>
      </c>
      <c r="AU213" s="67" t="str">
        <f t="shared" si="14"/>
        <v>KRAVAG Gruppen-UV 2011</v>
      </c>
      <c r="AV213" s="136" t="str">
        <f t="shared" si="14"/>
        <v>nationale suisse Komfort</v>
      </c>
      <c r="AW213" s="136" t="str">
        <f t="shared" si="14"/>
        <v>nationale suisse Premium</v>
      </c>
      <c r="AX213" s="67" t="str">
        <f t="shared" si="14"/>
        <v>Nürnberger</v>
      </c>
      <c r="AY213" s="67"/>
      <c r="AZ213" s="67" t="str">
        <f>AZ1</f>
        <v>Prokundo Unfall</v>
      </c>
      <c r="BA213" s="67" t="str">
        <f t="shared" ref="BA213:BL213" si="15">BA1</f>
        <v>Provinzial Rundumschutz</v>
      </c>
      <c r="BB213" s="67" t="str">
        <f t="shared" si="15"/>
        <v>R+V PrivatPolice Comfort</v>
      </c>
      <c r="BC213" s="67" t="str">
        <f t="shared" si="15"/>
        <v>Signal Iduna Exklusiv</v>
      </c>
      <c r="BD213" s="67" t="str">
        <f t="shared" si="15"/>
        <v>Signal Iduna Exklusiv (ÖD)
z.B. PVAG, VÖDAG</v>
      </c>
      <c r="BE213" s="67" t="str">
        <f t="shared" si="15"/>
        <v>SLP Primus</v>
      </c>
      <c r="BF213" s="67" t="str">
        <f t="shared" si="15"/>
        <v>SLP Primus Plus</v>
      </c>
      <c r="BG213" s="67" t="str">
        <f>BG1</f>
        <v>Stuttgarter 1000Plus</v>
      </c>
      <c r="BH213" s="67" t="str">
        <f t="shared" si="15"/>
        <v>VdVA Classic</v>
      </c>
      <c r="BI213" s="67" t="str">
        <f t="shared" si="15"/>
        <v>VdVA Exclusiv</v>
      </c>
      <c r="BJ213" s="67" t="str">
        <f>BJ1</f>
        <v>VHV Klassik Garant</v>
      </c>
      <c r="BK213" s="67" t="str">
        <f t="shared" si="15"/>
        <v>VHV Klassik Garant Exklusiv</v>
      </c>
      <c r="BL213" s="67" t="str">
        <f t="shared" si="15"/>
        <v>WÜBA Unfall AKTIV Premium</v>
      </c>
      <c r="BM213" s="67" t="str">
        <f>BM1</f>
        <v>Württembergische Platinum</v>
      </c>
      <c r="BN213" s="67" t="str">
        <f>BN1</f>
        <v>Württembergische Premium</v>
      </c>
      <c r="BO213" s="67" t="str">
        <f>BO1</f>
        <v>Zurich Makler Top-Schutz</v>
      </c>
    </row>
    <row r="214" spans="1:75" s="119" customFormat="1" ht="409.5" customHeight="1">
      <c r="A214" s="53" t="s">
        <v>2590</v>
      </c>
      <c r="B214" s="54" t="s">
        <v>39</v>
      </c>
      <c r="C214" s="76" t="s">
        <v>4337</v>
      </c>
      <c r="D214" s="76" t="s">
        <v>4340</v>
      </c>
      <c r="E214" s="76" t="s">
        <v>2020</v>
      </c>
      <c r="F214" s="76" t="s">
        <v>2022</v>
      </c>
      <c r="G214" s="54" t="s">
        <v>39</v>
      </c>
      <c r="H214" s="132" t="s">
        <v>4272</v>
      </c>
      <c r="I214" s="76" t="s">
        <v>4274</v>
      </c>
      <c r="J214" s="76" t="s">
        <v>2774</v>
      </c>
      <c r="K214" s="76" t="s">
        <v>2768</v>
      </c>
      <c r="L214" s="76" t="s">
        <v>3060</v>
      </c>
      <c r="M214" s="76" t="s">
        <v>3057</v>
      </c>
      <c r="N214" s="76" t="s">
        <v>1895</v>
      </c>
      <c r="O214" s="48" t="s">
        <v>39</v>
      </c>
      <c r="P214" s="76" t="s">
        <v>3836</v>
      </c>
      <c r="Q214" s="76" t="s">
        <v>3846</v>
      </c>
      <c r="R214" s="76" t="s">
        <v>1701</v>
      </c>
      <c r="S214" s="54" t="s">
        <v>39</v>
      </c>
      <c r="T214" s="76" t="s">
        <v>3744</v>
      </c>
      <c r="U214" s="123" t="s">
        <v>4324</v>
      </c>
      <c r="V214" s="132" t="s">
        <v>4326</v>
      </c>
      <c r="W214" s="132" t="s">
        <v>4328</v>
      </c>
      <c r="X214" s="76" t="s">
        <v>4331</v>
      </c>
      <c r="Y214" s="76" t="s">
        <v>4009</v>
      </c>
      <c r="Z214" s="54" t="s">
        <v>4334</v>
      </c>
      <c r="AA214" s="76" t="s">
        <v>4286</v>
      </c>
      <c r="AB214" s="54" t="s">
        <v>4267</v>
      </c>
      <c r="AC214" s="76" t="s">
        <v>4354</v>
      </c>
      <c r="AD214" s="76" t="s">
        <v>2430</v>
      </c>
      <c r="AE214" s="76" t="s">
        <v>4357</v>
      </c>
      <c r="AF214" s="76" t="s">
        <v>4362</v>
      </c>
      <c r="AG214" s="76" t="s">
        <v>4360</v>
      </c>
      <c r="AH214" s="76" t="s">
        <v>1165</v>
      </c>
      <c r="AI214" s="73" t="s">
        <v>39</v>
      </c>
      <c r="AJ214" s="76" t="s">
        <v>4290</v>
      </c>
      <c r="AK214" s="76" t="s">
        <v>4367</v>
      </c>
      <c r="AL214" s="76" t="s">
        <v>3262</v>
      </c>
      <c r="AM214" s="76" t="s">
        <v>4369</v>
      </c>
      <c r="AN214" s="76" t="s">
        <v>4298</v>
      </c>
      <c r="AO214" s="76" t="s">
        <v>4299</v>
      </c>
      <c r="AP214" s="76" t="s">
        <v>4302</v>
      </c>
      <c r="AQ214" s="76" t="s">
        <v>4303</v>
      </c>
      <c r="AR214" s="76" t="s">
        <v>4304</v>
      </c>
      <c r="AS214" s="73" t="s">
        <v>39</v>
      </c>
      <c r="AT214" s="73" t="s">
        <v>39</v>
      </c>
      <c r="AU214" s="54" t="s">
        <v>524</v>
      </c>
      <c r="AV214" s="73" t="s">
        <v>39</v>
      </c>
      <c r="AW214" s="76" t="s">
        <v>1471</v>
      </c>
      <c r="AX214" s="76" t="s">
        <v>366</v>
      </c>
      <c r="AY214" s="76" t="s">
        <v>2912</v>
      </c>
      <c r="AZ214" s="76" t="s">
        <v>4305</v>
      </c>
      <c r="BA214" s="76" t="s">
        <v>2618</v>
      </c>
      <c r="BB214" s="54" t="s">
        <v>4307</v>
      </c>
      <c r="BC214" s="76" t="s">
        <v>4311</v>
      </c>
      <c r="BD214" s="76" t="s">
        <v>4310</v>
      </c>
      <c r="BE214" s="76" t="s">
        <v>1375</v>
      </c>
      <c r="BF214" s="76" t="s">
        <v>1344</v>
      </c>
      <c r="BG214" s="76" t="s">
        <v>3017</v>
      </c>
      <c r="BH214" s="76" t="s">
        <v>3251</v>
      </c>
      <c r="BI214" s="76" t="s">
        <v>3251</v>
      </c>
      <c r="BJ214" s="76" t="s">
        <v>4317</v>
      </c>
      <c r="BK214" s="76" t="s">
        <v>4318</v>
      </c>
      <c r="BL214" s="76" t="s">
        <v>4384</v>
      </c>
      <c r="BM214" s="76" t="s">
        <v>1624</v>
      </c>
      <c r="BN214" s="76" t="s">
        <v>4319</v>
      </c>
      <c r="BO214" s="76" t="s">
        <v>442</v>
      </c>
    </row>
    <row r="215" spans="1:75" s="14" customFormat="1" ht="270" customHeight="1">
      <c r="A215" s="53" t="s">
        <v>2591</v>
      </c>
      <c r="B215" s="48" t="s">
        <v>39</v>
      </c>
      <c r="C215" s="48" t="s">
        <v>39</v>
      </c>
      <c r="D215" s="48"/>
      <c r="E215" s="48" t="s">
        <v>39</v>
      </c>
      <c r="F215" s="48" t="s">
        <v>39</v>
      </c>
      <c r="G215" s="48" t="s">
        <v>39</v>
      </c>
      <c r="H215" s="48" t="s">
        <v>39</v>
      </c>
      <c r="I215" s="48" t="s">
        <v>39</v>
      </c>
      <c r="J215" s="48" t="s">
        <v>39</v>
      </c>
      <c r="K215" s="48" t="s">
        <v>39</v>
      </c>
      <c r="L215" s="48" t="s">
        <v>39</v>
      </c>
      <c r="M215" s="48" t="s">
        <v>39</v>
      </c>
      <c r="N215" s="48" t="s">
        <v>39</v>
      </c>
      <c r="O215" s="48" t="s">
        <v>39</v>
      </c>
      <c r="P215" s="48" t="s">
        <v>39</v>
      </c>
      <c r="Q215" s="48" t="s">
        <v>39</v>
      </c>
      <c r="R215" s="48" t="s">
        <v>39</v>
      </c>
      <c r="S215" s="48" t="s">
        <v>39</v>
      </c>
      <c r="T215" s="48" t="s">
        <v>39</v>
      </c>
      <c r="U215" s="131" t="s">
        <v>39</v>
      </c>
      <c r="V215" s="131" t="s">
        <v>39</v>
      </c>
      <c r="W215" s="131" t="s">
        <v>39</v>
      </c>
      <c r="X215" s="48" t="s">
        <v>39</v>
      </c>
      <c r="Y215" s="48" t="s">
        <v>39</v>
      </c>
      <c r="Z215" s="48" t="s">
        <v>39</v>
      </c>
      <c r="AA215" s="48" t="s">
        <v>39</v>
      </c>
      <c r="AB215" s="48"/>
      <c r="AC215" s="88" t="s">
        <v>3687</v>
      </c>
      <c r="AD215" s="48" t="s">
        <v>39</v>
      </c>
      <c r="AE215" s="48" t="s">
        <v>39</v>
      </c>
      <c r="AF215" s="48" t="s">
        <v>39</v>
      </c>
      <c r="AG215" s="88" t="s">
        <v>2592</v>
      </c>
      <c r="AH215" s="48" t="s">
        <v>39</v>
      </c>
      <c r="AI215" s="48" t="s">
        <v>39</v>
      </c>
      <c r="AJ215" s="48" t="s">
        <v>39</v>
      </c>
      <c r="AK215" s="88" t="s">
        <v>2593</v>
      </c>
      <c r="AL215" s="48" t="s">
        <v>39</v>
      </c>
      <c r="AM215" s="48" t="s">
        <v>39</v>
      </c>
      <c r="AN215" s="88" t="s">
        <v>3377</v>
      </c>
      <c r="AO215" s="88" t="s">
        <v>3625</v>
      </c>
      <c r="AP215" s="88" t="s">
        <v>3626</v>
      </c>
      <c r="AQ215" s="88" t="s">
        <v>3622</v>
      </c>
      <c r="AR215" s="88" t="s">
        <v>3621</v>
      </c>
      <c r="AS215" s="48" t="s">
        <v>39</v>
      </c>
      <c r="AT215" s="48" t="s">
        <v>39</v>
      </c>
      <c r="AU215" s="48" t="s">
        <v>39</v>
      </c>
      <c r="AV215" s="48" t="s">
        <v>39</v>
      </c>
      <c r="AW215" s="48" t="s">
        <v>39</v>
      </c>
      <c r="AX215" s="48" t="s">
        <v>39</v>
      </c>
      <c r="AY215" s="48" t="s">
        <v>39</v>
      </c>
      <c r="AZ215" s="48" t="s">
        <v>39</v>
      </c>
      <c r="BA215" s="48" t="s">
        <v>39</v>
      </c>
      <c r="BB215" s="48" t="s">
        <v>39</v>
      </c>
      <c r="BC215" s="48" t="s">
        <v>39</v>
      </c>
      <c r="BD215" s="48" t="s">
        <v>39</v>
      </c>
      <c r="BE215" s="48" t="s">
        <v>39</v>
      </c>
      <c r="BF215" s="48" t="s">
        <v>39</v>
      </c>
      <c r="BG215" s="48" t="s">
        <v>39</v>
      </c>
      <c r="BH215" s="48" t="s">
        <v>39</v>
      </c>
      <c r="BI215" s="48" t="s">
        <v>39</v>
      </c>
      <c r="BJ215" s="48" t="s">
        <v>39</v>
      </c>
      <c r="BK215" s="48" t="s">
        <v>39</v>
      </c>
      <c r="BL215" s="48" t="s">
        <v>39</v>
      </c>
      <c r="BM215" s="48" t="s">
        <v>39</v>
      </c>
      <c r="BN215" s="48" t="s">
        <v>39</v>
      </c>
      <c r="BO215" s="48" t="s">
        <v>39</v>
      </c>
    </row>
    <row r="216" spans="1:75" s="2" customFormat="1" ht="90" customHeight="1">
      <c r="A216" s="95" t="s">
        <v>688</v>
      </c>
      <c r="B216" s="94"/>
      <c r="C216" s="91" t="s">
        <v>3177</v>
      </c>
      <c r="D216" s="91" t="s">
        <v>3176</v>
      </c>
      <c r="E216" s="94" t="s">
        <v>1167</v>
      </c>
      <c r="F216" s="91" t="s">
        <v>2021</v>
      </c>
      <c r="G216" s="94"/>
      <c r="H216" s="91" t="s">
        <v>4162</v>
      </c>
      <c r="I216" s="91" t="s">
        <v>3028</v>
      </c>
      <c r="J216" s="94" t="s">
        <v>2775</v>
      </c>
      <c r="K216" s="91" t="s">
        <v>2767</v>
      </c>
      <c r="L216" s="91" t="s">
        <v>3059</v>
      </c>
      <c r="M216" s="91" t="s">
        <v>3058</v>
      </c>
      <c r="N216" s="94" t="s">
        <v>1896</v>
      </c>
      <c r="O216" s="94"/>
      <c r="P216" s="94" t="s">
        <v>3835</v>
      </c>
      <c r="Q216" s="94" t="s">
        <v>2498</v>
      </c>
      <c r="R216" s="94" t="s">
        <v>1700</v>
      </c>
      <c r="S216" s="94" t="s">
        <v>39</v>
      </c>
      <c r="T216" s="91" t="s">
        <v>3718</v>
      </c>
      <c r="U216" s="91" t="s">
        <v>4126</v>
      </c>
      <c r="V216" s="91" t="s">
        <v>4125</v>
      </c>
      <c r="W216" s="91" t="s">
        <v>4127</v>
      </c>
      <c r="X216" s="91" t="s">
        <v>2953</v>
      </c>
      <c r="Y216" s="94" t="s">
        <v>4010</v>
      </c>
      <c r="Z216" s="91" t="s">
        <v>4011</v>
      </c>
      <c r="AA216" s="91" t="s">
        <v>4012</v>
      </c>
      <c r="AB216" s="91"/>
      <c r="AC216" s="91" t="s">
        <v>3686</v>
      </c>
      <c r="AD216" s="91" t="s">
        <v>2429</v>
      </c>
      <c r="AE216" s="91" t="s">
        <v>2405</v>
      </c>
      <c r="AF216" s="91" t="s">
        <v>2361</v>
      </c>
      <c r="AG216" s="91" t="s">
        <v>2341</v>
      </c>
      <c r="AH216" s="91" t="s">
        <v>1156</v>
      </c>
      <c r="AI216" s="94"/>
      <c r="AJ216" s="91" t="s">
        <v>3263</v>
      </c>
      <c r="AK216" s="91" t="s">
        <v>2527</v>
      </c>
      <c r="AL216" s="94" t="s">
        <v>3264</v>
      </c>
      <c r="AM216" s="91" t="s">
        <v>3376</v>
      </c>
      <c r="AN216" s="91" t="s">
        <v>3378</v>
      </c>
      <c r="AO216" s="91" t="s">
        <v>3627</v>
      </c>
      <c r="AP216" s="91" t="s">
        <v>3628</v>
      </c>
      <c r="AQ216" s="91" t="s">
        <v>3568</v>
      </c>
      <c r="AR216" s="91" t="s">
        <v>3569</v>
      </c>
      <c r="AS216" s="94"/>
      <c r="AT216" s="94"/>
      <c r="AU216" s="94"/>
      <c r="AV216" s="94" t="s">
        <v>39</v>
      </c>
      <c r="AW216" s="94" t="s">
        <v>1472</v>
      </c>
      <c r="AX216" s="94"/>
      <c r="AY216" s="91" t="s">
        <v>2913</v>
      </c>
      <c r="AZ216" s="94" t="s">
        <v>3390</v>
      </c>
      <c r="BA216" s="94" t="s">
        <v>2619</v>
      </c>
      <c r="BB216" s="91" t="s">
        <v>2862</v>
      </c>
      <c r="BC216" s="94"/>
      <c r="BD216" s="94"/>
      <c r="BE216" s="91" t="s">
        <v>1376</v>
      </c>
      <c r="BF216" s="91" t="s">
        <v>1343</v>
      </c>
      <c r="BG216" s="91" t="s">
        <v>3016</v>
      </c>
      <c r="BH216" s="91" t="s">
        <v>3250</v>
      </c>
      <c r="BI216" s="91" t="s">
        <v>3250</v>
      </c>
      <c r="BJ216" s="91" t="s">
        <v>3422</v>
      </c>
      <c r="BK216" s="91" t="s">
        <v>3423</v>
      </c>
      <c r="BL216" s="91" t="s">
        <v>2226</v>
      </c>
      <c r="BM216" s="91" t="s">
        <v>1623</v>
      </c>
      <c r="BN216" s="91" t="s">
        <v>1622</v>
      </c>
      <c r="BO216" s="94"/>
      <c r="BR216" s="19"/>
      <c r="BS216" s="20"/>
      <c r="BT216" s="11"/>
      <c r="BU216" s="19"/>
      <c r="BV216" s="19"/>
      <c r="BW216" s="19"/>
    </row>
    <row r="217" spans="1:75" ht="15" customHeight="1"/>
    <row r="218" spans="1:75" s="2" customFormat="1" ht="22.5" customHeight="1">
      <c r="A218" s="50" t="s">
        <v>155</v>
      </c>
      <c r="B218" s="57" t="str">
        <f t="shared" ref="B218:BL218" si="16">B1</f>
        <v>Alte Leipziger XXL</v>
      </c>
      <c r="C218" s="57" t="str">
        <f t="shared" si="16"/>
        <v>Ammerländer Excellent</v>
      </c>
      <c r="D218" s="57" t="str">
        <f t="shared" si="16"/>
        <v>Ammerländer Exclusiv</v>
      </c>
      <c r="E218" s="6" t="str">
        <f t="shared" si="16"/>
        <v>ARAG Komfort</v>
      </c>
      <c r="F218" s="6" t="str">
        <f t="shared" si="16"/>
        <v>ARAG Premium</v>
      </c>
      <c r="G218" s="6" t="str">
        <f t="shared" si="16"/>
        <v>AXA Komfort ohne BR</v>
      </c>
      <c r="H218" s="6" t="str">
        <f t="shared" si="16"/>
        <v>Baden Badener Top 2013</v>
      </c>
      <c r="I218" s="6" t="str">
        <f t="shared" si="16"/>
        <v>Basler UnfallProtect - Max</v>
      </c>
      <c r="J218" s="6" t="str">
        <f t="shared" si="16"/>
        <v>Condor Comfort</v>
      </c>
      <c r="K218" s="6" t="str">
        <f t="shared" si="16"/>
        <v>Condor Premium</v>
      </c>
      <c r="L218" s="6" t="str">
        <f t="shared" si="16"/>
        <v>Cosmos Comfort-Schutz</v>
      </c>
      <c r="M218" s="6" t="str">
        <f t="shared" si="16"/>
        <v>Cosmos Comfort-Schutz Plus</v>
      </c>
      <c r="N218" s="6" t="str">
        <f t="shared" si="16"/>
        <v>Debeka</v>
      </c>
      <c r="O218" s="6" t="str">
        <f t="shared" si="16"/>
        <v>DEVK Komplett</v>
      </c>
      <c r="P218" s="57" t="str">
        <f>P1</f>
        <v>die Bayerische Komfort</v>
      </c>
      <c r="Q218" s="57" t="str">
        <f>Q1</f>
        <v>die Bayerische Standard</v>
      </c>
      <c r="R218" s="6" t="str">
        <f t="shared" si="16"/>
        <v>ERGO Unfallschutz Familie</v>
      </c>
      <c r="S218" s="6" t="str">
        <f t="shared" si="16"/>
        <v>GDV Musterbedingungen</v>
      </c>
      <c r="T218" s="6" t="str">
        <f t="shared" si="16"/>
        <v>Generali Komfort Plus</v>
      </c>
      <c r="U218" s="6" t="str">
        <f t="shared" si="16"/>
        <v>Gothaer Unfall 2014</v>
      </c>
      <c r="V218" s="6" t="str">
        <f t="shared" si="16"/>
        <v>Gothaer UnfallTop 2014</v>
      </c>
      <c r="W218" s="6" t="str">
        <f t="shared" si="16"/>
        <v>Gothaer UnfallTop 2014 Plus</v>
      </c>
      <c r="X218" s="57" t="str">
        <f>X1</f>
        <v>Häger Top</v>
      </c>
      <c r="Y218" s="57" t="str">
        <f>Y1</f>
        <v>HanseMerkur Grund-Schutz</v>
      </c>
      <c r="Z218" s="57" t="str">
        <f>Z1</f>
        <v>HanseMerkur Kompakt-Schutz</v>
      </c>
      <c r="AA218" s="57" t="str">
        <f>AA1</f>
        <v>HanseMerkur Top-Schutz</v>
      </c>
      <c r="AB218" s="57" t="s">
        <v>4170</v>
      </c>
      <c r="AC218" s="57" t="str">
        <f>AC1</f>
        <v>Helvetia Komfort</v>
      </c>
      <c r="AD218" s="6" t="str">
        <f t="shared" si="16"/>
        <v>HKD Basisschutz</v>
      </c>
      <c r="AE218" s="6" t="str">
        <f t="shared" si="16"/>
        <v>HKD Komfortschutz</v>
      </c>
      <c r="AF218" s="57" t="str">
        <f t="shared" si="16"/>
        <v>HKD Komfortschutz Plus</v>
      </c>
      <c r="AG218" s="57" t="str">
        <f t="shared" si="16"/>
        <v>HKD Vollschutz</v>
      </c>
      <c r="AH218" s="6" t="str">
        <f t="shared" si="16"/>
        <v>Ideal Unfall Rente Exklusiv</v>
      </c>
      <c r="AI218" s="6" t="str">
        <f t="shared" si="16"/>
        <v>Interlloyd AUB 2000</v>
      </c>
      <c r="AJ218" s="6" t="str">
        <f t="shared" si="16"/>
        <v>Interlloyd Premium</v>
      </c>
      <c r="AK218" s="6" t="str">
        <f t="shared" si="16"/>
        <v>Interlloyd Premium Plus</v>
      </c>
      <c r="AL218" s="6" t="str">
        <f t="shared" si="16"/>
        <v>Interlloyd Protect</v>
      </c>
      <c r="AM218" s="6" t="str">
        <f t="shared" si="16"/>
        <v>Interrisk XL (Plus-Taxe)</v>
      </c>
      <c r="AN218" s="6" t="str">
        <f t="shared" si="16"/>
        <v>Interrisk XXL (Maxi-Taxe)</v>
      </c>
      <c r="AO218" s="6" t="str">
        <f t="shared" si="16"/>
        <v>Janitos Balance</v>
      </c>
      <c r="AP218" s="6" t="str">
        <f>AP1</f>
        <v>Janitos Balance Plus</v>
      </c>
      <c r="AQ218" s="6" t="str">
        <f>AQ1</f>
        <v>Janitos Best Selection</v>
      </c>
      <c r="AR218" s="6" t="str">
        <f>AR1</f>
        <v>Janitos Best Selection Plus</v>
      </c>
      <c r="AS218" s="6" t="str">
        <f t="shared" si="16"/>
        <v>Keine</v>
      </c>
      <c r="AT218" s="6" t="str">
        <f t="shared" si="16"/>
        <v>KRAVAG Familien-UV 2011</v>
      </c>
      <c r="AU218" s="6" t="str">
        <f t="shared" si="16"/>
        <v>KRAVAG Gruppen-UV 2011</v>
      </c>
      <c r="AV218" s="5" t="str">
        <f t="shared" si="16"/>
        <v>nationale suisse Komfort</v>
      </c>
      <c r="AW218" s="5" t="str">
        <f t="shared" si="16"/>
        <v>nationale suisse Premium</v>
      </c>
      <c r="AX218" s="57" t="str">
        <f t="shared" si="16"/>
        <v>Nürnberger</v>
      </c>
      <c r="AY218" s="57" t="str">
        <f t="shared" si="16"/>
        <v>Öffentliche Braunschweig Spezial</v>
      </c>
      <c r="AZ218" s="57" t="str">
        <f t="shared" si="16"/>
        <v>Prokundo Unfall</v>
      </c>
      <c r="BA218" s="6" t="str">
        <f t="shared" si="16"/>
        <v>Provinzial Rundumschutz</v>
      </c>
      <c r="BB218" s="57" t="str">
        <f>BB1</f>
        <v>R+V PrivatPolice Comfort</v>
      </c>
      <c r="BC218" s="57" t="str">
        <f t="shared" si="16"/>
        <v>Signal Iduna Exklusiv</v>
      </c>
      <c r="BD218" s="57" t="str">
        <f t="shared" si="16"/>
        <v>Signal Iduna Exklusiv (ÖD)
z.B. PVAG, VÖDAG</v>
      </c>
      <c r="BE218" s="6" t="str">
        <f t="shared" si="16"/>
        <v>SLP Primus</v>
      </c>
      <c r="BF218" s="6" t="str">
        <f t="shared" si="16"/>
        <v>SLP Primus Plus</v>
      </c>
      <c r="BG218" s="57" t="str">
        <f>BG1</f>
        <v>Stuttgarter 1000Plus</v>
      </c>
      <c r="BH218" s="6" t="str">
        <f t="shared" si="16"/>
        <v>VdVA Classic</v>
      </c>
      <c r="BI218" s="6" t="str">
        <f t="shared" si="16"/>
        <v>VdVA Exclusiv</v>
      </c>
      <c r="BJ218" s="6" t="str">
        <f>BJ1</f>
        <v>VHV Klassik Garant</v>
      </c>
      <c r="BK218" s="6" t="str">
        <f t="shared" si="16"/>
        <v>VHV Klassik Garant Exklusiv</v>
      </c>
      <c r="BL218" s="6" t="str">
        <f t="shared" si="16"/>
        <v>WÜBA Unfall AKTIV Premium</v>
      </c>
      <c r="BM218" s="6" t="str">
        <f>BM1</f>
        <v>Württembergische Platinum</v>
      </c>
      <c r="BN218" s="6" t="str">
        <f>BN1</f>
        <v>Württembergische Premium</v>
      </c>
      <c r="BO218" s="57" t="str">
        <f>BO1</f>
        <v>Zurich Makler Top-Schutz</v>
      </c>
    </row>
    <row r="219" spans="1:75" s="117" customFormat="1" ht="22.5" customHeight="1">
      <c r="A219" s="128"/>
      <c r="B219" s="54" t="s">
        <v>270</v>
      </c>
      <c r="C219" s="54" t="s">
        <v>2936</v>
      </c>
      <c r="D219" s="54" t="s">
        <v>2936</v>
      </c>
      <c r="E219" s="54" t="s">
        <v>4138</v>
      </c>
      <c r="F219" s="54" t="s">
        <v>4138</v>
      </c>
      <c r="G219" s="54" t="s">
        <v>633</v>
      </c>
      <c r="H219" s="123" t="s">
        <v>4166</v>
      </c>
      <c r="I219" s="54" t="s">
        <v>4141</v>
      </c>
      <c r="J219" s="54" t="s">
        <v>2736</v>
      </c>
      <c r="K219" s="54" t="s">
        <v>2736</v>
      </c>
      <c r="L219" s="54" t="s">
        <v>4143</v>
      </c>
      <c r="M219" s="54" t="s">
        <v>4143</v>
      </c>
      <c r="N219" s="54" t="s">
        <v>1882</v>
      </c>
      <c r="O219" s="54" t="s">
        <v>2620</v>
      </c>
      <c r="P219" s="54" t="s">
        <v>4145</v>
      </c>
      <c r="Q219" s="54" t="s">
        <v>4146</v>
      </c>
      <c r="R219" s="54" t="s">
        <v>3268</v>
      </c>
      <c r="S219" s="54" t="s">
        <v>1380</v>
      </c>
      <c r="T219" s="54" t="s">
        <v>4138</v>
      </c>
      <c r="U219" s="123" t="s">
        <v>4079</v>
      </c>
      <c r="V219" s="123" t="s">
        <v>4079</v>
      </c>
      <c r="W219" s="123" t="s">
        <v>4079</v>
      </c>
      <c r="X219" s="54" t="s">
        <v>2937</v>
      </c>
      <c r="Y219" s="49" t="s">
        <v>4013</v>
      </c>
      <c r="Z219" s="49" t="s">
        <v>4014</v>
      </c>
      <c r="AA219" s="49" t="s">
        <v>4015</v>
      </c>
      <c r="AB219" s="49" t="s">
        <v>4265</v>
      </c>
      <c r="AC219" s="54" t="s">
        <v>3650</v>
      </c>
      <c r="AD219" s="54" t="s">
        <v>4130</v>
      </c>
      <c r="AE219" s="54" t="s">
        <v>4130</v>
      </c>
      <c r="AF219" s="54" t="s">
        <v>4130</v>
      </c>
      <c r="AG219" s="54" t="s">
        <v>4130</v>
      </c>
      <c r="AH219" s="54" t="s">
        <v>1134</v>
      </c>
      <c r="AI219" s="73" t="s">
        <v>170</v>
      </c>
      <c r="AJ219" s="54" t="s">
        <v>2453</v>
      </c>
      <c r="AK219" s="54" t="s">
        <v>2452</v>
      </c>
      <c r="AL219" s="54" t="s">
        <v>622</v>
      </c>
      <c r="AM219" s="54" t="s">
        <v>4149</v>
      </c>
      <c r="AN219" s="54" t="s">
        <v>4150</v>
      </c>
      <c r="AO219" s="54" t="s">
        <v>3483</v>
      </c>
      <c r="AP219" s="54" t="s">
        <v>3483</v>
      </c>
      <c r="AQ219" s="54" t="s">
        <v>3483</v>
      </c>
      <c r="AR219" s="54" t="s">
        <v>3483</v>
      </c>
      <c r="AS219" s="73" t="s">
        <v>39</v>
      </c>
      <c r="AT219" s="54" t="s">
        <v>507</v>
      </c>
      <c r="AU219" s="54" t="s">
        <v>507</v>
      </c>
      <c r="AV219" s="54" t="s">
        <v>1429</v>
      </c>
      <c r="AW219" s="54" t="s">
        <v>1428</v>
      </c>
      <c r="AX219" s="54" t="s">
        <v>320</v>
      </c>
      <c r="AY219" s="54" t="s">
        <v>2874</v>
      </c>
      <c r="AZ219" s="54" t="s">
        <v>3382</v>
      </c>
      <c r="BA219" s="54" t="s">
        <v>4151</v>
      </c>
      <c r="BB219" s="54" t="s">
        <v>4153</v>
      </c>
      <c r="BC219" s="54" t="s">
        <v>2936</v>
      </c>
      <c r="BD219" s="54" t="s">
        <v>2936</v>
      </c>
      <c r="BE219" s="54" t="s">
        <v>3395</v>
      </c>
      <c r="BF219" s="54" t="s">
        <v>3396</v>
      </c>
      <c r="BG219" s="54" t="s">
        <v>2972</v>
      </c>
      <c r="BH219" s="54" t="s">
        <v>3193</v>
      </c>
      <c r="BI219" s="54" t="s">
        <v>3192</v>
      </c>
      <c r="BJ219" s="54" t="s">
        <v>2874</v>
      </c>
      <c r="BK219" s="54" t="s">
        <v>2874</v>
      </c>
      <c r="BL219" s="54" t="s">
        <v>2167</v>
      </c>
      <c r="BM219" s="54" t="s">
        <v>1575</v>
      </c>
      <c r="BN219" s="54" t="s">
        <v>1575</v>
      </c>
      <c r="BO219" s="54" t="s">
        <v>4155</v>
      </c>
    </row>
    <row r="220" spans="1:75">
      <c r="E220" s="38" t="s">
        <v>4137</v>
      </c>
      <c r="F220" s="38" t="s">
        <v>4137</v>
      </c>
      <c r="H220" s="38"/>
      <c r="I220" s="38" t="s">
        <v>3265</v>
      </c>
      <c r="J220" s="38"/>
      <c r="K220" s="38"/>
      <c r="L220" s="38" t="s">
        <v>4142</v>
      </c>
      <c r="M220" s="38" t="s">
        <v>4142</v>
      </c>
      <c r="N220" s="38"/>
      <c r="O220" s="38"/>
      <c r="R220" s="38" t="s">
        <v>3267</v>
      </c>
      <c r="T220" s="38" t="s">
        <v>4147</v>
      </c>
      <c r="U220" s="38"/>
      <c r="V220" s="38"/>
      <c r="AD220" s="38" t="s">
        <v>4129</v>
      </c>
      <c r="AE220" s="38" t="s">
        <v>4129</v>
      </c>
      <c r="AF220" s="38" t="s">
        <v>4129</v>
      </c>
      <c r="AG220" s="38" t="s">
        <v>4129</v>
      </c>
      <c r="AH220" s="38"/>
      <c r="AI220" s="38"/>
      <c r="AJ220" s="38"/>
      <c r="AK220" s="38"/>
      <c r="AL220" s="38"/>
      <c r="AM220" s="38" t="s">
        <v>4148</v>
      </c>
      <c r="AN220" s="38" t="s">
        <v>4148</v>
      </c>
      <c r="AO220" s="38"/>
      <c r="AP220" s="38"/>
      <c r="AQ220" s="38"/>
      <c r="AR220" s="38"/>
      <c r="AS220" s="38"/>
      <c r="AT220" s="38"/>
      <c r="AU220" s="38"/>
      <c r="AV220" s="38"/>
      <c r="AW220" s="38"/>
      <c r="AZ220" s="38"/>
      <c r="BA220" s="38" t="s">
        <v>3265</v>
      </c>
      <c r="BB220" s="38" t="s">
        <v>4152</v>
      </c>
      <c r="BE220" s="38"/>
      <c r="BF220" s="38"/>
      <c r="BJ220" s="38" t="s">
        <v>3269</v>
      </c>
      <c r="BK220" s="38" t="s">
        <v>3269</v>
      </c>
      <c r="BL220" s="38"/>
      <c r="BM220" s="38"/>
      <c r="BN220" s="38"/>
      <c r="BO220" s="38" t="s">
        <v>4154</v>
      </c>
    </row>
    <row r="221" spans="1:75" ht="22.5" customHeight="1">
      <c r="A221" s="53" t="s">
        <v>1879</v>
      </c>
      <c r="B221" s="123" t="s">
        <v>4390</v>
      </c>
      <c r="C221" s="123" t="s">
        <v>4136</v>
      </c>
      <c r="D221" s="123" t="s">
        <v>4136</v>
      </c>
      <c r="E221" s="123" t="s">
        <v>4136</v>
      </c>
      <c r="F221" s="123" t="s">
        <v>4136</v>
      </c>
      <c r="G221" s="123" t="s">
        <v>4136</v>
      </c>
      <c r="H221" s="123" t="s">
        <v>4165</v>
      </c>
      <c r="I221" s="123" t="s">
        <v>4136</v>
      </c>
      <c r="J221" s="123" t="s">
        <v>4136</v>
      </c>
      <c r="K221" s="123" t="s">
        <v>4136</v>
      </c>
      <c r="L221" s="123" t="s">
        <v>4136</v>
      </c>
      <c r="M221" s="123" t="s">
        <v>4136</v>
      </c>
      <c r="N221" s="123" t="s">
        <v>4136</v>
      </c>
      <c r="O221" s="133" t="s">
        <v>4139</v>
      </c>
      <c r="P221" s="123" t="s">
        <v>4136</v>
      </c>
      <c r="Q221" s="123" t="s">
        <v>4136</v>
      </c>
      <c r="R221" s="123" t="s">
        <v>4136</v>
      </c>
      <c r="S221" s="123" t="s">
        <v>4136</v>
      </c>
      <c r="T221" s="123" t="s">
        <v>4136</v>
      </c>
      <c r="U221" s="123" t="s">
        <v>4389</v>
      </c>
      <c r="V221" s="123" t="s">
        <v>4389</v>
      </c>
      <c r="W221" s="123" t="s">
        <v>4389</v>
      </c>
      <c r="X221" s="123" t="s">
        <v>4389</v>
      </c>
      <c r="Y221" s="123" t="s">
        <v>4389</v>
      </c>
      <c r="Z221" s="123" t="s">
        <v>4389</v>
      </c>
      <c r="AA221" s="123" t="s">
        <v>4389</v>
      </c>
      <c r="AB221" s="123" t="s">
        <v>4266</v>
      </c>
      <c r="AC221" s="123" t="s">
        <v>4389</v>
      </c>
      <c r="AD221" s="123" t="s">
        <v>4389</v>
      </c>
      <c r="AE221" s="123" t="s">
        <v>4389</v>
      </c>
      <c r="AF221" s="123" t="s">
        <v>4389</v>
      </c>
      <c r="AG221" s="123" t="s">
        <v>4389</v>
      </c>
      <c r="AH221" s="123" t="s">
        <v>4389</v>
      </c>
      <c r="AI221" s="81" t="s">
        <v>1124</v>
      </c>
      <c r="AJ221" s="123" t="s">
        <v>4390</v>
      </c>
      <c r="AK221" s="123" t="s">
        <v>4390</v>
      </c>
      <c r="AL221" s="123" t="s">
        <v>4390</v>
      </c>
      <c r="AM221" s="123" t="s">
        <v>4390</v>
      </c>
      <c r="AN221" s="123" t="s">
        <v>4390</v>
      </c>
      <c r="AO221" s="123" t="s">
        <v>4390</v>
      </c>
      <c r="AP221" s="123" t="s">
        <v>4390</v>
      </c>
      <c r="AQ221" s="123" t="s">
        <v>4390</v>
      </c>
      <c r="AR221" s="123" t="s">
        <v>4390</v>
      </c>
      <c r="AS221" s="81" t="s">
        <v>39</v>
      </c>
      <c r="AT221" s="123" t="s">
        <v>4391</v>
      </c>
      <c r="AU221" s="123" t="s">
        <v>4392</v>
      </c>
      <c r="AV221" s="123" t="s">
        <v>4393</v>
      </c>
      <c r="AW221" s="123" t="s">
        <v>4394</v>
      </c>
      <c r="AX221" s="123" t="s">
        <v>4395</v>
      </c>
      <c r="AY221" s="123" t="s">
        <v>4396</v>
      </c>
      <c r="AZ221" s="123" t="s">
        <v>4397</v>
      </c>
      <c r="BA221" s="123" t="s">
        <v>4398</v>
      </c>
      <c r="BB221" s="123" t="s">
        <v>4399</v>
      </c>
      <c r="BC221" s="123" t="s">
        <v>4400</v>
      </c>
      <c r="BD221" s="123" t="s">
        <v>4401</v>
      </c>
      <c r="BE221" s="123" t="s">
        <v>4402</v>
      </c>
      <c r="BF221" s="123" t="s">
        <v>4403</v>
      </c>
      <c r="BG221" s="123" t="s">
        <v>4404</v>
      </c>
      <c r="BH221" s="123" t="s">
        <v>4405</v>
      </c>
      <c r="BI221" s="123" t="s">
        <v>4406</v>
      </c>
      <c r="BJ221" s="123" t="s">
        <v>4407</v>
      </c>
      <c r="BK221" s="123" t="s">
        <v>4408</v>
      </c>
      <c r="BL221" s="123" t="s">
        <v>4409</v>
      </c>
      <c r="BM221" s="123" t="s">
        <v>4410</v>
      </c>
      <c r="BN221" s="123" t="s">
        <v>4411</v>
      </c>
      <c r="BO221" s="123" t="s">
        <v>4412</v>
      </c>
    </row>
    <row r="222" spans="1:75">
      <c r="J222" s="38"/>
      <c r="K222" s="38"/>
      <c r="L222" s="38"/>
      <c r="M222" s="38"/>
      <c r="N222" s="38"/>
      <c r="O222" s="38"/>
      <c r="R222" s="38"/>
      <c r="T222" s="38"/>
      <c r="U222" s="38"/>
      <c r="V222" s="38"/>
      <c r="AH222" s="38"/>
      <c r="AI222" s="38"/>
      <c r="AJ222" s="38"/>
      <c r="AK222" s="38"/>
      <c r="AL222" s="38"/>
      <c r="AM222" s="38"/>
      <c r="AN222" s="38"/>
      <c r="AO222" s="38"/>
      <c r="AP222" s="38"/>
      <c r="AQ222" s="38"/>
      <c r="AR222" s="38"/>
      <c r="AS222" s="38"/>
      <c r="AT222" s="38"/>
      <c r="AU222" s="38"/>
      <c r="AV222" s="38"/>
      <c r="AW222" s="38"/>
      <c r="AZ222" s="38"/>
      <c r="BA222" s="38"/>
      <c r="BE222" s="38"/>
      <c r="BF222" s="38"/>
      <c r="BJ222" s="38"/>
      <c r="BK222" s="38"/>
      <c r="BL222" s="38"/>
      <c r="BM222" s="38"/>
      <c r="BN222" s="38"/>
    </row>
  </sheetData>
  <conditionalFormatting sqref="BB219 AM214:AM215 AO137:BO137 AC215:AL215 AN215:BO215 P216:Q216 N219 B214:G215 H215:M215 J214:M214 B4:S4 N214:R215 Y214 X215:AB216 Y219:AB219 B44:BO44 B156:BO156 B164:BO164 B166:BO166 B172:BO172 B182:BO182 B184:BO184 B186:BO186 B188:BO188 B190:BO190 B192:BO192 B194:BO194 B174:BO174 B176:BO176 B178:BO178 B36:BO36 B30:BO30 B108:BO108 B143:BO143 B70:BO70 B78:BO78 B151:BO151 B16:BO16 B10:BO10 B158:BO158 B160:BO160 B162:BO162 B168:BO168 B180:BO180 B170:BO170 B38:BO38 S215:W215 B2:BO2 B80:BO80 B48:BO48 B40:BO40 B6:BO6 B22:BO22 B28:BO28 B32:BO32 B64:BO64 B68:BO68 B86:BO86 B125:BO125 B133:BO133 B131:BO131 B137:AM137 B139:BO139 B76:BO76 B14:BO14 B24:BO24 B8:BO8 B20:BO20 B72:BO72 B74:BO74 B84:BO84 B106:BO106 B127:BO127 B129:BO129 B115:BO115 B54:BO54 B58:BO58 B98:BO98 B96:BO96 B121:BO121 B92:BO92 B117:BO117 B119:BO119 B82:BO82 B149:BO149 B18:BO18 B147:BO147 B145:BO145 B135:BO135 B104:BO104 B110:BO110 B100:BO100 B94:BO94 B90:BO90 B88:BO88 B42:BO42 B46:BO46 B50:BO50 B52:BO52 B56:BO56 B60:BO60 B62:BO62 B219:G219 B26:BO26 V4:BO4 B12:BO12 B196:BO196 B198:BO198 B200:BO200 B202:BO202 B204:BO204 B206:BO206 B208:BO208 B210:BO210">
    <cfRule type="cellIs" dxfId="3" priority="4" stopIfTrue="1" operator="equal">
      <formula>#REF!</formula>
    </cfRule>
  </conditionalFormatting>
  <conditionalFormatting sqref="BO214:BO215 BC214:BJ215 AX214:AY215 AM214:AM215 AD215:AL215 AN215:AW215 AZ215:BB215 BK215:BN215 AO137:BO137 AD214:AH214 AC214:AC215 W214:W215 B214:G215 H215 I214:S215 P216:Q216 B4:S4 X214:AB216 B44:BO44 B156:BO156 B164:BO164 B166:BO166 B172:BO172 B182:BO182 B184:BO184 B186:BO186 B188:BO188 B190:BO190 B192:BO192 B194:BO194 B174:BO174 B176:BO176 B178:BO178 B36:BO36 B30:BO30 B108:BO108 B143:BO143 B70:BO70 B78:BO78 B151:BO151 B16:BO16 B10:BO10 B158:BO158 B160:BO160 B162:BO162 B168:BO168 B180:BO180 B170:BO170 B38:BO38 T215:V215 B2:BO2 B80:BO80 B48:BO48 B40:BO40 B6:BO6 B22:BO22 B28:BO28 B32:BO32 B64:BO64 B68:BO68 B86:BO86 B125:BO125 B133:BO133 B131:BO131 B137:AM137 B139:BO139 B76:BO76 B14:BO14 B24:BO24 B8:BO8 B20:BO20 B72:BO72 B74:BO74 B84:BO84 B106:BO106 B127:BO127 B129:BO129 B115:BO115 B54:BO54 B58:BO58 B98:BO98 B96:BO96 B121:BO121 B92:BO92 B117:BO117 B119:BO119 B82:BO82 B149:BO149 B18:BO18 B147:BO147 B145:BO145 B135:BO135 B104:BO104 B110:BO110 B100:BO100 B94:BO94 B90:BO90 B88:BO88 B42:BO42 B46:BO46 B50:BO50 B52:BO52 B56:BO56 B60:BO60 B62:BO62 B219:BO219 B26:BO26 V4:BO4 B12:BO12 B196:BO196 B198:BO198 B200:BO200 B202:BO202 B204:BO204 B206:BO206 B208:BO208 B210:BO210">
    <cfRule type="containsBlanks" dxfId="2" priority="3" stopIfTrue="1">
      <formula>LEN(TRIM(B2))=0</formula>
    </cfRule>
  </conditionalFormatting>
  <conditionalFormatting sqref="B112:BO112">
    <cfRule type="cellIs" dxfId="1" priority="2" stopIfTrue="1" operator="equal">
      <formula>#REF!</formula>
    </cfRule>
  </conditionalFormatting>
  <conditionalFormatting sqref="B112:BO112">
    <cfRule type="containsBlanks" dxfId="0" priority="1" stopIfTrue="1">
      <formula>LEN(TRIM(B112))=0</formula>
    </cfRule>
  </conditionalFormatting>
  <printOptions horizontalCentered="1"/>
  <pageMargins left="0.78740157480314965" right="0.78740157480314965" top="1.1811023622047245" bottom="0.78740157480314965" header="0.51181102362204722" footer="0.51181102362204722"/>
  <pageSetup paperSize="9" orientation="portrait" r:id="rId1"/>
  <headerFooter alignWithMargins="0">
    <oddHeader>&amp;L&amp;"Arial,Fett"&amp;16Leistungsübersicht Unfallversicherungen&amp;R&amp;G</oddHeader>
    <oddFooter>&amp;C&amp;8Bei den Deckungsinhalten handelt es sich nur um Stichworte. Die detaillierten Deckungsumfänge sind den jeweiligen Bedingungen zu entnehmen.</oddFooter>
  </headerFooter>
  <rowBreaks count="6" manualBreakCount="6">
    <brk id="33" max="11" man="1"/>
    <brk id="65" max="11" man="1"/>
    <brk id="101" max="11" man="1"/>
    <brk id="122" max="11" man="1"/>
    <brk id="153" max="11" man="1"/>
    <brk id="185" max="11"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D41" sqref="D41"/>
    </sheetView>
  </sheetViews>
  <sheetFormatPr baseColWidth="10" defaultRowHeight="12.75"/>
  <cols>
    <col min="1" max="1" width="24.7109375" customWidth="1"/>
    <col min="2" max="2" width="20.28515625" customWidth="1"/>
    <col min="3" max="3" width="28.140625" customWidth="1"/>
    <col min="4" max="4" width="32.85546875" customWidth="1"/>
    <col min="5" max="6" width="28.85546875" customWidth="1"/>
  </cols>
  <sheetData>
    <row r="1" spans="1:6">
      <c r="A1" s="155" t="s">
        <v>4699</v>
      </c>
      <c r="B1" s="155" t="s">
        <v>1136</v>
      </c>
      <c r="C1" s="155" t="s">
        <v>4700</v>
      </c>
      <c r="D1" s="156" t="s">
        <v>201</v>
      </c>
      <c r="E1" s="156" t="s">
        <v>4701</v>
      </c>
      <c r="F1" s="156" t="s">
        <v>5654</v>
      </c>
    </row>
    <row r="2" spans="1:6" ht="24">
      <c r="A2" s="291" t="s">
        <v>4702</v>
      </c>
      <c r="B2" s="157" t="s">
        <v>4703</v>
      </c>
      <c r="C2" s="158" t="s">
        <v>4704</v>
      </c>
      <c r="D2" s="157"/>
      <c r="E2" s="157" t="s">
        <v>4705</v>
      </c>
      <c r="F2" s="157"/>
    </row>
    <row r="3" spans="1:6" ht="24">
      <c r="A3" s="292"/>
      <c r="B3" s="157" t="s">
        <v>4706</v>
      </c>
      <c r="C3" s="158" t="s">
        <v>4704</v>
      </c>
      <c r="D3" s="157"/>
      <c r="E3" s="157" t="s">
        <v>4705</v>
      </c>
      <c r="F3" s="157"/>
    </row>
    <row r="4" spans="1:6" ht="24">
      <c r="A4" s="159" t="s">
        <v>4707</v>
      </c>
      <c r="B4" s="160"/>
      <c r="C4" s="158" t="s">
        <v>4708</v>
      </c>
      <c r="D4" s="161" t="s">
        <v>4709</v>
      </c>
      <c r="E4" s="161" t="s">
        <v>1136</v>
      </c>
      <c r="F4" s="161"/>
    </row>
    <row r="5" spans="1:6" ht="24">
      <c r="A5" s="162" t="s">
        <v>4710</v>
      </c>
      <c r="B5" s="160" t="s">
        <v>4711</v>
      </c>
      <c r="C5" s="158" t="s">
        <v>4708</v>
      </c>
      <c r="D5" s="161" t="s">
        <v>4709</v>
      </c>
      <c r="E5" s="160" t="s">
        <v>4712</v>
      </c>
      <c r="F5" s="160"/>
    </row>
    <row r="6" spans="1:6" ht="36">
      <c r="A6" s="162" t="s">
        <v>4713</v>
      </c>
      <c r="B6" s="160"/>
      <c r="C6" s="158" t="s">
        <v>4714</v>
      </c>
      <c r="D6" s="161" t="s">
        <v>4715</v>
      </c>
      <c r="E6" s="160" t="s">
        <v>4716</v>
      </c>
      <c r="F6" s="160"/>
    </row>
    <row r="7" spans="1:6" ht="24">
      <c r="A7" s="293" t="s">
        <v>4717</v>
      </c>
      <c r="B7" s="160" t="s">
        <v>4718</v>
      </c>
      <c r="C7" s="158" t="s">
        <v>4719</v>
      </c>
      <c r="D7" s="160"/>
      <c r="E7" s="160" t="s">
        <v>4720</v>
      </c>
      <c r="F7" s="160"/>
    </row>
    <row r="8" spans="1:6" ht="24">
      <c r="A8" s="294"/>
      <c r="B8" s="160" t="s">
        <v>4721</v>
      </c>
      <c r="C8" s="158" t="s">
        <v>4722</v>
      </c>
      <c r="D8" s="160"/>
      <c r="E8" s="160" t="s">
        <v>4720</v>
      </c>
      <c r="F8" s="160"/>
    </row>
    <row r="9" spans="1:6" ht="24">
      <c r="A9" s="159" t="s">
        <v>4723</v>
      </c>
      <c r="B9" s="160"/>
      <c r="C9" s="158" t="s">
        <v>4724</v>
      </c>
      <c r="D9" s="160"/>
      <c r="E9" s="160" t="s">
        <v>4720</v>
      </c>
      <c r="F9" s="160"/>
    </row>
    <row r="10" spans="1:6">
      <c r="A10" s="162" t="s">
        <v>4725</v>
      </c>
      <c r="B10" s="160"/>
      <c r="C10" s="163" t="s">
        <v>39</v>
      </c>
      <c r="D10" s="160"/>
      <c r="E10" s="160" t="s">
        <v>4726</v>
      </c>
      <c r="F10" s="160"/>
    </row>
    <row r="11" spans="1:6" ht="24">
      <c r="A11" s="159" t="s">
        <v>4727</v>
      </c>
      <c r="B11" s="160"/>
      <c r="C11" s="158" t="s">
        <v>4708</v>
      </c>
      <c r="D11" s="160"/>
      <c r="E11" s="160" t="s">
        <v>4720</v>
      </c>
      <c r="F11" s="160"/>
    </row>
    <row r="12" spans="1:6">
      <c r="A12" s="162" t="s">
        <v>4728</v>
      </c>
      <c r="B12" s="160"/>
      <c r="C12" s="163" t="s">
        <v>39</v>
      </c>
      <c r="D12" s="160"/>
      <c r="E12" s="160" t="s">
        <v>4720</v>
      </c>
      <c r="F12" s="160"/>
    </row>
    <row r="13" spans="1:6" ht="24">
      <c r="A13" s="162" t="s">
        <v>1398</v>
      </c>
      <c r="B13" s="160"/>
      <c r="C13" s="158" t="s">
        <v>4704</v>
      </c>
      <c r="D13" s="164"/>
      <c r="E13" s="160" t="s">
        <v>4720</v>
      </c>
      <c r="F13" s="160"/>
    </row>
    <row r="14" spans="1:6" ht="24">
      <c r="A14" s="162" t="s">
        <v>4729</v>
      </c>
      <c r="B14" s="160"/>
      <c r="C14" s="158" t="s">
        <v>4730</v>
      </c>
      <c r="D14" s="160" t="s">
        <v>4731</v>
      </c>
      <c r="E14" s="160" t="s">
        <v>4720</v>
      </c>
      <c r="F14" s="160"/>
    </row>
    <row r="15" spans="1:6" ht="24">
      <c r="A15" s="291" t="s">
        <v>4732</v>
      </c>
      <c r="B15" s="160" t="s">
        <v>4733</v>
      </c>
      <c r="C15" s="158" t="s">
        <v>4730</v>
      </c>
      <c r="D15" s="160"/>
      <c r="E15" s="160" t="s">
        <v>4720</v>
      </c>
      <c r="F15" s="160"/>
    </row>
    <row r="16" spans="1:6" ht="24">
      <c r="A16" s="292"/>
      <c r="B16" s="160" t="s">
        <v>4734</v>
      </c>
      <c r="C16" s="158" t="s">
        <v>4704</v>
      </c>
      <c r="D16" s="160"/>
      <c r="E16" s="160" t="s">
        <v>4720</v>
      </c>
      <c r="F16" s="160"/>
    </row>
    <row r="17" spans="1:6" ht="24">
      <c r="A17" s="159" t="s">
        <v>4735</v>
      </c>
      <c r="B17" s="160"/>
      <c r="C17" s="158" t="s">
        <v>4736</v>
      </c>
      <c r="D17" s="160"/>
      <c r="E17" s="160" t="s">
        <v>1136</v>
      </c>
      <c r="F17" s="160"/>
    </row>
    <row r="18" spans="1:6" ht="24">
      <c r="A18" s="162" t="s">
        <v>4737</v>
      </c>
      <c r="B18" s="160"/>
      <c r="C18" s="163" t="s">
        <v>39</v>
      </c>
      <c r="D18" s="161" t="s">
        <v>4738</v>
      </c>
      <c r="E18" s="160" t="s">
        <v>1136</v>
      </c>
      <c r="F18" s="160"/>
    </row>
    <row r="19" spans="1:6" ht="24">
      <c r="A19" s="162" t="s">
        <v>4739</v>
      </c>
      <c r="B19" s="160"/>
      <c r="C19" s="163" t="s">
        <v>39</v>
      </c>
      <c r="D19" s="161" t="s">
        <v>4740</v>
      </c>
      <c r="E19" s="160" t="s">
        <v>4741</v>
      </c>
      <c r="F19" s="160"/>
    </row>
    <row r="20" spans="1:6" ht="24">
      <c r="A20" s="162" t="s">
        <v>4742</v>
      </c>
      <c r="B20" s="160"/>
      <c r="C20" s="158" t="s">
        <v>4708</v>
      </c>
      <c r="D20" s="161" t="s">
        <v>4743</v>
      </c>
      <c r="E20" s="160" t="s">
        <v>4712</v>
      </c>
      <c r="F20" s="160"/>
    </row>
    <row r="21" spans="1:6" ht="24">
      <c r="A21" s="162" t="s">
        <v>4744</v>
      </c>
      <c r="B21" s="160"/>
      <c r="C21" s="158" t="s">
        <v>4745</v>
      </c>
      <c r="D21" s="160"/>
      <c r="E21" s="160" t="s">
        <v>1136</v>
      </c>
      <c r="F21" s="160"/>
    </row>
    <row r="22" spans="1:6">
      <c r="A22" s="162" t="s">
        <v>4746</v>
      </c>
      <c r="B22" s="160"/>
      <c r="C22" s="163" t="s">
        <v>39</v>
      </c>
      <c r="D22" s="160" t="s">
        <v>4747</v>
      </c>
      <c r="E22" s="160" t="s">
        <v>1136</v>
      </c>
      <c r="F22" s="160"/>
    </row>
    <row r="23" spans="1:6" ht="24">
      <c r="A23" s="162" t="s">
        <v>4748</v>
      </c>
      <c r="B23" s="160"/>
      <c r="C23" s="158" t="s">
        <v>4708</v>
      </c>
      <c r="D23" s="160"/>
      <c r="E23" s="160" t="s">
        <v>3849</v>
      </c>
      <c r="F23" s="160"/>
    </row>
    <row r="24" spans="1:6" ht="60">
      <c r="A24" s="162" t="s">
        <v>4749</v>
      </c>
      <c r="B24" s="160"/>
      <c r="C24" s="163" t="s">
        <v>39</v>
      </c>
      <c r="D24" s="161" t="s">
        <v>4750</v>
      </c>
      <c r="E24" s="160" t="s">
        <v>1136</v>
      </c>
      <c r="F24" s="160"/>
    </row>
    <row r="25" spans="1:6" ht="24">
      <c r="A25" s="165" t="s">
        <v>4751</v>
      </c>
      <c r="B25" s="166"/>
      <c r="C25" s="167" t="s">
        <v>4736</v>
      </c>
      <c r="D25" s="168" t="s">
        <v>4709</v>
      </c>
      <c r="E25" s="166" t="s">
        <v>1136</v>
      </c>
      <c r="F25" s="166"/>
    </row>
    <row r="26" spans="1:6" ht="24">
      <c r="A26" s="162" t="s">
        <v>4752</v>
      </c>
      <c r="B26" s="160"/>
      <c r="C26" s="158" t="s">
        <v>4730</v>
      </c>
      <c r="D26" s="161" t="s">
        <v>4753</v>
      </c>
      <c r="E26" s="160" t="s">
        <v>1136</v>
      </c>
      <c r="F26" s="160"/>
    </row>
    <row r="27" spans="1:6" ht="24">
      <c r="A27" s="162" t="s">
        <v>4754</v>
      </c>
      <c r="B27" s="160"/>
      <c r="C27" s="158" t="s">
        <v>4708</v>
      </c>
      <c r="D27" s="160" t="s">
        <v>4755</v>
      </c>
      <c r="E27" s="160" t="s">
        <v>1136</v>
      </c>
      <c r="F27" s="160"/>
    </row>
    <row r="28" spans="1:6" ht="24">
      <c r="A28" s="162" t="s">
        <v>261</v>
      </c>
      <c r="B28" s="160"/>
      <c r="C28" s="158" t="s">
        <v>4756</v>
      </c>
      <c r="D28" s="161" t="s">
        <v>4757</v>
      </c>
      <c r="E28" s="160" t="s">
        <v>4712</v>
      </c>
      <c r="F28" s="160"/>
    </row>
    <row r="29" spans="1:6" ht="24">
      <c r="A29" s="295" t="s">
        <v>4758</v>
      </c>
      <c r="B29" s="160" t="s">
        <v>4759</v>
      </c>
      <c r="C29" s="158" t="s">
        <v>4736</v>
      </c>
      <c r="D29" s="160"/>
      <c r="E29" s="160" t="s">
        <v>1136</v>
      </c>
      <c r="F29" s="160"/>
    </row>
    <row r="30" spans="1:6" ht="24">
      <c r="A30" s="296"/>
      <c r="B30" s="160" t="s">
        <v>4760</v>
      </c>
      <c r="C30" s="158" t="s">
        <v>4761</v>
      </c>
      <c r="D30" s="160"/>
      <c r="E30" s="160" t="s">
        <v>1136</v>
      </c>
      <c r="F30" s="160"/>
    </row>
    <row r="31" spans="1:6" ht="24">
      <c r="A31" s="162" t="s">
        <v>4762</v>
      </c>
      <c r="B31" s="160"/>
      <c r="C31" s="158" t="s">
        <v>4714</v>
      </c>
      <c r="D31" s="161" t="s">
        <v>4743</v>
      </c>
      <c r="E31" s="161" t="s">
        <v>4763</v>
      </c>
      <c r="F31" s="161"/>
    </row>
    <row r="32" spans="1:6">
      <c r="A32" s="169" t="s">
        <v>4764</v>
      </c>
      <c r="B32" s="170"/>
      <c r="C32" s="170"/>
      <c r="D32" s="170"/>
      <c r="E32" s="170"/>
      <c r="F32" s="170"/>
    </row>
    <row r="33" spans="1:6">
      <c r="A33" s="169" t="s">
        <v>4765</v>
      </c>
      <c r="B33" s="170"/>
      <c r="C33" s="170"/>
      <c r="D33" s="170"/>
      <c r="E33" s="170"/>
      <c r="F33" s="170"/>
    </row>
    <row r="34" spans="1:6">
      <c r="A34" s="169" t="s">
        <v>4766</v>
      </c>
      <c r="B34" s="170"/>
      <c r="C34" s="170"/>
      <c r="D34" s="170"/>
      <c r="E34" s="170"/>
      <c r="F34" s="170"/>
    </row>
    <row r="35" spans="1:6">
      <c r="A35" s="171" t="s">
        <v>4767</v>
      </c>
      <c r="B35" s="170"/>
      <c r="C35" s="170"/>
      <c r="D35" s="170"/>
      <c r="E35" s="170"/>
      <c r="F35" s="170"/>
    </row>
    <row r="36" spans="1:6">
      <c r="A36" s="171" t="s">
        <v>4768</v>
      </c>
      <c r="B36" s="170"/>
      <c r="C36" s="170"/>
      <c r="D36" s="170"/>
      <c r="E36" s="170"/>
      <c r="F36" s="170"/>
    </row>
    <row r="37" spans="1:6">
      <c r="A37" s="171" t="s">
        <v>4769</v>
      </c>
      <c r="B37" s="170"/>
      <c r="C37" s="170"/>
      <c r="D37" s="170"/>
      <c r="E37" s="170"/>
      <c r="F37" s="170"/>
    </row>
    <row r="38" spans="1:6" ht="24">
      <c r="A38" s="297" t="s">
        <v>4770</v>
      </c>
      <c r="B38" s="158" t="s">
        <v>5656</v>
      </c>
      <c r="C38" s="158" t="s">
        <v>5660</v>
      </c>
      <c r="D38" s="160"/>
      <c r="E38" s="160" t="s">
        <v>5657</v>
      </c>
      <c r="F38" s="160"/>
    </row>
    <row r="39" spans="1:6">
      <c r="A39" s="297"/>
      <c r="B39" s="158" t="s">
        <v>5655</v>
      </c>
      <c r="C39" s="158" t="s">
        <v>5658</v>
      </c>
      <c r="D39" s="160"/>
      <c r="E39" s="160" t="s">
        <v>5657</v>
      </c>
      <c r="F39" s="160"/>
    </row>
    <row r="40" spans="1:6" ht="24">
      <c r="A40" s="297"/>
      <c r="B40" s="158" t="s">
        <v>4760</v>
      </c>
      <c r="C40" s="158" t="s">
        <v>5659</v>
      </c>
      <c r="D40" s="160"/>
      <c r="E40" s="160" t="s">
        <v>5657</v>
      </c>
      <c r="F40" s="160"/>
    </row>
    <row r="41" spans="1:6">
      <c r="A41" s="171" t="s">
        <v>4771</v>
      </c>
      <c r="B41" s="170"/>
      <c r="C41" s="170"/>
      <c r="D41" s="170"/>
      <c r="E41" s="170"/>
      <c r="F41" s="170"/>
    </row>
    <row r="42" spans="1:6">
      <c r="A42" s="169" t="s">
        <v>4772</v>
      </c>
      <c r="B42" s="170"/>
      <c r="C42" s="170"/>
      <c r="D42" s="170"/>
      <c r="E42" s="170"/>
      <c r="F42" s="170"/>
    </row>
    <row r="43" spans="1:6">
      <c r="A43" s="169" t="s">
        <v>4773</v>
      </c>
      <c r="B43" s="170"/>
      <c r="C43" s="170"/>
      <c r="D43" s="170"/>
      <c r="E43" s="170"/>
      <c r="F43" s="170"/>
    </row>
  </sheetData>
  <mergeCells count="5">
    <mergeCell ref="A2:A3"/>
    <mergeCell ref="A7:A8"/>
    <mergeCell ref="A15:A16"/>
    <mergeCell ref="A29:A30"/>
    <mergeCell ref="A38:A4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15</vt:i4>
      </vt:variant>
    </vt:vector>
  </HeadingPairs>
  <TitlesOfParts>
    <vt:vector size="22" baseType="lpstr">
      <vt:lpstr>UV-Druck</vt:lpstr>
      <vt:lpstr>UV-Daten</vt:lpstr>
      <vt:lpstr>Archiv ab 2022</vt:lpstr>
      <vt:lpstr>Archiv Alt</vt:lpstr>
      <vt:lpstr>UMBAU</vt:lpstr>
      <vt:lpstr>Archiv UV-Daten bis Umbau</vt:lpstr>
      <vt:lpstr>Aufnahmealter </vt:lpstr>
      <vt:lpstr>'Archiv UV-Daten bis Umbau'!Auswahl1</vt:lpstr>
      <vt:lpstr>Auswahl1</vt:lpstr>
      <vt:lpstr>'Archiv UV-Daten bis Umbau'!Auswahl2</vt:lpstr>
      <vt:lpstr>Auswahl2</vt:lpstr>
      <vt:lpstr>'Archiv UV-Daten bis Umbau'!Auswahl3</vt:lpstr>
      <vt:lpstr>Auswahl3</vt:lpstr>
      <vt:lpstr>'Archiv UV-Daten bis Umbau'!AuswMatrix</vt:lpstr>
      <vt:lpstr>AuswMatrix</vt:lpstr>
      <vt:lpstr>'Archiv UV-Daten bis Umbau'!Druckbereich</vt:lpstr>
      <vt:lpstr>'UV-Daten'!Druckbereich</vt:lpstr>
      <vt:lpstr>'Archiv UV-Daten bis Umbau'!Drucktitel</vt:lpstr>
      <vt:lpstr>'Archiv UV-Daten bis Umbau'!GesMatrix</vt:lpstr>
      <vt:lpstr>GesMatrix</vt:lpstr>
      <vt:lpstr>'Archiv UV-Daten bis Umbau'!VergleichMatrix</vt:lpstr>
      <vt:lpstr>VergleichMatrix</vt:lpstr>
    </vt:vector>
  </TitlesOfParts>
  <Company>afm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kiss@afm-gruppe.de</dc:creator>
  <cp:lastModifiedBy>Andreas Kiss</cp:lastModifiedBy>
  <cp:lastPrinted>2023-05-23T08:20:53Z</cp:lastPrinted>
  <dcterms:created xsi:type="dcterms:W3CDTF">2005-12-13T09:10:04Z</dcterms:created>
  <dcterms:modified xsi:type="dcterms:W3CDTF">2023-05-23T08:43:20Z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